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44" firstSheet="6" activeTab="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系统读取表 (2)" sheetId="71" r:id="rId7"/>
    <sheet name="使用说明" sheetId="41"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state="hidden"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住宅 (2)" sheetId="68" state="hidden" r:id="rId34"/>
    <sheet name="典型户型修正 (2)" sheetId="69" r:id="rId35"/>
    <sheet name="不动产比较法-商业" sheetId="33" r:id="rId36"/>
    <sheet name="典型户型修正" sheetId="31" r:id="rId37"/>
    <sheet name="不动产比较法-办公" sheetId="34" r:id="rId38"/>
    <sheet name="不动产比较法-工业" sheetId="37" state="hidden" r:id="rId39"/>
    <sheet name="不动产比较法-车位" sheetId="35" r:id="rId40"/>
    <sheet name="不动产比较法-仓储" sheetId="36" state="hidden" r:id="rId41"/>
    <sheet name="存贷款利率" sheetId="65" state="hidden" r:id="rId42"/>
    <sheet name="Sheet1" sheetId="67" r:id="rId43"/>
    <sheet name="土地案例" sheetId="70"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5" hidden="1">'不动产比较法-商业'!$A$1:$L$49</definedName>
    <definedName name="_xlnm._FilterDatabase" localSheetId="32" hidden="1">'不动产比较法-住宅'!$A$1:$L$49</definedName>
    <definedName name="_xlnm._FilterDatabase" localSheetId="33" hidden="1">'不动产比较法-住宅 (2)'!$A$1:$L$49</definedName>
    <definedName name="_xlnm._FilterDatabase" localSheetId="11" hidden="1">'数据-基础表'!$A$12:$AT$572</definedName>
    <definedName name="_xlnm._FilterDatabase" localSheetId="10" hidden="1">项目基本情况!$A$48:$N$48</definedName>
    <definedName name="_xlnm.Print_Area" localSheetId="20">'比较法-住宅、综合'!$A$1:$N$134</definedName>
    <definedName name="_xlnm.Print_Area" localSheetId="27">地价!$A$1:$V$68</definedName>
    <definedName name="_xlnm.Print_Area" localSheetId="8">估价师及机构信息!$A$1:$F$29</definedName>
    <definedName name="八级">区片价!$P$1:$P$40</definedName>
    <definedName name="办公层高" localSheetId="43">'[1]不动产比较法-办公'!$B$119:$M$119</definedName>
    <definedName name="办公层高" localSheetId="6">'[9]不动产比较法-办公'!$B$119:$M$119</definedName>
    <definedName name="办公层高">'不动产比较法-办公'!$B$119:$M$119</definedName>
    <definedName name="办公朝向" localSheetId="43">'[1]不动产比较法-办公'!$B$91:$M$91</definedName>
    <definedName name="办公朝向" localSheetId="6">'[9]不动产比较法-办公'!$B$91:$M$91</definedName>
    <definedName name="办公朝向">'不动产比较法-办公'!$B$91:$M$91</definedName>
    <definedName name="办公道路级别" localSheetId="43">'[1]不动产比较法-办公'!$B$87:$M$87</definedName>
    <definedName name="办公道路级别" localSheetId="6">'[9]不动产比较法-办公'!$B$87:$M$87</definedName>
    <definedName name="办公道路级别">'不动产比较法-办公'!$B$87:$M$87</definedName>
    <definedName name="办公公共部分装修" localSheetId="43">'[1]不动产比较法-办公'!$B$108:$M$108</definedName>
    <definedName name="办公公共部分装修" localSheetId="6">'[9]不动产比较法-办公'!$B$108:$M$108</definedName>
    <definedName name="办公公共部分装修">'不动产比较法-办公'!$B$108:$M$108</definedName>
    <definedName name="办公基础设施水平" localSheetId="43">'[1]不动产比较法-办公'!$B$117:$M$117</definedName>
    <definedName name="办公基础设施水平" localSheetId="6">'[9]不动产比较法-办公'!$B$117:$M$117</definedName>
    <definedName name="办公基础设施水平">'不动产比较法-办公'!$B$117:$M$117</definedName>
    <definedName name="办公集聚程度" localSheetId="43">[1]定义!$M$1:$M$6</definedName>
    <definedName name="办公集聚程度" localSheetId="6">[9]定义!$M$1:$M$6</definedName>
    <definedName name="办公集聚程度">定义!$M$1:$M$6</definedName>
    <definedName name="办公建筑结构" localSheetId="43">'[1]不动产比较法-办公'!$B$106:$M$106</definedName>
    <definedName name="办公建筑结构" localSheetId="6">'[9]不动产比较法-办公'!$B$106:$M$106</definedName>
    <definedName name="办公建筑结构">'不动产比较法-办公'!$B$106:$M$106</definedName>
    <definedName name="办公建筑类型" localSheetId="43">'[1]不动产比较法-办公'!$B$101:$M$101</definedName>
    <definedName name="办公建筑类型" localSheetId="6">'[9]不动产比较法-办公'!$B$101:$M$101</definedName>
    <definedName name="办公建筑类型">'不动产比较法-办公'!$B$101:$M$101</definedName>
    <definedName name="办公交易情况" localSheetId="43">'[1]不动产比较法-办公'!$A$62:$M$62</definedName>
    <definedName name="办公交易情况" localSheetId="6">'[9]不动产比较法-办公'!$A$62:$M$62</definedName>
    <definedName name="办公交易情况">'不动产比较法-办公'!$A$62:$M$62</definedName>
    <definedName name="办公楼层" localSheetId="43">'[1]不动产比较法-办公'!$B$89:$M$89</definedName>
    <definedName name="办公楼层" localSheetId="6">'[9]不动产比较法-办公'!$B$89:$M$89</definedName>
    <definedName name="办公楼层">'不动产比较法-办公'!$B$89:$M$89</definedName>
    <definedName name="办公内部装修" localSheetId="43">'[1]不动产比较法-办公'!$B$123:$M$123</definedName>
    <definedName name="办公内部装修" localSheetId="6">'[9]不动产比较法-办公'!$B$123:$M$123</definedName>
    <definedName name="办公内部装修">'不动产比较法-办公'!$B$123:$M$123</definedName>
    <definedName name="办公物业管理" localSheetId="43">'[1]不动产比较法-办公'!$B$115:$M$115</definedName>
    <definedName name="办公物业管理" localSheetId="6">'[9]不动产比较法-办公'!$B$115:$M$115</definedName>
    <definedName name="办公物业管理">'不动产比较法-办公'!$B$115:$M$115</definedName>
    <definedName name="办公用途" localSheetId="43">'[1]不动产比较法-办公'!$B$64:$M$64</definedName>
    <definedName name="办公用途" localSheetId="6">'[9]不动产比较法-办公'!$B$64:$M$64</definedName>
    <definedName name="办公用途">'不动产比较法-办公'!$B$64:$M$64</definedName>
    <definedName name="仓储公共部分装修" localSheetId="43">'[1]不动产比较法-仓储'!$B$77:$M$77</definedName>
    <definedName name="仓储公共部分装修" localSheetId="6">'[9]不动产比较法-仓储'!$B$77:$M$77</definedName>
    <definedName name="仓储公共部分装修">'不动产比较法-仓储'!$B$77:$M$77</definedName>
    <definedName name="仓储交易情况" localSheetId="43">'[1]不动产比较法-仓储'!$A$49:$M$49</definedName>
    <definedName name="仓储交易情况" localSheetId="6">'[9]不动产比较法-仓储'!$A$49:$M$49</definedName>
    <definedName name="仓储交易情况">'不动产比较法-仓储'!$A$49:$M$49</definedName>
    <definedName name="仓储楼层" localSheetId="43">'[1]不动产比较法-仓储'!$B$69:$M$69</definedName>
    <definedName name="仓储楼层" localSheetId="6">'[9]不动产比较法-仓储'!$B$69:$M$69</definedName>
    <definedName name="仓储楼层">'不动产比较法-仓储'!$B$69:$M$69</definedName>
    <definedName name="仓储物业等级" localSheetId="43">'[1]不动产比较法-仓储'!$B$82:$M$82</definedName>
    <definedName name="仓储物业等级" localSheetId="6">'[9]不动产比较法-仓储'!$B$82:$M$82</definedName>
    <definedName name="仓储物业等级">'不动产比较法-仓储'!$B$82:$M$82</definedName>
    <definedName name="仓储用途" localSheetId="43">'[1]不动产比较法-仓储'!$B$51:$M$51</definedName>
    <definedName name="仓储用途" localSheetId="6">'[9]不动产比较法-仓储'!$B$51:$M$51</definedName>
    <definedName name="仓储用途">'不动产比较法-仓储'!$B$51:$M$51</definedName>
    <definedName name="产业集聚程度" localSheetId="43">[1]定义!$N$1:$N$6</definedName>
    <definedName name="产业集聚程度" localSheetId="6">[9]定义!$N$1:$N$6</definedName>
    <definedName name="产业集聚程度">定义!$N$1:$N$6</definedName>
    <definedName name="车位公共部分装修" localSheetId="43">'[1]不动产比较法-车位'!$B$83:$M$83</definedName>
    <definedName name="车位公共部分装修" localSheetId="6">'[9]不动产比较法-车位'!$B$83:$M$83</definedName>
    <definedName name="车位公共部分装修">'不动产比较法-车位'!$B$83:$M$83</definedName>
    <definedName name="车位交易情况" localSheetId="43">'[1]不动产比较法-车位'!$A$51:$M$51</definedName>
    <definedName name="车位交易情况" localSheetId="6">'[9]不动产比较法-车位'!$A$51:$M$51</definedName>
    <definedName name="车位交易情况">'不动产比较法-车位'!$A$51:$M$51</definedName>
    <definedName name="车位类型" localSheetId="43">'[1]不动产比较法-车位'!$B$93:$M$93</definedName>
    <definedName name="车位类型" localSheetId="6">'[9]不动产比较法-车位'!$B$93:$M$93</definedName>
    <definedName name="车位类型">'不动产比较法-车位'!$B$93:$M$93</definedName>
    <definedName name="车位楼层" localSheetId="43">'[1]不动产比较法-车位'!$B$71:$M$71</definedName>
    <definedName name="车位楼层" localSheetId="6">'[9]不动产比较法-车位'!$B$71:$M$71</definedName>
    <definedName name="车位楼层">'不动产比较法-车位'!$B$71:$M$71</definedName>
    <definedName name="车位配套类型" localSheetId="43">'[1]不动产比较法-车位'!$B$79:$M$79</definedName>
    <definedName name="车位配套类型" localSheetId="6">'[9]不动产比较法-车位'!$B$79:$M$79</definedName>
    <definedName name="车位配套类型">'不动产比较法-车位'!$B$79:$M$79</definedName>
    <definedName name="车位物业等级" localSheetId="43">'[1]不动产比较法-车位'!$B$88:$M$88</definedName>
    <definedName name="车位物业等级" localSheetId="6">'[9]不动产比较法-车位'!$B$88:$M$88</definedName>
    <definedName name="车位物业等级">'不动产比较法-车位'!$B$88:$M$88</definedName>
    <definedName name="车位用途" localSheetId="43">'[1]不动产比较法-车位'!$B$53:$M$53</definedName>
    <definedName name="车位用途" localSheetId="6">'[9]不动产比较法-车位'!$B$53:$M$53</definedName>
    <definedName name="车位用途">'不动产比较法-车位'!$B$53:$M$53</definedName>
    <definedName name="城镇土地纳税等级分级范围" localSheetId="43">'[1]数据-取费表'!$A$57:$A$67</definedName>
    <definedName name="城镇土地纳税等级分级范围" localSheetId="6">'[9]数据-取费表'!$A$53:$A$63</definedName>
    <definedName name="城镇土地纳税等级分级范围">'数据-取费表'!$A$56:$A$66</definedName>
    <definedName name="单价内涵" localSheetId="43">[1]定义!$V$1:$V$3</definedName>
    <definedName name="单价内涵" localSheetId="6">[9]定义!$V$1:$V$3</definedName>
    <definedName name="单价内涵">定义!$V$1:$V$3</definedName>
    <definedName name="地类判定" localSheetId="43">[1]定义!$H$1:$H$9</definedName>
    <definedName name="地类判定" localSheetId="6">[9]定义!$H$1:$H$9</definedName>
    <definedName name="地类判定">定义!$H$1:$H$9</definedName>
    <definedName name="二级">区片价!$J$1:$J$20</definedName>
    <definedName name="二级分类" localSheetId="43">[1]修正!$C$17:$C$39</definedName>
    <definedName name="二级分类" localSheetId="6">[9]修正!$C$17:$C$39</definedName>
    <definedName name="二级分类">修正!$C$17:$C$39</definedName>
    <definedName name="法定最高年限" localSheetId="43">[1]定义!$G$2:$G$4</definedName>
    <definedName name="法定最高年限" localSheetId="6">[9]定义!$G$2:$G$4</definedName>
    <definedName name="法定最高年限">定义!$G$2:$G$4</definedName>
    <definedName name="工业公共部分装修" localSheetId="43">'[1]不动产比较法-工业'!$B$95:$M$95</definedName>
    <definedName name="工业公共部分装修" localSheetId="6">'[9]不动产比较法-工业'!$B$95:$M$95</definedName>
    <definedName name="工业公共部分装修">'不动产比较法-工业'!$B$95:$M$95</definedName>
    <definedName name="工业基础设施水平" localSheetId="43">'[1]不动产比较法-工业'!$B$102:$M$102</definedName>
    <definedName name="工业基础设施水平" localSheetId="6">'[9]不动产比较法-工业'!$B$102:$M$102</definedName>
    <definedName name="工业基础设施水平">'不动产比较法-工业'!$B$102:$M$102</definedName>
    <definedName name="工业建筑结构" localSheetId="43">'[1]不动产比较法-工业'!$B$93:$M$93</definedName>
    <definedName name="工业建筑结构" localSheetId="6">'[9]不动产比较法-工业'!$B$93:$M$93</definedName>
    <definedName name="工业建筑结构">'不动产比较法-工业'!$B$93:$M$93</definedName>
    <definedName name="工业建筑类型" localSheetId="43">'[1]不动产比较法-工业'!$B$88:$M$88</definedName>
    <definedName name="工业建筑类型" localSheetId="6">'[9]不动产比较法-工业'!$B$88:$M$88</definedName>
    <definedName name="工业建筑类型">'不动产比较法-工业'!$B$88:$M$88</definedName>
    <definedName name="工业交易情况" localSheetId="43">'[1]不动产比较法-工业'!$A$55:$M$55</definedName>
    <definedName name="工业交易情况" localSheetId="6">'[9]不动产比较法-工业'!$A$55:$M$55</definedName>
    <definedName name="工业交易情况">'不动产比较法-工业'!$A$55:$M$55</definedName>
    <definedName name="工业内部装修" localSheetId="43">'[1]不动产比较法-工业'!$B$104:$M$104</definedName>
    <definedName name="工业内部装修" localSheetId="6">'[9]不动产比较法-工业'!$B$104:$M$104</definedName>
    <definedName name="工业内部装修">'不动产比较法-工业'!$B$104:$M$104</definedName>
    <definedName name="工业物业管理" localSheetId="43">'[1]不动产比较法-工业'!$B$100:$M$100</definedName>
    <definedName name="工业物业管理" localSheetId="6">'[9]不动产比较法-工业'!$B$100:$M$100</definedName>
    <definedName name="工业物业管理">'不动产比较法-工业'!$B$100:$M$100</definedName>
    <definedName name="工业用途" localSheetId="43">'[1]不动产比较法-工业'!$B$57:$M$57</definedName>
    <definedName name="工业用途" localSheetId="6">'[9]不动产比较法-工业'!$B$57:$M$57</definedName>
    <definedName name="工业用途">'不动产比较法-工业'!$B$57:$M$57</definedName>
    <definedName name="公共配套设施" localSheetId="43">[1]定义!$Q$1:$Q$6</definedName>
    <definedName name="公共配套设施" localSheetId="6">[9]定义!$Q$1:$Q$6</definedName>
    <definedName name="公共配套设施">定义!$Q$1:$Q$6</definedName>
    <definedName name="估价方法" localSheetId="43">[1]定义!$B$1:$B$50</definedName>
    <definedName name="估价方法" localSheetId="6">[9]定义!$B$1:$B$50</definedName>
    <definedName name="估价方法">定义!$B$1:$B$50</definedName>
    <definedName name="环境" localSheetId="43">[1]定义!$S$1:$S$6</definedName>
    <definedName name="环境" localSheetId="6">[9]定义!$S$1:$S$6</definedName>
    <definedName name="环境">定义!$S$1:$S$6</definedName>
    <definedName name="基础设施水平" localSheetId="43">[1]定义!$R$1:$R$6</definedName>
    <definedName name="基础设施水平" localSheetId="6">[9]定义!$R$1:$R$6</definedName>
    <definedName name="基础设施水平">定义!$R$1:$R$6</definedName>
    <definedName name="季度">基准地价!$N$19:$AG$19</definedName>
    <definedName name="季度2014">地价!$A$2:$A$19</definedName>
    <definedName name="价值类型2" localSheetId="43">[1]定义!$B$54:$B$56</definedName>
    <definedName name="价值类型2" localSheetId="6">[9]定义!$B$54:$B$56</definedName>
    <definedName name="价值类型2">定义!$B$54:$B$56</definedName>
    <definedName name="交通便捷度" localSheetId="43">[1]定义!$O$1:$O$6</definedName>
    <definedName name="交通便捷度" localSheetId="6">[9]定义!$O$1:$O$6</definedName>
    <definedName name="交通便捷度">定义!$O$1:$O$6</definedName>
    <definedName name="九级">区片价!$Q$1:$Q$46</definedName>
    <definedName name="居住社区成熟度" localSheetId="43">[1]定义!$K$1:$K$6</definedName>
    <definedName name="居住社区成熟度" localSheetId="6">[9]定义!$K$1:$K$6</definedName>
    <definedName name="居住社区成熟度">定义!$K$1:$K$6</definedName>
    <definedName name="类别" localSheetId="43">[1]定义!$J$1:$J$3</definedName>
    <definedName name="类别" localSheetId="6">[9]定义!$J$1:$J$3</definedName>
    <definedName name="类别">定义!$J$1:$J$3</definedName>
    <definedName name="临街状况" localSheetId="43">[1]定义!$T$1:$T$5</definedName>
    <definedName name="临街状况" localSheetId="6">[9]定义!$T$1:$T$5</definedName>
    <definedName name="临街状况">定义!$T$1:$T$5</definedName>
    <definedName name="六级">区片价!$N$1:$N$49</definedName>
    <definedName name="内部装修维护情况" localSheetId="43">[1]定义!$U$1:$U$6</definedName>
    <definedName name="内部装修维护情况" localSheetId="6">[9]定义!$U$1:$U$6</definedName>
    <definedName name="内部装修维护情况">定义!$U$1:$U$6</definedName>
    <definedName name="判定" localSheetId="43">[1]定义!$D$1:$D$4</definedName>
    <definedName name="判定" localSheetId="6">[9]定义!$D$1:$D$4</definedName>
    <definedName name="判定">定义!$D$1:$D$4</definedName>
    <definedName name="七级">区片价!$O$1:$O$49</definedName>
    <definedName name="七通一平" localSheetId="43">[1]修正!$A$6:$A$14</definedName>
    <definedName name="七通一平" localSheetId="6">[9]修正!$A$6:$A$14</definedName>
    <definedName name="七通一平">修正!$A$6:$A$14</definedName>
    <definedName name="区域土地利用方向" localSheetId="43">[1]定义!$P$1:$P$6</definedName>
    <definedName name="区域土地利用方向" localSheetId="6">[9]定义!$P$1:$P$6</definedName>
    <definedName name="区域土地利用方向">定义!$P$1:$P$6</definedName>
    <definedName name="三级">区片价!$K$1:$K$21</definedName>
    <definedName name="商业层高" localSheetId="43">'[1]不动产比较法-商业'!$B$116:$M$116</definedName>
    <definedName name="商业层高" localSheetId="6">'[9]不动产比较法-商业'!$B$116:$M$116</definedName>
    <definedName name="商业层高">'不动产比较法-商业'!$B$116:$M$116</definedName>
    <definedName name="商业成新度">'不动产比较法-商业'!$B$109:$M$109</definedName>
    <definedName name="商业繁华度" localSheetId="43">[1]定义!$L$1:$L$6</definedName>
    <definedName name="商业繁华度" localSheetId="6">[9]定义!$L$1:$L$6</definedName>
    <definedName name="商业繁华度">定义!$L$1:$L$6</definedName>
    <definedName name="商业公共部分装修" localSheetId="43">'[1]不动产比较法-商业'!$B$107:$M$107</definedName>
    <definedName name="商业公共部分装修" localSheetId="6">'[9]不动产比较法-商业'!$B$107:$M$107</definedName>
    <definedName name="商业公共部分装修">'不动产比较法-商业'!$B$107:$M$107</definedName>
    <definedName name="商业基础设施水平" localSheetId="43">'[1]不动产比较法-商业'!$B$112:$M$112</definedName>
    <definedName name="商业基础设施水平" localSheetId="6">'[9]不动产比较法-商业'!$B$112:$M$112</definedName>
    <definedName name="商业基础设施水平">'不动产比较法-商业'!$B$112:$M$112</definedName>
    <definedName name="商业建筑结构" localSheetId="43">'[1]不动产比较法-商业'!$B$105:$M$105</definedName>
    <definedName name="商业建筑结构" localSheetId="6">'[9]不动产比较法-商业'!$B$105:$M$105</definedName>
    <definedName name="商业建筑结构">'不动产比较法-商业'!$B$105:$M$105</definedName>
    <definedName name="商业交易情况" localSheetId="43">'[1]不动产比较法-商业'!$A$61:$M$61</definedName>
    <definedName name="商业交易情况" localSheetId="6">'[9]不动产比较法-商业'!$A$61:$M$61</definedName>
    <definedName name="商业交易情况">'不动产比较法-商业'!$A$61:$M$61</definedName>
    <definedName name="商业街名称" localSheetId="43">[1]修正!$C$59:$C$119</definedName>
    <definedName name="商业街名称" localSheetId="6">[9]修正!$C$59:$C$119</definedName>
    <definedName name="商业街名称">修正!$C$59:$C$119</definedName>
    <definedName name="商业进深比" localSheetId="43">'[1]不动产比较法-商业'!$B$120:$M$120</definedName>
    <definedName name="商业进深比" localSheetId="6">'[9]不动产比较法-商业'!$B$120:$M$120</definedName>
    <definedName name="商业进深比">'不动产比较法-商业'!$B$120:$M$120</definedName>
    <definedName name="商业类型" localSheetId="43">'[1]不动产比较法-商业'!$B$100:$M$100</definedName>
    <definedName name="商业类型" localSheetId="6">'[9]不动产比较法-商业'!$B$100:$M$100</definedName>
    <definedName name="商业类型">'不动产比较法-商业'!$B$100:$M$100</definedName>
    <definedName name="商业临街状况" localSheetId="43">'[1]不动产比较法-商业'!$B$86:$M$86</definedName>
    <definedName name="商业临街状况" localSheetId="6">'[9]不动产比较法-商业'!$B$86:$M$86</definedName>
    <definedName name="商业临街状况">'不动产比较法-商业'!$B$86:$M$86</definedName>
    <definedName name="商业楼层" localSheetId="43">'[1]不动产比较法-商业'!$B$92:$M$92</definedName>
    <definedName name="商业楼层" localSheetId="6">'[9]不动产比较法-商业'!$B$92:$M$92</definedName>
    <definedName name="商业楼层">'不动产比较法-商业'!$B$92:$M$92</definedName>
    <definedName name="商业内部装修" localSheetId="43">'[1]不动产比较法-商业'!$B$122:$M$122</definedName>
    <definedName name="商业内部装修" localSheetId="6">'[9]不动产比较法-商业'!$B$122:$M$122</definedName>
    <definedName name="商业内部装修">'不动产比较法-商业'!$B$122:$M$122</definedName>
    <definedName name="商业人流量" localSheetId="43">'[1]不动产比较法-商业'!$B$90:$M$90</definedName>
    <definedName name="商业人流量" localSheetId="6">'[9]不动产比较法-商业'!$B$90:$M$90</definedName>
    <definedName name="商业人流量">'不动产比较法-商业'!$B$90:$M$90</definedName>
    <definedName name="商业业态" localSheetId="43">'[1]不动产比较法-商业'!$B$114:$M$114</definedName>
    <definedName name="商业业态" localSheetId="6">'[9]不动产比较法-商业'!$B$114:$M$114</definedName>
    <definedName name="商业业态">'不动产比较法-商业'!$B$114:$M$114</definedName>
    <definedName name="商业用途" localSheetId="43">'[1]不动产比较法-商业'!$B$63:$M$63</definedName>
    <definedName name="商业用途" localSheetId="6">'[9]不动产比较法-商业'!$B$63:$M$63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3">'[1]不动产比较法-仓储'!$B$89:$M$89</definedName>
    <definedName name="是否封闭" localSheetId="6">'[9]不动产比较法-仓储'!$B$89:$M$89</definedName>
    <definedName name="是否封闭">'不动产比较法-仓储'!$B$89:$M$89</definedName>
    <definedName name="是否直接入户" localSheetId="43">'[1]不动产比较法-车位'!$B$95:$M$95</definedName>
    <definedName name="是否直接入户" localSheetId="6">'[9]不动产比较法-车位'!$B$95:$M$95</definedName>
    <definedName name="是否直接入户">'不动产比较法-车位'!$B$95:$M$95</definedName>
    <definedName name="四级">区片价!$L$1:$L$28</definedName>
    <definedName name="套工交易情况" localSheetId="43">'[1]比较法-住宅、综合'!$A$75:$M$75</definedName>
    <definedName name="套工交易情况" localSheetId="6">'[9]比较法-住宅、综合'!$A$75:$M$75</definedName>
    <definedName name="套工交易情况">'比较法-住宅、综合'!$A$75:$M$75</definedName>
    <definedName name="套工土地级别" localSheetId="43">'[1]比较法-工业'!$B$101:$M$101</definedName>
    <definedName name="套工土地级别" localSheetId="6">'[9]比较法-工业'!$B$101:$M$101</definedName>
    <definedName name="套工土地级别">'比较法-工业'!$B$101:$M$101</definedName>
    <definedName name="套工用途" localSheetId="43">'[1]比较法-工业'!$B$72:$M$72</definedName>
    <definedName name="套工用途" localSheetId="6">'[9]比较法-工业'!$B$72:$M$72</definedName>
    <definedName name="套工用途">'比较法-工业'!$B$72:$M$72</definedName>
    <definedName name="套综道路等级" localSheetId="43">'[1]比较法-住宅、综合'!$B$108:$M$108</definedName>
    <definedName name="套综道路等级" localSheetId="6">'[9]比较法-住宅、综合'!$B$108:$M$108</definedName>
    <definedName name="套综道路等级">'比较法-住宅、综合'!$B$108:$M$108</definedName>
    <definedName name="套综工程地质条件" localSheetId="43">'[1]比较法-住宅、综合'!$B$127:$M$127</definedName>
    <definedName name="套综工程地质条件" localSheetId="6">'[9]比较法-住宅、综合'!$B$127:$M$127</definedName>
    <definedName name="套综工程地质条件">'比较法-住宅、综合'!$B$127:$M$127</definedName>
    <definedName name="套综交易情况" localSheetId="43">'[1]比较法-住宅、综合'!$A$75:$M$75</definedName>
    <definedName name="套综交易情况" localSheetId="6">'[9]比较法-住宅、综合'!$A$75:$M$75</definedName>
    <definedName name="套综交易情况">'比较法-住宅、综合'!$A$75:$M$75</definedName>
    <definedName name="套综临街宽度及深度" localSheetId="43">'[1]比较法-住宅、综合'!$B$123:$M$123</definedName>
    <definedName name="套综临街宽度及深度" localSheetId="6">'[9]比较法-住宅、综合'!$B$123:$M$123</definedName>
    <definedName name="套综临街宽度及深度">'比较法-住宅、综合'!$B$123:$M$123</definedName>
    <definedName name="套综土地级别" localSheetId="43">'[1]比较法-住宅、综合'!$B$110:$M$110</definedName>
    <definedName name="套综土地级别" localSheetId="6">'[9]比较法-住宅、综合'!$B$110:$M$110</definedName>
    <definedName name="套综土地级别">'比较法-住宅、综合'!$B$110:$M$110</definedName>
    <definedName name="套综用途" localSheetId="43">'[1]比较法-住宅、综合'!$B$77:$M$77</definedName>
    <definedName name="套综用途" localSheetId="6">'[9]比较法-住宅、综合'!$B$77:$M$77</definedName>
    <definedName name="套综用途">'比较法-住宅、综合'!$B$77:$M$77</definedName>
    <definedName name="套综宗地内开发程度" localSheetId="43">'[1]比较法-住宅、综合'!$B$125:$M$125</definedName>
    <definedName name="套综宗地内开发程度" localSheetId="6">'[9]比较法-住宅、综合'!$B$125:$M$125</definedName>
    <definedName name="套综宗地内开发程度">'比较法-住宅、综合'!$B$125:$M$125</definedName>
    <definedName name="套综宗地形状" localSheetId="43">'[1]比较法-住宅、综合'!$B$121:$M$121</definedName>
    <definedName name="套综宗地形状" localSheetId="6">'[9]比较法-住宅、综合'!$B$121:$M$121</definedName>
    <definedName name="套综宗地形状">'比较法-住宅、综合'!$B$121:$M$121</definedName>
    <definedName name="土地估价师" localSheetId="43">[1]估价师及机构信息!$D$3:$D$24</definedName>
    <definedName name="土地估价师" localSheetId="6">[9]估价师及机构信息!$D$3:$D$24</definedName>
    <definedName name="土地估价师">估价师及机构信息!$D$3:$D$24</definedName>
    <definedName name="土地级别" localSheetId="43">[1]定义!$C$1:$C$14</definedName>
    <definedName name="土地级别" localSheetId="6">[9]定义!$C$1:$C$14</definedName>
    <definedName name="土地级别">定义!$C$1:$C$14</definedName>
    <definedName name="土地利用方向">定义!$P$1:$P$6</definedName>
    <definedName name="土地年限区间" localSheetId="43">[1]定义!$I$1:$I$8</definedName>
    <definedName name="土地年限区间" localSheetId="6">[9]定义!$I$1:$I$8</definedName>
    <definedName name="土地年限区间">定义!$I$1:$I$8</definedName>
    <definedName name="位置" localSheetId="43">[1]定义!$E$2:$E$4</definedName>
    <definedName name="位置" localSheetId="6">[9]定义!$E$2:$E$4</definedName>
    <definedName name="位置">定义!$E$2:$E$4</definedName>
    <definedName name="五等判定" localSheetId="43">[1]定义!$W$1:$W$6</definedName>
    <definedName name="五等判定" localSheetId="6">[9]定义!$W$1:$W$6</definedName>
    <definedName name="五等判定">定义!$W$1:$W$6</definedName>
    <definedName name="五级">区片价!$M$1:$M$35</definedName>
    <definedName name="项目类型" localSheetId="43">'[1]数据-汇总表'!$C$17:$C$30</definedName>
    <definedName name="项目类型" localSheetId="6">'[9]数据-汇总表'!$C$17:$C$26</definedName>
    <definedName name="项目类型">'数据-汇总表'!$C$17:$C$29</definedName>
    <definedName name="写字楼等级" localSheetId="43">'[1]不动产比较法-办公'!$B$113:$M$113</definedName>
    <definedName name="写字楼等级" localSheetId="6">'[9]不动产比较法-办公'!$B$113:$M$113</definedName>
    <definedName name="写字楼等级">'不动产比较法-办公'!$B$113:$M$113</definedName>
    <definedName name="一级">区片价!$I$1:$I$6</definedName>
    <definedName name="一修多修正项2" localSheetId="34">'典型户型修正 (2)'!$5:$5</definedName>
    <definedName name="一修多修正项2" localSheetId="43">'[1]典型户型修正-车位'!$5:$5</definedName>
    <definedName name="一修多修正项2" localSheetId="6">[9]典型户型修正!$5:$5</definedName>
    <definedName name="一修多修正项2">典型户型修正!$5:$5</definedName>
    <definedName name="一修多修正项3" localSheetId="34">'典型户型修正 (2)'!$7:$7</definedName>
    <definedName name="一修多修正项3" localSheetId="43">'[1]典型户型修正-车位'!$7:$7</definedName>
    <definedName name="一修多修正项3" localSheetId="6">[9]典型户型修正!$7:$7</definedName>
    <definedName name="一修多修正项3">典型户型修正!$7:$7</definedName>
    <definedName name="一修多修正项4" localSheetId="34">'典型户型修正 (2)'!$9:$9</definedName>
    <definedName name="一修多修正项4" localSheetId="43">'[1]典型户型修正-车位'!$9:$9</definedName>
    <definedName name="一修多修正项4" localSheetId="6">[9]典型户型修正!$9:$9</definedName>
    <definedName name="一修多修正项4">典型户型修正!$9:$9</definedName>
    <definedName name="一修多修正项5" localSheetId="34">'典型户型修正 (2)'!$11:$11</definedName>
    <definedName name="一修多修正项5" localSheetId="43">'[1]典型户型修正-车位'!$11:$11</definedName>
    <definedName name="一修多修正项5" localSheetId="6">[9]典型户型修正!$11:$11</definedName>
    <definedName name="一修多修正项5">典型户型修正!$11:$11</definedName>
    <definedName name="一修多修正项6" localSheetId="34">'典型户型修正 (2)'!$13:$13</definedName>
    <definedName name="一修多修正项6" localSheetId="43">'[1]典型户型修正-车位'!$13:$13</definedName>
    <definedName name="一修多修正项6" localSheetId="6">[9]典型户型修正!$13:$13</definedName>
    <definedName name="一修多修正项6">典型户型修正!$13:$13</definedName>
    <definedName name="一修多修正项7" localSheetId="34">'典型户型修正 (2)'!$15:$15</definedName>
    <definedName name="一修多修正项7" localSheetId="43">'[1]典型户型修正-车位'!$15:$15</definedName>
    <definedName name="一修多修正项7" localSheetId="6">[9]典型户型修正!$15:$15</definedName>
    <definedName name="一修多修正项7">典型户型修正!$15:$15</definedName>
    <definedName name="一修多修正项8" localSheetId="34">'典型户型修正 (2)'!$17:$17</definedName>
    <definedName name="一修多修正项8" localSheetId="43">'[1]典型户型修正-车位'!$17:$17</definedName>
    <definedName name="一修多修正项8" localSheetId="6">[9]典型户型修正!$17:$17</definedName>
    <definedName name="一修多修正项8">典型户型修正!$17:$17</definedName>
    <definedName name="用途类型" localSheetId="43">[1]定义!$A$1:$A$50</definedName>
    <definedName name="用途类型" localSheetId="6">[9]定义!$A$1:$A$50</definedName>
    <definedName name="用途类型">定义!$A$1:$A$50</definedName>
    <definedName name="有无电梯" localSheetId="43">'[1]不动产比较法-仓储'!$B$84:$M$84</definedName>
    <definedName name="有无电梯" localSheetId="6">'[9]不动产比较法-仓储'!$B$84:$M$84</definedName>
    <definedName name="有无电梯">'不动产比较法-仓储'!$B$84:$M$84</definedName>
    <definedName name="主用途" localSheetId="43">[1]定义!$F$1:$F$10</definedName>
    <definedName name="主用途" localSheetId="6">[9]定义!$F$1:$F$10</definedName>
    <definedName name="主用途">定义!$F$1:$F$10</definedName>
    <definedName name="住宅朝向" localSheetId="33">'不动产比较法-住宅 (2)'!$B$88:$M$88</definedName>
    <definedName name="住宅朝向" localSheetId="43">'[1]不动产比较法-多层'!$B$88:$M$88</definedName>
    <definedName name="住宅朝向" localSheetId="6">'[9]不动产比较法-住宅'!$B$88:$M$88</definedName>
    <definedName name="住宅朝向">'不动产比较法-住宅'!$B$88:$M$88</definedName>
    <definedName name="住宅房型" localSheetId="33">'不动产比较法-住宅 (2)'!$B$118:$M$118</definedName>
    <definedName name="住宅房型" localSheetId="43">'[1]不动产比较法-多层'!$B$118:$M$118</definedName>
    <definedName name="住宅房型" localSheetId="6">'[9]不动产比较法-住宅'!$B$118:$M$118</definedName>
    <definedName name="住宅房型">'不动产比较法-住宅'!$B$118:$M$118</definedName>
    <definedName name="住宅公共部分装修" localSheetId="33">'不动产比较法-住宅 (2)'!$B$109:$M$109</definedName>
    <definedName name="住宅公共部分装修" localSheetId="43">'[1]不动产比较法-多层'!$B$109:$M$109</definedName>
    <definedName name="住宅公共部分装修" localSheetId="6">'[9]不动产比较法-住宅'!$B$109:$M$109</definedName>
    <definedName name="住宅公共部分装修">'不动产比较法-住宅'!$B$109:$M$109</definedName>
    <definedName name="住宅基础设施水平" localSheetId="33">'不动产比较法-住宅 (2)'!$B$116:$M$116</definedName>
    <definedName name="住宅基础设施水平" localSheetId="43">'[1]不动产比较法-多层'!$B$116:$M$116</definedName>
    <definedName name="住宅基础设施水平" localSheetId="6">'[9]不动产比较法-住宅'!$B$116:$M$116</definedName>
    <definedName name="住宅基础设施水平">'不动产比较法-住宅'!$B$116:$M$116</definedName>
    <definedName name="住宅建筑结构" localSheetId="33">'不动产比较法-住宅 (2)'!$B$105:$M$105</definedName>
    <definedName name="住宅建筑结构" localSheetId="43">'[1]不动产比较法-多层'!$B$105:$M$105</definedName>
    <definedName name="住宅建筑结构" localSheetId="6">'[9]不动产比较法-住宅'!$B$105:$M$105</definedName>
    <definedName name="住宅建筑结构">'不动产比较法-住宅'!$B$105:$M$105</definedName>
    <definedName name="住宅建筑类型" localSheetId="33">'不动产比较法-住宅 (2)'!$B$100:$M$100</definedName>
    <definedName name="住宅建筑类型" localSheetId="43">'[1]不动产比较法-多层'!$B$100:$M$100</definedName>
    <definedName name="住宅建筑类型" localSheetId="6">'[9]不动产比较法-住宅'!$B$100:$M$100</definedName>
    <definedName name="住宅建筑类型">'不动产比较法-住宅'!$B$100:$M$100</definedName>
    <definedName name="住宅建筑品质" localSheetId="33">'不动产比较法-住宅 (2)'!$B$107:$M$107</definedName>
    <definedName name="住宅建筑品质" localSheetId="43">'[1]不动产比较法-多层'!$B$107:$M$107</definedName>
    <definedName name="住宅建筑品质" localSheetId="6">'[9]不动产比较法-住宅'!$B$107:$M$107</definedName>
    <definedName name="住宅建筑品质">'不动产比较法-住宅'!$B$107:$M$107</definedName>
    <definedName name="住宅交易情况" localSheetId="33">'不动产比较法-住宅 (2)'!$A$61:$M$61</definedName>
    <definedName name="住宅交易情况" localSheetId="43">'[1]不动产比较法-多层'!$A$61:$M$61</definedName>
    <definedName name="住宅交易情况" localSheetId="6">'[9]不动产比较法-住宅'!$A$61:$M$61</definedName>
    <definedName name="住宅交易情况">'不动产比较法-住宅'!$A$61:$M$61</definedName>
    <definedName name="住宅楼层" localSheetId="33">'不动产比较法-住宅 (2)'!$B$86:$M$86</definedName>
    <definedName name="住宅楼层" localSheetId="43">'[1]不动产比较法-多层'!$B$86:$M$86</definedName>
    <definedName name="住宅楼层" localSheetId="6">'[9]不动产比较法-住宅'!$B$86:$M$86</definedName>
    <definedName name="住宅楼层">'不动产比较法-住宅'!$B$86:$M$86</definedName>
    <definedName name="住宅内部装修" localSheetId="33">'不动产比较法-住宅 (2)'!$B$122:$M$122</definedName>
    <definedName name="住宅内部装修" localSheetId="43">'[1]不动产比较法-多层'!$B$122:$M$122</definedName>
    <definedName name="住宅内部装修" localSheetId="6">'[9]不动产比较法-住宅'!$B$122:$M$122</definedName>
    <definedName name="住宅内部装修">'不动产比较法-住宅'!$B$122:$M$122</definedName>
    <definedName name="住宅物业管理" localSheetId="33">'不动产比较法-住宅 (2)'!$B$114:$M$114</definedName>
    <definedName name="住宅物业管理" localSheetId="43">'[1]不动产比较法-多层'!$B$114:$M$114</definedName>
    <definedName name="住宅物业管理" localSheetId="6">'[9]不动产比较法-住宅'!$B$114:$M$114</definedName>
    <definedName name="住宅物业管理">'不动产比较法-住宅'!$B$114:$M$114</definedName>
    <definedName name="住宅用途" localSheetId="33">'不动产比较法-住宅 (2)'!$B$63:$M$63</definedName>
    <definedName name="住宅用途" localSheetId="43">'[1]不动产比较法-多层'!$B$63:$M$63</definedName>
    <definedName name="住宅用途" localSheetId="6">'[9]不动产比较法-住宅'!$B$63:$M$63</definedName>
    <definedName name="住宅用途">'不动产比较法-住宅'!$B$63:$M$63</definedName>
    <definedName name="住宅主力户型面积" localSheetId="33">'不动产比较法-住宅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3" i="71" l="1"/>
  <c r="E23" i="71"/>
  <c r="F22" i="71"/>
  <c r="E22" i="71"/>
  <c r="F21" i="71"/>
  <c r="E21" i="71"/>
  <c r="F20" i="71"/>
  <c r="E20" i="71"/>
  <c r="F19" i="71"/>
  <c r="E19" i="71"/>
  <c r="F18" i="71"/>
  <c r="E18" i="71"/>
  <c r="F17" i="71"/>
  <c r="E17" i="71"/>
  <c r="F16" i="71"/>
  <c r="E16" i="71"/>
  <c r="F15" i="71"/>
  <c r="E15" i="71"/>
  <c r="I14" i="71"/>
  <c r="H14" i="71"/>
  <c r="G14" i="71"/>
  <c r="C14" i="71"/>
  <c r="B14" i="71"/>
  <c r="B8" i="71"/>
  <c r="D8" i="71" s="1"/>
  <c r="B7" i="71"/>
  <c r="D7" i="71" s="1"/>
  <c r="B6" i="71"/>
  <c r="D6" i="71" s="1"/>
  <c r="B3" i="71"/>
  <c r="B2" i="71"/>
  <c r="B1" i="71"/>
  <c r="C7" i="71" s="1"/>
  <c r="C6" i="71" l="1"/>
  <c r="C8" i="71"/>
  <c r="D14" i="71" l="1"/>
  <c r="E14" i="71" l="1"/>
  <c r="F14" i="71"/>
  <c r="B5" i="71"/>
  <c r="C5" i="71" l="1"/>
  <c r="D5" i="71"/>
  <c r="AN13" i="3" l="1"/>
  <c r="S16" i="3"/>
  <c r="M15" i="3"/>
  <c r="K14" i="3"/>
  <c r="I13" i="3"/>
  <c r="U18" i="3"/>
  <c r="W19" i="3" l="1"/>
  <c r="M22" i="12" l="1"/>
  <c r="M21" i="12"/>
  <c r="Q22" i="12" l="1"/>
  <c r="Q21" i="12" l="1"/>
  <c r="M18" i="12" l="1"/>
  <c r="O22" i="12" l="1"/>
  <c r="O21" i="12" l="1"/>
  <c r="G48" i="34" l="1"/>
  <c r="E48" i="34"/>
  <c r="K41" i="34"/>
  <c r="K40" i="34"/>
  <c r="K39" i="34"/>
  <c r="K37" i="34"/>
  <c r="K36" i="34"/>
  <c r="K35" i="34"/>
  <c r="K11" i="34"/>
  <c r="K10" i="34"/>
  <c r="I48" i="34"/>
  <c r="I37" i="34"/>
  <c r="G37" i="34"/>
  <c r="G7" i="34"/>
  <c r="E37" i="34"/>
  <c r="E34" i="34"/>
  <c r="E11" i="34"/>
  <c r="C25" i="34"/>
  <c r="E6" i="34"/>
  <c r="E5" i="34"/>
  <c r="C5" i="34"/>
  <c r="F29" i="6" l="1"/>
  <c r="Q44" i="9" l="1"/>
  <c r="Q41" i="9"/>
  <c r="Q38" i="9"/>
  <c r="Q34" i="9" l="1"/>
  <c r="K30" i="35" l="1"/>
  <c r="K29" i="35"/>
  <c r="K28" i="35"/>
  <c r="G31" i="35" l="1"/>
  <c r="G29" i="35"/>
  <c r="E31" i="35"/>
  <c r="E29" i="35"/>
  <c r="G5" i="35"/>
  <c r="E5" i="35"/>
  <c r="K43" i="33"/>
  <c r="K42" i="33"/>
  <c r="K37" i="33"/>
  <c r="K36" i="33"/>
  <c r="K35" i="33"/>
  <c r="K34" i="33"/>
  <c r="K19" i="33"/>
  <c r="K17" i="33"/>
  <c r="K15" i="33"/>
  <c r="K11" i="33"/>
  <c r="K10" i="33"/>
  <c r="B5" i="31"/>
  <c r="T7" i="31"/>
  <c r="T5" i="31"/>
  <c r="I47" i="33"/>
  <c r="G36" i="33"/>
  <c r="E47" i="33"/>
  <c r="E36" i="33"/>
  <c r="C5" i="33"/>
  <c r="C33" i="21" l="1"/>
  <c r="C33" i="33"/>
  <c r="C36" i="33"/>
  <c r="T9" i="69"/>
  <c r="T7" i="69"/>
  <c r="T5" i="69"/>
  <c r="G47" i="21"/>
  <c r="G37" i="21"/>
  <c r="K11" i="21"/>
  <c r="E47" i="21"/>
  <c r="E37" i="21"/>
  <c r="R524" i="69"/>
  <c r="S524" i="69" s="1"/>
  <c r="Q524" i="69"/>
  <c r="O524" i="69"/>
  <c r="M524" i="69"/>
  <c r="K524" i="69"/>
  <c r="I524" i="69"/>
  <c r="G524" i="69"/>
  <c r="E524" i="69"/>
  <c r="C524" i="69"/>
  <c r="R523" i="69"/>
  <c r="S523" i="69" s="1"/>
  <c r="Q523" i="69"/>
  <c r="O523" i="69"/>
  <c r="M523" i="69"/>
  <c r="K523" i="69"/>
  <c r="I523" i="69"/>
  <c r="G523" i="69"/>
  <c r="E523" i="69"/>
  <c r="C523" i="69"/>
  <c r="R522" i="69"/>
  <c r="S522" i="69" s="1"/>
  <c r="Q522" i="69"/>
  <c r="O522" i="69"/>
  <c r="M522" i="69"/>
  <c r="K522" i="69"/>
  <c r="I522" i="69"/>
  <c r="G522" i="69"/>
  <c r="E522" i="69"/>
  <c r="C522" i="69"/>
  <c r="R521" i="69"/>
  <c r="S521" i="69" s="1"/>
  <c r="Q521" i="69"/>
  <c r="O521" i="69"/>
  <c r="M521" i="69"/>
  <c r="K521" i="69"/>
  <c r="I521" i="69"/>
  <c r="G521" i="69"/>
  <c r="E521" i="69"/>
  <c r="C521" i="69"/>
  <c r="R520" i="69"/>
  <c r="S520" i="69" s="1"/>
  <c r="Q520" i="69"/>
  <c r="O520" i="69"/>
  <c r="M520" i="69"/>
  <c r="K520" i="69"/>
  <c r="I520" i="69"/>
  <c r="G520" i="69"/>
  <c r="E520" i="69"/>
  <c r="C520" i="69"/>
  <c r="R519" i="69"/>
  <c r="S519" i="69" s="1"/>
  <c r="Q519" i="69"/>
  <c r="O519" i="69"/>
  <c r="M519" i="69"/>
  <c r="K519" i="69"/>
  <c r="I519" i="69"/>
  <c r="G519" i="69"/>
  <c r="E519" i="69"/>
  <c r="C519" i="69"/>
  <c r="R518" i="69"/>
  <c r="S518" i="69" s="1"/>
  <c r="Q518" i="69"/>
  <c r="O518" i="69"/>
  <c r="M518" i="69"/>
  <c r="K518" i="69"/>
  <c r="I518" i="69"/>
  <c r="G518" i="69"/>
  <c r="E518" i="69"/>
  <c r="C518" i="69"/>
  <c r="R517" i="69"/>
  <c r="S517" i="69" s="1"/>
  <c r="Q517" i="69"/>
  <c r="O517" i="69"/>
  <c r="M517" i="69"/>
  <c r="K517" i="69"/>
  <c r="I517" i="69"/>
  <c r="G517" i="69"/>
  <c r="E517" i="69"/>
  <c r="C517" i="69"/>
  <c r="R516" i="69"/>
  <c r="S516" i="69" s="1"/>
  <c r="Q516" i="69"/>
  <c r="O516" i="69"/>
  <c r="M516" i="69"/>
  <c r="K516" i="69"/>
  <c r="I516" i="69"/>
  <c r="G516" i="69"/>
  <c r="E516" i="69"/>
  <c r="C516" i="69"/>
  <c r="R515" i="69"/>
  <c r="S515" i="69" s="1"/>
  <c r="Q515" i="69"/>
  <c r="O515" i="69"/>
  <c r="M515" i="69"/>
  <c r="K515" i="69"/>
  <c r="I515" i="69"/>
  <c r="G515" i="69"/>
  <c r="E515" i="69"/>
  <c r="C515" i="69"/>
  <c r="R514" i="69"/>
  <c r="S514" i="69" s="1"/>
  <c r="Q514" i="69"/>
  <c r="O514" i="69"/>
  <c r="M514" i="69"/>
  <c r="K514" i="69"/>
  <c r="I514" i="69"/>
  <c r="G514" i="69"/>
  <c r="E514" i="69"/>
  <c r="C514" i="69"/>
  <c r="R513" i="69"/>
  <c r="S513" i="69" s="1"/>
  <c r="Q513" i="69"/>
  <c r="O513" i="69"/>
  <c r="M513" i="69"/>
  <c r="K513" i="69"/>
  <c r="I513" i="69"/>
  <c r="G513" i="69"/>
  <c r="E513" i="69"/>
  <c r="C513" i="69"/>
  <c r="R512" i="69"/>
  <c r="S512" i="69" s="1"/>
  <c r="Q512" i="69"/>
  <c r="O512" i="69"/>
  <c r="M512" i="69"/>
  <c r="K512" i="69"/>
  <c r="I512" i="69"/>
  <c r="G512" i="69"/>
  <c r="E512" i="69"/>
  <c r="C512" i="69"/>
  <c r="R511" i="69"/>
  <c r="S511" i="69" s="1"/>
  <c r="Q511" i="69"/>
  <c r="O511" i="69"/>
  <c r="M511" i="69"/>
  <c r="K511" i="69"/>
  <c r="I511" i="69"/>
  <c r="G511" i="69"/>
  <c r="E511" i="69"/>
  <c r="C511" i="69"/>
  <c r="R510" i="69"/>
  <c r="S510" i="69" s="1"/>
  <c r="Q510" i="69"/>
  <c r="O510" i="69"/>
  <c r="M510" i="69"/>
  <c r="K510" i="69"/>
  <c r="I510" i="69"/>
  <c r="G510" i="69"/>
  <c r="E510" i="69"/>
  <c r="C510" i="69"/>
  <c r="R509" i="69"/>
  <c r="S509" i="69" s="1"/>
  <c r="Q509" i="69"/>
  <c r="O509" i="69"/>
  <c r="M509" i="69"/>
  <c r="K509" i="69"/>
  <c r="I509" i="69"/>
  <c r="G509" i="69"/>
  <c r="E509" i="69"/>
  <c r="C509" i="69"/>
  <c r="R508" i="69"/>
  <c r="S508" i="69" s="1"/>
  <c r="Q508" i="69"/>
  <c r="O508" i="69"/>
  <c r="M508" i="69"/>
  <c r="K508" i="69"/>
  <c r="I508" i="69"/>
  <c r="G508" i="69"/>
  <c r="E508" i="69"/>
  <c r="C508" i="69"/>
  <c r="R507" i="69"/>
  <c r="S507" i="69" s="1"/>
  <c r="Q507" i="69"/>
  <c r="O507" i="69"/>
  <c r="M507" i="69"/>
  <c r="K507" i="69"/>
  <c r="I507" i="69"/>
  <c r="G507" i="69"/>
  <c r="E507" i="69"/>
  <c r="C507" i="69"/>
  <c r="R506" i="69"/>
  <c r="S506" i="69" s="1"/>
  <c r="Q506" i="69"/>
  <c r="O506" i="69"/>
  <c r="M506" i="69"/>
  <c r="K506" i="69"/>
  <c r="I506" i="69"/>
  <c r="G506" i="69"/>
  <c r="E506" i="69"/>
  <c r="C506" i="69"/>
  <c r="R505" i="69"/>
  <c r="S505" i="69" s="1"/>
  <c r="Q505" i="69"/>
  <c r="O505" i="69"/>
  <c r="M505" i="69"/>
  <c r="K505" i="69"/>
  <c r="I505" i="69"/>
  <c r="G505" i="69"/>
  <c r="E505" i="69"/>
  <c r="C505" i="69"/>
  <c r="R504" i="69"/>
  <c r="S504" i="69" s="1"/>
  <c r="Q504" i="69"/>
  <c r="O504" i="69"/>
  <c r="M504" i="69"/>
  <c r="K504" i="69"/>
  <c r="I504" i="69"/>
  <c r="G504" i="69"/>
  <c r="E504" i="69"/>
  <c r="C504" i="69"/>
  <c r="R503" i="69"/>
  <c r="S503" i="69" s="1"/>
  <c r="Q503" i="69"/>
  <c r="O503" i="69"/>
  <c r="M503" i="69"/>
  <c r="K503" i="69"/>
  <c r="I503" i="69"/>
  <c r="G503" i="69"/>
  <c r="E503" i="69"/>
  <c r="C503" i="69"/>
  <c r="R502" i="69"/>
  <c r="S502" i="69" s="1"/>
  <c r="Q502" i="69"/>
  <c r="O502" i="69"/>
  <c r="M502" i="69"/>
  <c r="K502" i="69"/>
  <c r="I502" i="69"/>
  <c r="G502" i="69"/>
  <c r="E502" i="69"/>
  <c r="C502" i="69"/>
  <c r="R501" i="69"/>
  <c r="S501" i="69" s="1"/>
  <c r="Q501" i="69"/>
  <c r="O501" i="69"/>
  <c r="M501" i="69"/>
  <c r="K501" i="69"/>
  <c r="I501" i="69"/>
  <c r="G501" i="69"/>
  <c r="E501" i="69"/>
  <c r="C501" i="69"/>
  <c r="R500" i="69"/>
  <c r="S500" i="69" s="1"/>
  <c r="Q500" i="69"/>
  <c r="O500" i="69"/>
  <c r="M500" i="69"/>
  <c r="K500" i="69"/>
  <c r="I500" i="69"/>
  <c r="G500" i="69"/>
  <c r="E500" i="69"/>
  <c r="C500" i="69"/>
  <c r="R499" i="69"/>
  <c r="S499" i="69" s="1"/>
  <c r="Q499" i="69"/>
  <c r="O499" i="69"/>
  <c r="M499" i="69"/>
  <c r="K499" i="69"/>
  <c r="I499" i="69"/>
  <c r="G499" i="69"/>
  <c r="E499" i="69"/>
  <c r="C499" i="69"/>
  <c r="R498" i="69"/>
  <c r="S498" i="69" s="1"/>
  <c r="Q498" i="69"/>
  <c r="O498" i="69"/>
  <c r="M498" i="69"/>
  <c r="K498" i="69"/>
  <c r="I498" i="69"/>
  <c r="G498" i="69"/>
  <c r="E498" i="69"/>
  <c r="C498" i="69"/>
  <c r="R497" i="69"/>
  <c r="S497" i="69" s="1"/>
  <c r="Q497" i="69"/>
  <c r="O497" i="69"/>
  <c r="M497" i="69"/>
  <c r="K497" i="69"/>
  <c r="I497" i="69"/>
  <c r="G497" i="69"/>
  <c r="E497" i="69"/>
  <c r="C497" i="69"/>
  <c r="R496" i="69"/>
  <c r="S496" i="69" s="1"/>
  <c r="Q496" i="69"/>
  <c r="O496" i="69"/>
  <c r="M496" i="69"/>
  <c r="K496" i="69"/>
  <c r="I496" i="69"/>
  <c r="G496" i="69"/>
  <c r="E496" i="69"/>
  <c r="C496" i="69"/>
  <c r="R495" i="69"/>
  <c r="S495" i="69" s="1"/>
  <c r="Q495" i="69"/>
  <c r="O495" i="69"/>
  <c r="M495" i="69"/>
  <c r="K495" i="69"/>
  <c r="I495" i="69"/>
  <c r="G495" i="69"/>
  <c r="E495" i="69"/>
  <c r="C495" i="69"/>
  <c r="R494" i="69"/>
  <c r="S494" i="69" s="1"/>
  <c r="Q494" i="69"/>
  <c r="O494" i="69"/>
  <c r="M494" i="69"/>
  <c r="K494" i="69"/>
  <c r="I494" i="69"/>
  <c r="G494" i="69"/>
  <c r="E494" i="69"/>
  <c r="C494" i="69"/>
  <c r="R493" i="69"/>
  <c r="S493" i="69" s="1"/>
  <c r="Q493" i="69"/>
  <c r="O493" i="69"/>
  <c r="M493" i="69"/>
  <c r="K493" i="69"/>
  <c r="I493" i="69"/>
  <c r="G493" i="69"/>
  <c r="E493" i="69"/>
  <c r="C493" i="69"/>
  <c r="R492" i="69"/>
  <c r="S492" i="69" s="1"/>
  <c r="Q492" i="69"/>
  <c r="O492" i="69"/>
  <c r="M492" i="69"/>
  <c r="K492" i="69"/>
  <c r="I492" i="69"/>
  <c r="G492" i="69"/>
  <c r="E492" i="69"/>
  <c r="C492" i="69"/>
  <c r="R491" i="69"/>
  <c r="S491" i="69" s="1"/>
  <c r="Q491" i="69"/>
  <c r="O491" i="69"/>
  <c r="M491" i="69"/>
  <c r="K491" i="69"/>
  <c r="I491" i="69"/>
  <c r="G491" i="69"/>
  <c r="E491" i="69"/>
  <c r="C491" i="69"/>
  <c r="R490" i="69"/>
  <c r="S490" i="69" s="1"/>
  <c r="Q490" i="69"/>
  <c r="O490" i="69"/>
  <c r="M490" i="69"/>
  <c r="K490" i="69"/>
  <c r="I490" i="69"/>
  <c r="G490" i="69"/>
  <c r="E490" i="69"/>
  <c r="C490" i="69"/>
  <c r="R489" i="69"/>
  <c r="S489" i="69" s="1"/>
  <c r="Q489" i="69"/>
  <c r="O489" i="69"/>
  <c r="M489" i="69"/>
  <c r="K489" i="69"/>
  <c r="I489" i="69"/>
  <c r="G489" i="69"/>
  <c r="E489" i="69"/>
  <c r="C489" i="69"/>
  <c r="R488" i="69"/>
  <c r="S488" i="69" s="1"/>
  <c r="Q488" i="69"/>
  <c r="O488" i="69"/>
  <c r="M488" i="69"/>
  <c r="K488" i="69"/>
  <c r="I488" i="69"/>
  <c r="G488" i="69"/>
  <c r="E488" i="69"/>
  <c r="C488" i="69"/>
  <c r="R487" i="69"/>
  <c r="S487" i="69" s="1"/>
  <c r="Q487" i="69"/>
  <c r="O487" i="69"/>
  <c r="M487" i="69"/>
  <c r="K487" i="69"/>
  <c r="I487" i="69"/>
  <c r="G487" i="69"/>
  <c r="E487" i="69"/>
  <c r="C487" i="69"/>
  <c r="R486" i="69"/>
  <c r="S486" i="69" s="1"/>
  <c r="Q486" i="69"/>
  <c r="O486" i="69"/>
  <c r="M486" i="69"/>
  <c r="K486" i="69"/>
  <c r="I486" i="69"/>
  <c r="G486" i="69"/>
  <c r="E486" i="69"/>
  <c r="C486" i="69"/>
  <c r="R485" i="69"/>
  <c r="S485" i="69" s="1"/>
  <c r="Q485" i="69"/>
  <c r="O485" i="69"/>
  <c r="M485" i="69"/>
  <c r="K485" i="69"/>
  <c r="I485" i="69"/>
  <c r="G485" i="69"/>
  <c r="E485" i="69"/>
  <c r="C485" i="69"/>
  <c r="R484" i="69"/>
  <c r="S484" i="69" s="1"/>
  <c r="Q484" i="69"/>
  <c r="O484" i="69"/>
  <c r="M484" i="69"/>
  <c r="K484" i="69"/>
  <c r="I484" i="69"/>
  <c r="G484" i="69"/>
  <c r="E484" i="69"/>
  <c r="C484" i="69"/>
  <c r="R483" i="69"/>
  <c r="S483" i="69" s="1"/>
  <c r="Q483" i="69"/>
  <c r="O483" i="69"/>
  <c r="M483" i="69"/>
  <c r="K483" i="69"/>
  <c r="I483" i="69"/>
  <c r="G483" i="69"/>
  <c r="E483" i="69"/>
  <c r="C483" i="69"/>
  <c r="R482" i="69"/>
  <c r="S482" i="69" s="1"/>
  <c r="Q482" i="69"/>
  <c r="O482" i="69"/>
  <c r="M482" i="69"/>
  <c r="K482" i="69"/>
  <c r="I482" i="69"/>
  <c r="G482" i="69"/>
  <c r="E482" i="69"/>
  <c r="C482" i="69"/>
  <c r="R481" i="69"/>
  <c r="S481" i="69" s="1"/>
  <c r="Q481" i="69"/>
  <c r="O481" i="69"/>
  <c r="M481" i="69"/>
  <c r="K481" i="69"/>
  <c r="I481" i="69"/>
  <c r="G481" i="69"/>
  <c r="E481" i="69"/>
  <c r="C481" i="69"/>
  <c r="R480" i="69"/>
  <c r="S480" i="69" s="1"/>
  <c r="Q480" i="69"/>
  <c r="O480" i="69"/>
  <c r="M480" i="69"/>
  <c r="K480" i="69"/>
  <c r="I480" i="69"/>
  <c r="G480" i="69"/>
  <c r="E480" i="69"/>
  <c r="C480" i="69"/>
  <c r="R479" i="69"/>
  <c r="S479" i="69" s="1"/>
  <c r="Q479" i="69"/>
  <c r="O479" i="69"/>
  <c r="M479" i="69"/>
  <c r="K479" i="69"/>
  <c r="I479" i="69"/>
  <c r="G479" i="69"/>
  <c r="E479" i="69"/>
  <c r="C479" i="69"/>
  <c r="R478" i="69"/>
  <c r="S478" i="69" s="1"/>
  <c r="Q478" i="69"/>
  <c r="O478" i="69"/>
  <c r="M478" i="69"/>
  <c r="K478" i="69"/>
  <c r="I478" i="69"/>
  <c r="G478" i="69"/>
  <c r="E478" i="69"/>
  <c r="C478" i="69"/>
  <c r="R477" i="69"/>
  <c r="S477" i="69" s="1"/>
  <c r="Q477" i="69"/>
  <c r="O477" i="69"/>
  <c r="M477" i="69"/>
  <c r="K477" i="69"/>
  <c r="I477" i="69"/>
  <c r="G477" i="69"/>
  <c r="E477" i="69"/>
  <c r="C477" i="69"/>
  <c r="R476" i="69"/>
  <c r="S476" i="69" s="1"/>
  <c r="Q476" i="69"/>
  <c r="O476" i="69"/>
  <c r="M476" i="69"/>
  <c r="K476" i="69"/>
  <c r="I476" i="69"/>
  <c r="G476" i="69"/>
  <c r="E476" i="69"/>
  <c r="C476" i="69"/>
  <c r="R475" i="69"/>
  <c r="S475" i="69" s="1"/>
  <c r="Q475" i="69"/>
  <c r="O475" i="69"/>
  <c r="M475" i="69"/>
  <c r="K475" i="69"/>
  <c r="I475" i="69"/>
  <c r="G475" i="69"/>
  <c r="E475" i="69"/>
  <c r="C475" i="69"/>
  <c r="R474" i="69"/>
  <c r="S474" i="69" s="1"/>
  <c r="Q474" i="69"/>
  <c r="O474" i="69"/>
  <c r="M474" i="69"/>
  <c r="K474" i="69"/>
  <c r="I474" i="69"/>
  <c r="G474" i="69"/>
  <c r="E474" i="69"/>
  <c r="C474" i="69"/>
  <c r="R473" i="69"/>
  <c r="S473" i="69" s="1"/>
  <c r="Q473" i="69"/>
  <c r="O473" i="69"/>
  <c r="M473" i="69"/>
  <c r="K473" i="69"/>
  <c r="I473" i="69"/>
  <c r="G473" i="69"/>
  <c r="E473" i="69"/>
  <c r="C473" i="69"/>
  <c r="R472" i="69"/>
  <c r="S472" i="69" s="1"/>
  <c r="Q472" i="69"/>
  <c r="O472" i="69"/>
  <c r="M472" i="69"/>
  <c r="K472" i="69"/>
  <c r="I472" i="69"/>
  <c r="G472" i="69"/>
  <c r="E472" i="69"/>
  <c r="C472" i="69"/>
  <c r="R471" i="69"/>
  <c r="S471" i="69" s="1"/>
  <c r="Q471" i="69"/>
  <c r="O471" i="69"/>
  <c r="M471" i="69"/>
  <c r="K471" i="69"/>
  <c r="I471" i="69"/>
  <c r="G471" i="69"/>
  <c r="E471" i="69"/>
  <c r="C471" i="69"/>
  <c r="R470" i="69"/>
  <c r="S470" i="69" s="1"/>
  <c r="Q470" i="69"/>
  <c r="O470" i="69"/>
  <c r="M470" i="69"/>
  <c r="K470" i="69"/>
  <c r="I470" i="69"/>
  <c r="G470" i="69"/>
  <c r="E470" i="69"/>
  <c r="C470" i="69"/>
  <c r="R469" i="69"/>
  <c r="S469" i="69" s="1"/>
  <c r="Q469" i="69"/>
  <c r="O469" i="69"/>
  <c r="M469" i="69"/>
  <c r="K469" i="69"/>
  <c r="I469" i="69"/>
  <c r="G469" i="69"/>
  <c r="E469" i="69"/>
  <c r="C469" i="69"/>
  <c r="R468" i="69"/>
  <c r="S468" i="69" s="1"/>
  <c r="Q468" i="69"/>
  <c r="O468" i="69"/>
  <c r="M468" i="69"/>
  <c r="K468" i="69"/>
  <c r="I468" i="69"/>
  <c r="G468" i="69"/>
  <c r="E468" i="69"/>
  <c r="C468" i="69"/>
  <c r="R467" i="69"/>
  <c r="S467" i="69" s="1"/>
  <c r="Q467" i="69"/>
  <c r="O467" i="69"/>
  <c r="M467" i="69"/>
  <c r="K467" i="69"/>
  <c r="I467" i="69"/>
  <c r="G467" i="69"/>
  <c r="E467" i="69"/>
  <c r="C467" i="69"/>
  <c r="R466" i="69"/>
  <c r="S466" i="69" s="1"/>
  <c r="Q466" i="69"/>
  <c r="O466" i="69"/>
  <c r="M466" i="69"/>
  <c r="K466" i="69"/>
  <c r="I466" i="69"/>
  <c r="G466" i="69"/>
  <c r="E466" i="69"/>
  <c r="C466" i="69"/>
  <c r="R465" i="69"/>
  <c r="S465" i="69" s="1"/>
  <c r="Q465" i="69"/>
  <c r="O465" i="69"/>
  <c r="M465" i="69"/>
  <c r="K465" i="69"/>
  <c r="I465" i="69"/>
  <c r="G465" i="69"/>
  <c r="E465" i="69"/>
  <c r="C465" i="69"/>
  <c r="R464" i="69"/>
  <c r="S464" i="69" s="1"/>
  <c r="Q464" i="69"/>
  <c r="O464" i="69"/>
  <c r="M464" i="69"/>
  <c r="K464" i="69"/>
  <c r="I464" i="69"/>
  <c r="G464" i="69"/>
  <c r="E464" i="69"/>
  <c r="C464" i="69"/>
  <c r="R463" i="69"/>
  <c r="S463" i="69" s="1"/>
  <c r="Q463" i="69"/>
  <c r="O463" i="69"/>
  <c r="M463" i="69"/>
  <c r="K463" i="69"/>
  <c r="I463" i="69"/>
  <c r="G463" i="69"/>
  <c r="E463" i="69"/>
  <c r="C463" i="69"/>
  <c r="R462" i="69"/>
  <c r="S462" i="69" s="1"/>
  <c r="Q462" i="69"/>
  <c r="O462" i="69"/>
  <c r="M462" i="69"/>
  <c r="K462" i="69"/>
  <c r="I462" i="69"/>
  <c r="G462" i="69"/>
  <c r="E462" i="69"/>
  <c r="C462" i="69"/>
  <c r="R461" i="69"/>
  <c r="S461" i="69" s="1"/>
  <c r="Q461" i="69"/>
  <c r="O461" i="69"/>
  <c r="M461" i="69"/>
  <c r="K461" i="69"/>
  <c r="I461" i="69"/>
  <c r="G461" i="69"/>
  <c r="E461" i="69"/>
  <c r="C461" i="69"/>
  <c r="R460" i="69"/>
  <c r="S460" i="69" s="1"/>
  <c r="Q460" i="69"/>
  <c r="O460" i="69"/>
  <c r="M460" i="69"/>
  <c r="K460" i="69"/>
  <c r="I460" i="69"/>
  <c r="G460" i="69"/>
  <c r="E460" i="69"/>
  <c r="C460" i="69"/>
  <c r="R459" i="69"/>
  <c r="S459" i="69" s="1"/>
  <c r="Q459" i="69"/>
  <c r="O459" i="69"/>
  <c r="M459" i="69"/>
  <c r="K459" i="69"/>
  <c r="I459" i="69"/>
  <c r="G459" i="69"/>
  <c r="E459" i="69"/>
  <c r="C459" i="69"/>
  <c r="R458" i="69"/>
  <c r="S458" i="69" s="1"/>
  <c r="Q458" i="69"/>
  <c r="O458" i="69"/>
  <c r="M458" i="69"/>
  <c r="K458" i="69"/>
  <c r="I458" i="69"/>
  <c r="G458" i="69"/>
  <c r="E458" i="69"/>
  <c r="C458" i="69"/>
  <c r="R457" i="69"/>
  <c r="S457" i="69" s="1"/>
  <c r="Q457" i="69"/>
  <c r="O457" i="69"/>
  <c r="M457" i="69"/>
  <c r="K457" i="69"/>
  <c r="I457" i="69"/>
  <c r="G457" i="69"/>
  <c r="E457" i="69"/>
  <c r="C457" i="69"/>
  <c r="R456" i="69"/>
  <c r="S456" i="69" s="1"/>
  <c r="Q456" i="69"/>
  <c r="O456" i="69"/>
  <c r="M456" i="69"/>
  <c r="K456" i="69"/>
  <c r="I456" i="69"/>
  <c r="G456" i="69"/>
  <c r="E456" i="69"/>
  <c r="C456" i="69"/>
  <c r="R455" i="69"/>
  <c r="S455" i="69" s="1"/>
  <c r="Q455" i="69"/>
  <c r="O455" i="69"/>
  <c r="M455" i="69"/>
  <c r="K455" i="69"/>
  <c r="I455" i="69"/>
  <c r="G455" i="69"/>
  <c r="E455" i="69"/>
  <c r="C455" i="69"/>
  <c r="R454" i="69"/>
  <c r="S454" i="69" s="1"/>
  <c r="Q454" i="69"/>
  <c r="O454" i="69"/>
  <c r="M454" i="69"/>
  <c r="K454" i="69"/>
  <c r="I454" i="69"/>
  <c r="G454" i="69"/>
  <c r="E454" i="69"/>
  <c r="C454" i="69"/>
  <c r="R453" i="69"/>
  <c r="S453" i="69" s="1"/>
  <c r="Q453" i="69"/>
  <c r="O453" i="69"/>
  <c r="M453" i="69"/>
  <c r="K453" i="69"/>
  <c r="I453" i="69"/>
  <c r="G453" i="69"/>
  <c r="E453" i="69"/>
  <c r="C453" i="69"/>
  <c r="R452" i="69"/>
  <c r="S452" i="69" s="1"/>
  <c r="Q452" i="69"/>
  <c r="O452" i="69"/>
  <c r="M452" i="69"/>
  <c r="K452" i="69"/>
  <c r="I452" i="69"/>
  <c r="G452" i="69"/>
  <c r="E452" i="69"/>
  <c r="C452" i="69"/>
  <c r="R451" i="69"/>
  <c r="S451" i="69" s="1"/>
  <c r="Q451" i="69"/>
  <c r="O451" i="69"/>
  <c r="M451" i="69"/>
  <c r="K451" i="69"/>
  <c r="I451" i="69"/>
  <c r="G451" i="69"/>
  <c r="E451" i="69"/>
  <c r="C451" i="69"/>
  <c r="R450" i="69"/>
  <c r="S450" i="69" s="1"/>
  <c r="Q450" i="69"/>
  <c r="O450" i="69"/>
  <c r="M450" i="69"/>
  <c r="K450" i="69"/>
  <c r="I450" i="69"/>
  <c r="G450" i="69"/>
  <c r="E450" i="69"/>
  <c r="C450" i="69"/>
  <c r="R449" i="69"/>
  <c r="S449" i="69" s="1"/>
  <c r="Q449" i="69"/>
  <c r="O449" i="69"/>
  <c r="M449" i="69"/>
  <c r="K449" i="69"/>
  <c r="I449" i="69"/>
  <c r="G449" i="69"/>
  <c r="E449" i="69"/>
  <c r="C449" i="69"/>
  <c r="R448" i="69"/>
  <c r="S448" i="69" s="1"/>
  <c r="Q448" i="69"/>
  <c r="O448" i="69"/>
  <c r="M448" i="69"/>
  <c r="K448" i="69"/>
  <c r="I448" i="69"/>
  <c r="G448" i="69"/>
  <c r="E448" i="69"/>
  <c r="C448" i="69"/>
  <c r="R447" i="69"/>
  <c r="S447" i="69" s="1"/>
  <c r="Q447" i="69"/>
  <c r="O447" i="69"/>
  <c r="M447" i="69"/>
  <c r="K447" i="69"/>
  <c r="I447" i="69"/>
  <c r="G447" i="69"/>
  <c r="E447" i="69"/>
  <c r="C447" i="69"/>
  <c r="R446" i="69"/>
  <c r="S446" i="69" s="1"/>
  <c r="Q446" i="69"/>
  <c r="O446" i="69"/>
  <c r="M446" i="69"/>
  <c r="K446" i="69"/>
  <c r="I446" i="69"/>
  <c r="G446" i="69"/>
  <c r="E446" i="69"/>
  <c r="C446" i="69"/>
  <c r="R445" i="69"/>
  <c r="S445" i="69" s="1"/>
  <c r="Q445" i="69"/>
  <c r="O445" i="69"/>
  <c r="M445" i="69"/>
  <c r="K445" i="69"/>
  <c r="I445" i="69"/>
  <c r="G445" i="69"/>
  <c r="E445" i="69"/>
  <c r="C445" i="69"/>
  <c r="R444" i="69"/>
  <c r="S444" i="69" s="1"/>
  <c r="Q444" i="69"/>
  <c r="O444" i="69"/>
  <c r="M444" i="69"/>
  <c r="K444" i="69"/>
  <c r="I444" i="69"/>
  <c r="G444" i="69"/>
  <c r="E444" i="69"/>
  <c r="C444" i="69"/>
  <c r="R443" i="69"/>
  <c r="S443" i="69" s="1"/>
  <c r="Q443" i="69"/>
  <c r="O443" i="69"/>
  <c r="M443" i="69"/>
  <c r="K443" i="69"/>
  <c r="I443" i="69"/>
  <c r="G443" i="69"/>
  <c r="E443" i="69"/>
  <c r="C443" i="69"/>
  <c r="R442" i="69"/>
  <c r="S442" i="69" s="1"/>
  <c r="Q442" i="69"/>
  <c r="O442" i="69"/>
  <c r="M442" i="69"/>
  <c r="K442" i="69"/>
  <c r="I442" i="69"/>
  <c r="G442" i="69"/>
  <c r="E442" i="69"/>
  <c r="C442" i="69"/>
  <c r="R441" i="69"/>
  <c r="S441" i="69" s="1"/>
  <c r="Q441" i="69"/>
  <c r="O441" i="69"/>
  <c r="M441" i="69"/>
  <c r="K441" i="69"/>
  <c r="I441" i="69"/>
  <c r="G441" i="69"/>
  <c r="E441" i="69"/>
  <c r="C441" i="69"/>
  <c r="R440" i="69"/>
  <c r="S440" i="69" s="1"/>
  <c r="Q440" i="69"/>
  <c r="O440" i="69"/>
  <c r="M440" i="69"/>
  <c r="K440" i="69"/>
  <c r="I440" i="69"/>
  <c r="G440" i="69"/>
  <c r="E440" i="69"/>
  <c r="C440" i="69"/>
  <c r="R439" i="69"/>
  <c r="S439" i="69" s="1"/>
  <c r="Q439" i="69"/>
  <c r="O439" i="69"/>
  <c r="M439" i="69"/>
  <c r="K439" i="69"/>
  <c r="I439" i="69"/>
  <c r="G439" i="69"/>
  <c r="E439" i="69"/>
  <c r="C439" i="69"/>
  <c r="R438" i="69"/>
  <c r="S438" i="69" s="1"/>
  <c r="Q438" i="69"/>
  <c r="O438" i="69"/>
  <c r="M438" i="69"/>
  <c r="K438" i="69"/>
  <c r="I438" i="69"/>
  <c r="G438" i="69"/>
  <c r="E438" i="69"/>
  <c r="C438" i="69"/>
  <c r="R437" i="69"/>
  <c r="S437" i="69" s="1"/>
  <c r="Q437" i="69"/>
  <c r="O437" i="69"/>
  <c r="M437" i="69"/>
  <c r="K437" i="69"/>
  <c r="I437" i="69"/>
  <c r="G437" i="69"/>
  <c r="E437" i="69"/>
  <c r="C437" i="69"/>
  <c r="R436" i="69"/>
  <c r="S436" i="69" s="1"/>
  <c r="Q436" i="69"/>
  <c r="O436" i="69"/>
  <c r="M436" i="69"/>
  <c r="K436" i="69"/>
  <c r="I436" i="69"/>
  <c r="G436" i="69"/>
  <c r="E436" i="69"/>
  <c r="C436" i="69"/>
  <c r="R435" i="69"/>
  <c r="S435" i="69" s="1"/>
  <c r="Q435" i="69"/>
  <c r="O435" i="69"/>
  <c r="M435" i="69"/>
  <c r="K435" i="69"/>
  <c r="I435" i="69"/>
  <c r="G435" i="69"/>
  <c r="E435" i="69"/>
  <c r="C435" i="69"/>
  <c r="R434" i="69"/>
  <c r="S434" i="69" s="1"/>
  <c r="Q434" i="69"/>
  <c r="O434" i="69"/>
  <c r="M434" i="69"/>
  <c r="K434" i="69"/>
  <c r="I434" i="69"/>
  <c r="G434" i="69"/>
  <c r="E434" i="69"/>
  <c r="C434" i="69"/>
  <c r="R433" i="69"/>
  <c r="S433" i="69" s="1"/>
  <c r="Q433" i="69"/>
  <c r="O433" i="69"/>
  <c r="M433" i="69"/>
  <c r="K433" i="69"/>
  <c r="I433" i="69"/>
  <c r="G433" i="69"/>
  <c r="E433" i="69"/>
  <c r="C433" i="69"/>
  <c r="R432" i="69"/>
  <c r="S432" i="69" s="1"/>
  <c r="Q432" i="69"/>
  <c r="O432" i="69"/>
  <c r="M432" i="69"/>
  <c r="K432" i="69"/>
  <c r="I432" i="69"/>
  <c r="G432" i="69"/>
  <c r="E432" i="69"/>
  <c r="C432" i="69"/>
  <c r="R431" i="69"/>
  <c r="S431" i="69" s="1"/>
  <c r="Q431" i="69"/>
  <c r="O431" i="69"/>
  <c r="M431" i="69"/>
  <c r="K431" i="69"/>
  <c r="I431" i="69"/>
  <c r="G431" i="69"/>
  <c r="E431" i="69"/>
  <c r="C431" i="69"/>
  <c r="R430" i="69"/>
  <c r="S430" i="69" s="1"/>
  <c r="Q430" i="69"/>
  <c r="O430" i="69"/>
  <c r="M430" i="69"/>
  <c r="K430" i="69"/>
  <c r="I430" i="69"/>
  <c r="G430" i="69"/>
  <c r="E430" i="69"/>
  <c r="C430" i="69"/>
  <c r="R429" i="69"/>
  <c r="S429" i="69" s="1"/>
  <c r="Q429" i="69"/>
  <c r="O429" i="69"/>
  <c r="M429" i="69"/>
  <c r="K429" i="69"/>
  <c r="I429" i="69"/>
  <c r="G429" i="69"/>
  <c r="E429" i="69"/>
  <c r="C429" i="69"/>
  <c r="R428" i="69"/>
  <c r="S428" i="69" s="1"/>
  <c r="Q428" i="69"/>
  <c r="O428" i="69"/>
  <c r="M428" i="69"/>
  <c r="K428" i="69"/>
  <c r="I428" i="69"/>
  <c r="G428" i="69"/>
  <c r="E428" i="69"/>
  <c r="C428" i="69"/>
  <c r="R427" i="69"/>
  <c r="S427" i="69" s="1"/>
  <c r="Q427" i="69"/>
  <c r="O427" i="69"/>
  <c r="M427" i="69"/>
  <c r="K427" i="69"/>
  <c r="I427" i="69"/>
  <c r="G427" i="69"/>
  <c r="E427" i="69"/>
  <c r="C427" i="69"/>
  <c r="R426" i="69"/>
  <c r="S426" i="69" s="1"/>
  <c r="Q426" i="69"/>
  <c r="O426" i="69"/>
  <c r="M426" i="69"/>
  <c r="K426" i="69"/>
  <c r="I426" i="69"/>
  <c r="G426" i="69"/>
  <c r="E426" i="69"/>
  <c r="C426" i="69"/>
  <c r="R425" i="69"/>
  <c r="S425" i="69" s="1"/>
  <c r="Q425" i="69"/>
  <c r="O425" i="69"/>
  <c r="M425" i="69"/>
  <c r="K425" i="69"/>
  <c r="I425" i="69"/>
  <c r="G425" i="69"/>
  <c r="E425" i="69"/>
  <c r="C425" i="69"/>
  <c r="R424" i="69"/>
  <c r="S424" i="69" s="1"/>
  <c r="Q424" i="69"/>
  <c r="O424" i="69"/>
  <c r="M424" i="69"/>
  <c r="K424" i="69"/>
  <c r="I424" i="69"/>
  <c r="G424" i="69"/>
  <c r="E424" i="69"/>
  <c r="C424" i="69"/>
  <c r="R423" i="69"/>
  <c r="S423" i="69" s="1"/>
  <c r="Q423" i="69"/>
  <c r="O423" i="69"/>
  <c r="M423" i="69"/>
  <c r="K423" i="69"/>
  <c r="I423" i="69"/>
  <c r="G423" i="69"/>
  <c r="E423" i="69"/>
  <c r="C423" i="69"/>
  <c r="R422" i="69"/>
  <c r="S422" i="69" s="1"/>
  <c r="Q422" i="69"/>
  <c r="O422" i="69"/>
  <c r="M422" i="69"/>
  <c r="K422" i="69"/>
  <c r="I422" i="69"/>
  <c r="G422" i="69"/>
  <c r="E422" i="69"/>
  <c r="C422" i="69"/>
  <c r="R421" i="69"/>
  <c r="S421" i="69" s="1"/>
  <c r="Q421" i="69"/>
  <c r="O421" i="69"/>
  <c r="M421" i="69"/>
  <c r="K421" i="69"/>
  <c r="I421" i="69"/>
  <c r="G421" i="69"/>
  <c r="E421" i="69"/>
  <c r="C421" i="69"/>
  <c r="R420" i="69"/>
  <c r="S420" i="69" s="1"/>
  <c r="Q420" i="69"/>
  <c r="O420" i="69"/>
  <c r="M420" i="69"/>
  <c r="K420" i="69"/>
  <c r="I420" i="69"/>
  <c r="G420" i="69"/>
  <c r="E420" i="69"/>
  <c r="C420" i="69"/>
  <c r="R419" i="69"/>
  <c r="S419" i="69" s="1"/>
  <c r="Q419" i="69"/>
  <c r="O419" i="69"/>
  <c r="M419" i="69"/>
  <c r="K419" i="69"/>
  <c r="I419" i="69"/>
  <c r="G419" i="69"/>
  <c r="E419" i="69"/>
  <c r="C419" i="69"/>
  <c r="R418" i="69"/>
  <c r="S418" i="69" s="1"/>
  <c r="Q418" i="69"/>
  <c r="O418" i="69"/>
  <c r="M418" i="69"/>
  <c r="K418" i="69"/>
  <c r="I418" i="69"/>
  <c r="G418" i="69"/>
  <c r="E418" i="69"/>
  <c r="C418" i="69"/>
  <c r="R417" i="69"/>
  <c r="S417" i="69" s="1"/>
  <c r="Q417" i="69"/>
  <c r="O417" i="69"/>
  <c r="M417" i="69"/>
  <c r="K417" i="69"/>
  <c r="I417" i="69"/>
  <c r="G417" i="69"/>
  <c r="E417" i="69"/>
  <c r="C417" i="69"/>
  <c r="R416" i="69"/>
  <c r="S416" i="69" s="1"/>
  <c r="Q416" i="69"/>
  <c r="O416" i="69"/>
  <c r="M416" i="69"/>
  <c r="K416" i="69"/>
  <c r="I416" i="69"/>
  <c r="G416" i="69"/>
  <c r="E416" i="69"/>
  <c r="C416" i="69"/>
  <c r="R415" i="69"/>
  <c r="S415" i="69" s="1"/>
  <c r="Q415" i="69"/>
  <c r="O415" i="69"/>
  <c r="M415" i="69"/>
  <c r="K415" i="69"/>
  <c r="I415" i="69"/>
  <c r="G415" i="69"/>
  <c r="E415" i="69"/>
  <c r="C415" i="69"/>
  <c r="R414" i="69"/>
  <c r="S414" i="69" s="1"/>
  <c r="Q414" i="69"/>
  <c r="O414" i="69"/>
  <c r="M414" i="69"/>
  <c r="K414" i="69"/>
  <c r="I414" i="69"/>
  <c r="G414" i="69"/>
  <c r="E414" i="69"/>
  <c r="C414" i="69"/>
  <c r="R413" i="69"/>
  <c r="S413" i="69" s="1"/>
  <c r="Q413" i="69"/>
  <c r="O413" i="69"/>
  <c r="M413" i="69"/>
  <c r="K413" i="69"/>
  <c r="I413" i="69"/>
  <c r="G413" i="69"/>
  <c r="E413" i="69"/>
  <c r="C413" i="69"/>
  <c r="R412" i="69"/>
  <c r="S412" i="69" s="1"/>
  <c r="Q412" i="69"/>
  <c r="O412" i="69"/>
  <c r="M412" i="69"/>
  <c r="K412" i="69"/>
  <c r="I412" i="69"/>
  <c r="G412" i="69"/>
  <c r="E412" i="69"/>
  <c r="C412" i="69"/>
  <c r="R411" i="69"/>
  <c r="S411" i="69" s="1"/>
  <c r="Q411" i="69"/>
  <c r="O411" i="69"/>
  <c r="M411" i="69"/>
  <c r="K411" i="69"/>
  <c r="I411" i="69"/>
  <c r="G411" i="69"/>
  <c r="E411" i="69"/>
  <c r="C411" i="69"/>
  <c r="R410" i="69"/>
  <c r="S410" i="69" s="1"/>
  <c r="Q410" i="69"/>
  <c r="O410" i="69"/>
  <c r="M410" i="69"/>
  <c r="K410" i="69"/>
  <c r="I410" i="69"/>
  <c r="G410" i="69"/>
  <c r="E410" i="69"/>
  <c r="C410" i="69"/>
  <c r="R409" i="69"/>
  <c r="S409" i="69" s="1"/>
  <c r="Q409" i="69"/>
  <c r="O409" i="69"/>
  <c r="M409" i="69"/>
  <c r="K409" i="69"/>
  <c r="I409" i="69"/>
  <c r="G409" i="69"/>
  <c r="E409" i="69"/>
  <c r="C409" i="69"/>
  <c r="R408" i="69"/>
  <c r="S408" i="69" s="1"/>
  <c r="Q408" i="69"/>
  <c r="O408" i="69"/>
  <c r="M408" i="69"/>
  <c r="K408" i="69"/>
  <c r="I408" i="69"/>
  <c r="G408" i="69"/>
  <c r="E408" i="69"/>
  <c r="C408" i="69"/>
  <c r="R407" i="69"/>
  <c r="S407" i="69" s="1"/>
  <c r="Q407" i="69"/>
  <c r="O407" i="69"/>
  <c r="M407" i="69"/>
  <c r="K407" i="69"/>
  <c r="I407" i="69"/>
  <c r="G407" i="69"/>
  <c r="E407" i="69"/>
  <c r="C407" i="69"/>
  <c r="R406" i="69"/>
  <c r="S406" i="69" s="1"/>
  <c r="Q406" i="69"/>
  <c r="O406" i="69"/>
  <c r="M406" i="69"/>
  <c r="K406" i="69"/>
  <c r="I406" i="69"/>
  <c r="G406" i="69"/>
  <c r="E406" i="69"/>
  <c r="C406" i="69"/>
  <c r="R405" i="69"/>
  <c r="S405" i="69" s="1"/>
  <c r="Q405" i="69"/>
  <c r="O405" i="69"/>
  <c r="M405" i="69"/>
  <c r="K405" i="69"/>
  <c r="I405" i="69"/>
  <c r="G405" i="69"/>
  <c r="E405" i="69"/>
  <c r="C405" i="69"/>
  <c r="R404" i="69"/>
  <c r="S404" i="69" s="1"/>
  <c r="Q404" i="69"/>
  <c r="O404" i="69"/>
  <c r="M404" i="69"/>
  <c r="K404" i="69"/>
  <c r="I404" i="69"/>
  <c r="G404" i="69"/>
  <c r="E404" i="69"/>
  <c r="C404" i="69"/>
  <c r="R403" i="69"/>
  <c r="S403" i="69" s="1"/>
  <c r="Q403" i="69"/>
  <c r="O403" i="69"/>
  <c r="M403" i="69"/>
  <c r="K403" i="69"/>
  <c r="I403" i="69"/>
  <c r="G403" i="69"/>
  <c r="E403" i="69"/>
  <c r="C403" i="69"/>
  <c r="R402" i="69"/>
  <c r="S402" i="69" s="1"/>
  <c r="Q402" i="69"/>
  <c r="O402" i="69"/>
  <c r="M402" i="69"/>
  <c r="K402" i="69"/>
  <c r="I402" i="69"/>
  <c r="G402" i="69"/>
  <c r="E402" i="69"/>
  <c r="C402" i="69"/>
  <c r="R401" i="69"/>
  <c r="S401" i="69" s="1"/>
  <c r="Q401" i="69"/>
  <c r="O401" i="69"/>
  <c r="M401" i="69"/>
  <c r="K401" i="69"/>
  <c r="I401" i="69"/>
  <c r="G401" i="69"/>
  <c r="E401" i="69"/>
  <c r="C401" i="69"/>
  <c r="R400" i="69"/>
  <c r="S400" i="69" s="1"/>
  <c r="Q400" i="69"/>
  <c r="O400" i="69"/>
  <c r="M400" i="69"/>
  <c r="K400" i="69"/>
  <c r="I400" i="69"/>
  <c r="G400" i="69"/>
  <c r="E400" i="69"/>
  <c r="C400" i="69"/>
  <c r="R399" i="69"/>
  <c r="S399" i="69" s="1"/>
  <c r="Q399" i="69"/>
  <c r="O399" i="69"/>
  <c r="M399" i="69"/>
  <c r="K399" i="69"/>
  <c r="I399" i="69"/>
  <c r="G399" i="69"/>
  <c r="E399" i="69"/>
  <c r="C399" i="69"/>
  <c r="R398" i="69"/>
  <c r="S398" i="69" s="1"/>
  <c r="Q398" i="69"/>
  <c r="O398" i="69"/>
  <c r="M398" i="69"/>
  <c r="K398" i="69"/>
  <c r="I398" i="69"/>
  <c r="G398" i="69"/>
  <c r="E398" i="69"/>
  <c r="C398" i="69"/>
  <c r="R397" i="69"/>
  <c r="S397" i="69" s="1"/>
  <c r="Q397" i="69"/>
  <c r="O397" i="69"/>
  <c r="M397" i="69"/>
  <c r="K397" i="69"/>
  <c r="I397" i="69"/>
  <c r="G397" i="69"/>
  <c r="E397" i="69"/>
  <c r="C397" i="69"/>
  <c r="R396" i="69"/>
  <c r="S396" i="69" s="1"/>
  <c r="Q396" i="69"/>
  <c r="O396" i="69"/>
  <c r="M396" i="69"/>
  <c r="K396" i="69"/>
  <c r="I396" i="69"/>
  <c r="G396" i="69"/>
  <c r="E396" i="69"/>
  <c r="C396" i="69"/>
  <c r="R395" i="69"/>
  <c r="S395" i="69" s="1"/>
  <c r="Q395" i="69"/>
  <c r="O395" i="69"/>
  <c r="M395" i="69"/>
  <c r="K395" i="69"/>
  <c r="I395" i="69"/>
  <c r="G395" i="69"/>
  <c r="E395" i="69"/>
  <c r="C395" i="69"/>
  <c r="R394" i="69"/>
  <c r="S394" i="69" s="1"/>
  <c r="Q394" i="69"/>
  <c r="O394" i="69"/>
  <c r="M394" i="69"/>
  <c r="K394" i="69"/>
  <c r="I394" i="69"/>
  <c r="G394" i="69"/>
  <c r="E394" i="69"/>
  <c r="C394" i="69"/>
  <c r="R393" i="69"/>
  <c r="S393" i="69" s="1"/>
  <c r="Q393" i="69"/>
  <c r="O393" i="69"/>
  <c r="M393" i="69"/>
  <c r="K393" i="69"/>
  <c r="I393" i="69"/>
  <c r="G393" i="69"/>
  <c r="E393" i="69"/>
  <c r="C393" i="69"/>
  <c r="R392" i="69"/>
  <c r="S392" i="69" s="1"/>
  <c r="Q392" i="69"/>
  <c r="O392" i="69"/>
  <c r="M392" i="69"/>
  <c r="K392" i="69"/>
  <c r="I392" i="69"/>
  <c r="G392" i="69"/>
  <c r="E392" i="69"/>
  <c r="C392" i="69"/>
  <c r="R391" i="69"/>
  <c r="S391" i="69" s="1"/>
  <c r="Q391" i="69"/>
  <c r="O391" i="69"/>
  <c r="M391" i="69"/>
  <c r="K391" i="69"/>
  <c r="I391" i="69"/>
  <c r="G391" i="69"/>
  <c r="E391" i="69"/>
  <c r="C391" i="69"/>
  <c r="R390" i="69"/>
  <c r="S390" i="69" s="1"/>
  <c r="Q390" i="69"/>
  <c r="O390" i="69"/>
  <c r="M390" i="69"/>
  <c r="K390" i="69"/>
  <c r="I390" i="69"/>
  <c r="G390" i="69"/>
  <c r="E390" i="69"/>
  <c r="C390" i="69"/>
  <c r="R389" i="69"/>
  <c r="S389" i="69" s="1"/>
  <c r="Q389" i="69"/>
  <c r="O389" i="69"/>
  <c r="M389" i="69"/>
  <c r="K389" i="69"/>
  <c r="I389" i="69"/>
  <c r="G389" i="69"/>
  <c r="E389" i="69"/>
  <c r="C389" i="69"/>
  <c r="R388" i="69"/>
  <c r="S388" i="69" s="1"/>
  <c r="Q388" i="69"/>
  <c r="O388" i="69"/>
  <c r="M388" i="69"/>
  <c r="K388" i="69"/>
  <c r="I388" i="69"/>
  <c r="G388" i="69"/>
  <c r="E388" i="69"/>
  <c r="C388" i="69"/>
  <c r="R387" i="69"/>
  <c r="S387" i="69" s="1"/>
  <c r="Q387" i="69"/>
  <c r="O387" i="69"/>
  <c r="M387" i="69"/>
  <c r="K387" i="69"/>
  <c r="I387" i="69"/>
  <c r="G387" i="69"/>
  <c r="E387" i="69"/>
  <c r="C387" i="69"/>
  <c r="R386" i="69"/>
  <c r="S386" i="69" s="1"/>
  <c r="Q386" i="69"/>
  <c r="O386" i="69"/>
  <c r="M386" i="69"/>
  <c r="K386" i="69"/>
  <c r="I386" i="69"/>
  <c r="G386" i="69"/>
  <c r="E386" i="69"/>
  <c r="C386" i="69"/>
  <c r="R385" i="69"/>
  <c r="S385" i="69" s="1"/>
  <c r="Q385" i="69"/>
  <c r="O385" i="69"/>
  <c r="M385" i="69"/>
  <c r="K385" i="69"/>
  <c r="I385" i="69"/>
  <c r="G385" i="69"/>
  <c r="E385" i="69"/>
  <c r="C385" i="69"/>
  <c r="R384" i="69"/>
  <c r="S384" i="69" s="1"/>
  <c r="Q384" i="69"/>
  <c r="O384" i="69"/>
  <c r="M384" i="69"/>
  <c r="K384" i="69"/>
  <c r="I384" i="69"/>
  <c r="G384" i="69"/>
  <c r="E384" i="69"/>
  <c r="C384" i="69"/>
  <c r="R383" i="69"/>
  <c r="S383" i="69" s="1"/>
  <c r="Q383" i="69"/>
  <c r="O383" i="69"/>
  <c r="M383" i="69"/>
  <c r="K383" i="69"/>
  <c r="I383" i="69"/>
  <c r="G383" i="69"/>
  <c r="E383" i="69"/>
  <c r="C383" i="69"/>
  <c r="R382" i="69"/>
  <c r="S382" i="69" s="1"/>
  <c r="Q382" i="69"/>
  <c r="O382" i="69"/>
  <c r="M382" i="69"/>
  <c r="K382" i="69"/>
  <c r="I382" i="69"/>
  <c r="G382" i="69"/>
  <c r="E382" i="69"/>
  <c r="C382" i="69"/>
  <c r="R381" i="69"/>
  <c r="S381" i="69" s="1"/>
  <c r="Q381" i="69"/>
  <c r="O381" i="69"/>
  <c r="M381" i="69"/>
  <c r="K381" i="69"/>
  <c r="I381" i="69"/>
  <c r="G381" i="69"/>
  <c r="E381" i="69"/>
  <c r="C381" i="69"/>
  <c r="R380" i="69"/>
  <c r="S380" i="69" s="1"/>
  <c r="Q380" i="69"/>
  <c r="O380" i="69"/>
  <c r="M380" i="69"/>
  <c r="K380" i="69"/>
  <c r="I380" i="69"/>
  <c r="G380" i="69"/>
  <c r="E380" i="69"/>
  <c r="C380" i="69"/>
  <c r="R379" i="69"/>
  <c r="S379" i="69" s="1"/>
  <c r="Q379" i="69"/>
  <c r="O379" i="69"/>
  <c r="M379" i="69"/>
  <c r="K379" i="69"/>
  <c r="I379" i="69"/>
  <c r="G379" i="69"/>
  <c r="E379" i="69"/>
  <c r="C379" i="69"/>
  <c r="R378" i="69"/>
  <c r="S378" i="69" s="1"/>
  <c r="Q378" i="69"/>
  <c r="O378" i="69"/>
  <c r="M378" i="69"/>
  <c r="K378" i="69"/>
  <c r="I378" i="69"/>
  <c r="G378" i="69"/>
  <c r="E378" i="69"/>
  <c r="C378" i="69"/>
  <c r="R377" i="69"/>
  <c r="S377" i="69" s="1"/>
  <c r="Q377" i="69"/>
  <c r="O377" i="69"/>
  <c r="M377" i="69"/>
  <c r="K377" i="69"/>
  <c r="I377" i="69"/>
  <c r="G377" i="69"/>
  <c r="E377" i="69"/>
  <c r="C377" i="69"/>
  <c r="R376" i="69"/>
  <c r="S376" i="69" s="1"/>
  <c r="Q376" i="69"/>
  <c r="O376" i="69"/>
  <c r="M376" i="69"/>
  <c r="K376" i="69"/>
  <c r="I376" i="69"/>
  <c r="G376" i="69"/>
  <c r="E376" i="69"/>
  <c r="C376" i="69"/>
  <c r="R375" i="69"/>
  <c r="S375" i="69" s="1"/>
  <c r="Q375" i="69"/>
  <c r="O375" i="69"/>
  <c r="M375" i="69"/>
  <c r="K375" i="69"/>
  <c r="I375" i="69"/>
  <c r="G375" i="69"/>
  <c r="E375" i="69"/>
  <c r="C375" i="69"/>
  <c r="R374" i="69"/>
  <c r="S374" i="69" s="1"/>
  <c r="Q374" i="69"/>
  <c r="O374" i="69"/>
  <c r="M374" i="69"/>
  <c r="K374" i="69"/>
  <c r="I374" i="69"/>
  <c r="G374" i="69"/>
  <c r="E374" i="69"/>
  <c r="C374" i="69"/>
  <c r="R373" i="69"/>
  <c r="S373" i="69" s="1"/>
  <c r="Q373" i="69"/>
  <c r="O373" i="69"/>
  <c r="M373" i="69"/>
  <c r="K373" i="69"/>
  <c r="I373" i="69"/>
  <c r="G373" i="69"/>
  <c r="E373" i="69"/>
  <c r="C373" i="69"/>
  <c r="R372" i="69"/>
  <c r="S372" i="69" s="1"/>
  <c r="Q372" i="69"/>
  <c r="O372" i="69"/>
  <c r="M372" i="69"/>
  <c r="K372" i="69"/>
  <c r="I372" i="69"/>
  <c r="G372" i="69"/>
  <c r="E372" i="69"/>
  <c r="C372" i="69"/>
  <c r="R371" i="69"/>
  <c r="S371" i="69" s="1"/>
  <c r="Q371" i="69"/>
  <c r="O371" i="69"/>
  <c r="M371" i="69"/>
  <c r="K371" i="69"/>
  <c r="I371" i="69"/>
  <c r="G371" i="69"/>
  <c r="E371" i="69"/>
  <c r="C371" i="69"/>
  <c r="R370" i="69"/>
  <c r="S370" i="69" s="1"/>
  <c r="Q370" i="69"/>
  <c r="O370" i="69"/>
  <c r="M370" i="69"/>
  <c r="K370" i="69"/>
  <c r="I370" i="69"/>
  <c r="G370" i="69"/>
  <c r="E370" i="69"/>
  <c r="C370" i="69"/>
  <c r="R369" i="69"/>
  <c r="S369" i="69" s="1"/>
  <c r="Q369" i="69"/>
  <c r="O369" i="69"/>
  <c r="M369" i="69"/>
  <c r="K369" i="69"/>
  <c r="I369" i="69"/>
  <c r="G369" i="69"/>
  <c r="E369" i="69"/>
  <c r="C369" i="69"/>
  <c r="R368" i="69"/>
  <c r="S368" i="69" s="1"/>
  <c r="Q368" i="69"/>
  <c r="O368" i="69"/>
  <c r="M368" i="69"/>
  <c r="K368" i="69"/>
  <c r="I368" i="69"/>
  <c r="G368" i="69"/>
  <c r="E368" i="69"/>
  <c r="C368" i="69"/>
  <c r="R367" i="69"/>
  <c r="S367" i="69" s="1"/>
  <c r="Q367" i="69"/>
  <c r="O367" i="69"/>
  <c r="M367" i="69"/>
  <c r="K367" i="69"/>
  <c r="I367" i="69"/>
  <c r="G367" i="69"/>
  <c r="E367" i="69"/>
  <c r="C367" i="69"/>
  <c r="R366" i="69"/>
  <c r="S366" i="69" s="1"/>
  <c r="Q366" i="69"/>
  <c r="O366" i="69"/>
  <c r="M366" i="69"/>
  <c r="K366" i="69"/>
  <c r="I366" i="69"/>
  <c r="G366" i="69"/>
  <c r="E366" i="69"/>
  <c r="C366" i="69"/>
  <c r="R365" i="69"/>
  <c r="S365" i="69" s="1"/>
  <c r="Q365" i="69"/>
  <c r="O365" i="69"/>
  <c r="M365" i="69"/>
  <c r="K365" i="69"/>
  <c r="I365" i="69"/>
  <c r="G365" i="69"/>
  <c r="E365" i="69"/>
  <c r="C365" i="69"/>
  <c r="R364" i="69"/>
  <c r="S364" i="69" s="1"/>
  <c r="Q364" i="69"/>
  <c r="O364" i="69"/>
  <c r="M364" i="69"/>
  <c r="K364" i="69"/>
  <c r="I364" i="69"/>
  <c r="G364" i="69"/>
  <c r="E364" i="69"/>
  <c r="C364" i="69"/>
  <c r="R363" i="69"/>
  <c r="S363" i="69" s="1"/>
  <c r="Q363" i="69"/>
  <c r="O363" i="69"/>
  <c r="M363" i="69"/>
  <c r="K363" i="69"/>
  <c r="I363" i="69"/>
  <c r="G363" i="69"/>
  <c r="E363" i="69"/>
  <c r="C363" i="69"/>
  <c r="R362" i="69"/>
  <c r="S362" i="69" s="1"/>
  <c r="Q362" i="69"/>
  <c r="O362" i="69"/>
  <c r="M362" i="69"/>
  <c r="K362" i="69"/>
  <c r="I362" i="69"/>
  <c r="G362" i="69"/>
  <c r="E362" i="69"/>
  <c r="C362" i="69"/>
  <c r="R361" i="69"/>
  <c r="S361" i="69" s="1"/>
  <c r="Q361" i="69"/>
  <c r="O361" i="69"/>
  <c r="M361" i="69"/>
  <c r="K361" i="69"/>
  <c r="I361" i="69"/>
  <c r="G361" i="69"/>
  <c r="E361" i="69"/>
  <c r="C361" i="69"/>
  <c r="R360" i="69"/>
  <c r="S360" i="69" s="1"/>
  <c r="Q360" i="69"/>
  <c r="O360" i="69"/>
  <c r="M360" i="69"/>
  <c r="K360" i="69"/>
  <c r="I360" i="69"/>
  <c r="G360" i="69"/>
  <c r="E360" i="69"/>
  <c r="C360" i="69"/>
  <c r="R359" i="69"/>
  <c r="S359" i="69" s="1"/>
  <c r="Q359" i="69"/>
  <c r="O359" i="69"/>
  <c r="M359" i="69"/>
  <c r="K359" i="69"/>
  <c r="I359" i="69"/>
  <c r="G359" i="69"/>
  <c r="E359" i="69"/>
  <c r="C359" i="69"/>
  <c r="R358" i="69"/>
  <c r="S358" i="69" s="1"/>
  <c r="Q358" i="69"/>
  <c r="O358" i="69"/>
  <c r="M358" i="69"/>
  <c r="K358" i="69"/>
  <c r="I358" i="69"/>
  <c r="G358" i="69"/>
  <c r="E358" i="69"/>
  <c r="C358" i="69"/>
  <c r="R357" i="69"/>
  <c r="S357" i="69" s="1"/>
  <c r="Q357" i="69"/>
  <c r="O357" i="69"/>
  <c r="M357" i="69"/>
  <c r="K357" i="69"/>
  <c r="I357" i="69"/>
  <c r="G357" i="69"/>
  <c r="E357" i="69"/>
  <c r="C357" i="69"/>
  <c r="R356" i="69"/>
  <c r="S356" i="69" s="1"/>
  <c r="Q356" i="69"/>
  <c r="O356" i="69"/>
  <c r="M356" i="69"/>
  <c r="K356" i="69"/>
  <c r="I356" i="69"/>
  <c r="G356" i="69"/>
  <c r="E356" i="69"/>
  <c r="C356" i="69"/>
  <c r="R355" i="69"/>
  <c r="S355" i="69" s="1"/>
  <c r="Q355" i="69"/>
  <c r="O355" i="69"/>
  <c r="M355" i="69"/>
  <c r="K355" i="69"/>
  <c r="I355" i="69"/>
  <c r="G355" i="69"/>
  <c r="E355" i="69"/>
  <c r="C355" i="69"/>
  <c r="R354" i="69"/>
  <c r="S354" i="69" s="1"/>
  <c r="Q354" i="69"/>
  <c r="O354" i="69"/>
  <c r="M354" i="69"/>
  <c r="K354" i="69"/>
  <c r="I354" i="69"/>
  <c r="G354" i="69"/>
  <c r="E354" i="69"/>
  <c r="C354" i="69"/>
  <c r="R353" i="69"/>
  <c r="S353" i="69" s="1"/>
  <c r="Q353" i="69"/>
  <c r="O353" i="69"/>
  <c r="M353" i="69"/>
  <c r="K353" i="69"/>
  <c r="I353" i="69"/>
  <c r="G353" i="69"/>
  <c r="E353" i="69"/>
  <c r="C353" i="69"/>
  <c r="R352" i="69"/>
  <c r="S352" i="69" s="1"/>
  <c r="Q352" i="69"/>
  <c r="O352" i="69"/>
  <c r="M352" i="69"/>
  <c r="K352" i="69"/>
  <c r="I352" i="69"/>
  <c r="G352" i="69"/>
  <c r="E352" i="69"/>
  <c r="C352" i="69"/>
  <c r="R351" i="69"/>
  <c r="S351" i="69" s="1"/>
  <c r="Q351" i="69"/>
  <c r="O351" i="69"/>
  <c r="M351" i="69"/>
  <c r="K351" i="69"/>
  <c r="I351" i="69"/>
  <c r="G351" i="69"/>
  <c r="E351" i="69"/>
  <c r="C351" i="69"/>
  <c r="R350" i="69"/>
  <c r="S350" i="69" s="1"/>
  <c r="Q350" i="69"/>
  <c r="O350" i="69"/>
  <c r="M350" i="69"/>
  <c r="K350" i="69"/>
  <c r="I350" i="69"/>
  <c r="G350" i="69"/>
  <c r="E350" i="69"/>
  <c r="C350" i="69"/>
  <c r="R349" i="69"/>
  <c r="S349" i="69" s="1"/>
  <c r="Q349" i="69"/>
  <c r="O349" i="69"/>
  <c r="M349" i="69"/>
  <c r="K349" i="69"/>
  <c r="I349" i="69"/>
  <c r="G349" i="69"/>
  <c r="E349" i="69"/>
  <c r="C349" i="69"/>
  <c r="R348" i="69"/>
  <c r="S348" i="69" s="1"/>
  <c r="Q348" i="69"/>
  <c r="O348" i="69"/>
  <c r="M348" i="69"/>
  <c r="K348" i="69"/>
  <c r="I348" i="69"/>
  <c r="G348" i="69"/>
  <c r="E348" i="69"/>
  <c r="C348" i="69"/>
  <c r="R347" i="69"/>
  <c r="S347" i="69" s="1"/>
  <c r="Q347" i="69"/>
  <c r="O347" i="69"/>
  <c r="M347" i="69"/>
  <c r="K347" i="69"/>
  <c r="I347" i="69"/>
  <c r="G347" i="69"/>
  <c r="E347" i="69"/>
  <c r="C347" i="69"/>
  <c r="R346" i="69"/>
  <c r="S346" i="69" s="1"/>
  <c r="Q346" i="69"/>
  <c r="O346" i="69"/>
  <c r="M346" i="69"/>
  <c r="K346" i="69"/>
  <c r="I346" i="69"/>
  <c r="G346" i="69"/>
  <c r="E346" i="69"/>
  <c r="C346" i="69"/>
  <c r="R345" i="69"/>
  <c r="S345" i="69" s="1"/>
  <c r="Q345" i="69"/>
  <c r="O345" i="69"/>
  <c r="M345" i="69"/>
  <c r="K345" i="69"/>
  <c r="I345" i="69"/>
  <c r="G345" i="69"/>
  <c r="E345" i="69"/>
  <c r="C345" i="69"/>
  <c r="R344" i="69"/>
  <c r="S344" i="69" s="1"/>
  <c r="Q344" i="69"/>
  <c r="O344" i="69"/>
  <c r="M344" i="69"/>
  <c r="K344" i="69"/>
  <c r="I344" i="69"/>
  <c r="G344" i="69"/>
  <c r="E344" i="69"/>
  <c r="C344" i="69"/>
  <c r="R343" i="69"/>
  <c r="S343" i="69" s="1"/>
  <c r="Q343" i="69"/>
  <c r="O343" i="69"/>
  <c r="M343" i="69"/>
  <c r="K343" i="69"/>
  <c r="I343" i="69"/>
  <c r="G343" i="69"/>
  <c r="E343" i="69"/>
  <c r="C343" i="69"/>
  <c r="R342" i="69"/>
  <c r="S342" i="69" s="1"/>
  <c r="Q342" i="69"/>
  <c r="O342" i="69"/>
  <c r="M342" i="69"/>
  <c r="K342" i="69"/>
  <c r="I342" i="69"/>
  <c r="G342" i="69"/>
  <c r="E342" i="69"/>
  <c r="C342" i="69"/>
  <c r="R341" i="69"/>
  <c r="S341" i="69" s="1"/>
  <c r="Q341" i="69"/>
  <c r="O341" i="69"/>
  <c r="M341" i="69"/>
  <c r="K341" i="69"/>
  <c r="I341" i="69"/>
  <c r="G341" i="69"/>
  <c r="E341" i="69"/>
  <c r="C341" i="69"/>
  <c r="R340" i="69"/>
  <c r="S340" i="69" s="1"/>
  <c r="Q340" i="69"/>
  <c r="O340" i="69"/>
  <c r="M340" i="69"/>
  <c r="K340" i="69"/>
  <c r="I340" i="69"/>
  <c r="G340" i="69"/>
  <c r="E340" i="69"/>
  <c r="C340" i="69"/>
  <c r="R339" i="69"/>
  <c r="S339" i="69" s="1"/>
  <c r="Q339" i="69"/>
  <c r="O339" i="69"/>
  <c r="M339" i="69"/>
  <c r="K339" i="69"/>
  <c r="I339" i="69"/>
  <c r="G339" i="69"/>
  <c r="E339" i="69"/>
  <c r="C339" i="69"/>
  <c r="R338" i="69"/>
  <c r="S338" i="69" s="1"/>
  <c r="Q338" i="69"/>
  <c r="O338" i="69"/>
  <c r="M338" i="69"/>
  <c r="K338" i="69"/>
  <c r="I338" i="69"/>
  <c r="G338" i="69"/>
  <c r="E338" i="69"/>
  <c r="C338" i="69"/>
  <c r="R337" i="69"/>
  <c r="S337" i="69" s="1"/>
  <c r="Q337" i="69"/>
  <c r="O337" i="69"/>
  <c r="M337" i="69"/>
  <c r="K337" i="69"/>
  <c r="I337" i="69"/>
  <c r="G337" i="69"/>
  <c r="E337" i="69"/>
  <c r="C337" i="69"/>
  <c r="R336" i="69"/>
  <c r="S336" i="69" s="1"/>
  <c r="Q336" i="69"/>
  <c r="O336" i="69"/>
  <c r="M336" i="69"/>
  <c r="K336" i="69"/>
  <c r="I336" i="69"/>
  <c r="G336" i="69"/>
  <c r="E336" i="69"/>
  <c r="C336" i="69"/>
  <c r="R335" i="69"/>
  <c r="S335" i="69" s="1"/>
  <c r="Q335" i="69"/>
  <c r="O335" i="69"/>
  <c r="M335" i="69"/>
  <c r="K335" i="69"/>
  <c r="I335" i="69"/>
  <c r="G335" i="69"/>
  <c r="E335" i="69"/>
  <c r="C335" i="69"/>
  <c r="R334" i="69"/>
  <c r="S334" i="69" s="1"/>
  <c r="Q334" i="69"/>
  <c r="O334" i="69"/>
  <c r="M334" i="69"/>
  <c r="K334" i="69"/>
  <c r="I334" i="69"/>
  <c r="G334" i="69"/>
  <c r="E334" i="69"/>
  <c r="C334" i="69"/>
  <c r="R333" i="69"/>
  <c r="S333" i="69" s="1"/>
  <c r="Q333" i="69"/>
  <c r="O333" i="69"/>
  <c r="M333" i="69"/>
  <c r="K333" i="69"/>
  <c r="I333" i="69"/>
  <c r="G333" i="69"/>
  <c r="E333" i="69"/>
  <c r="C333" i="69"/>
  <c r="R332" i="69"/>
  <c r="S332" i="69" s="1"/>
  <c r="Q332" i="69"/>
  <c r="O332" i="69"/>
  <c r="M332" i="69"/>
  <c r="K332" i="69"/>
  <c r="I332" i="69"/>
  <c r="G332" i="69"/>
  <c r="E332" i="69"/>
  <c r="C332" i="69"/>
  <c r="R331" i="69"/>
  <c r="S331" i="69" s="1"/>
  <c r="Q331" i="69"/>
  <c r="O331" i="69"/>
  <c r="M331" i="69"/>
  <c r="K331" i="69"/>
  <c r="I331" i="69"/>
  <c r="G331" i="69"/>
  <c r="E331" i="69"/>
  <c r="C331" i="69"/>
  <c r="R330" i="69"/>
  <c r="S330" i="69" s="1"/>
  <c r="Q330" i="69"/>
  <c r="O330" i="69"/>
  <c r="M330" i="69"/>
  <c r="K330" i="69"/>
  <c r="I330" i="69"/>
  <c r="G330" i="69"/>
  <c r="E330" i="69"/>
  <c r="C330" i="69"/>
  <c r="R329" i="69"/>
  <c r="S329" i="69" s="1"/>
  <c r="Q329" i="69"/>
  <c r="O329" i="69"/>
  <c r="M329" i="69"/>
  <c r="K329" i="69"/>
  <c r="I329" i="69"/>
  <c r="G329" i="69"/>
  <c r="E329" i="69"/>
  <c r="C329" i="69"/>
  <c r="R328" i="69"/>
  <c r="S328" i="69" s="1"/>
  <c r="Q328" i="69"/>
  <c r="O328" i="69"/>
  <c r="M328" i="69"/>
  <c r="K328" i="69"/>
  <c r="I328" i="69"/>
  <c r="G328" i="69"/>
  <c r="E328" i="69"/>
  <c r="C328" i="69"/>
  <c r="R327" i="69"/>
  <c r="S327" i="69" s="1"/>
  <c r="Q327" i="69"/>
  <c r="O327" i="69"/>
  <c r="M327" i="69"/>
  <c r="K327" i="69"/>
  <c r="I327" i="69"/>
  <c r="G327" i="69"/>
  <c r="E327" i="69"/>
  <c r="C327" i="69"/>
  <c r="R326" i="69"/>
  <c r="S326" i="69" s="1"/>
  <c r="Q326" i="69"/>
  <c r="O326" i="69"/>
  <c r="M326" i="69"/>
  <c r="K326" i="69"/>
  <c r="I326" i="69"/>
  <c r="G326" i="69"/>
  <c r="E326" i="69"/>
  <c r="C326" i="69"/>
  <c r="R325" i="69"/>
  <c r="S325" i="69" s="1"/>
  <c r="Q325" i="69"/>
  <c r="O325" i="69"/>
  <c r="M325" i="69"/>
  <c r="K325" i="69"/>
  <c r="I325" i="69"/>
  <c r="G325" i="69"/>
  <c r="E325" i="69"/>
  <c r="C325" i="69"/>
  <c r="R324" i="69"/>
  <c r="S324" i="69" s="1"/>
  <c r="Q324" i="69"/>
  <c r="O324" i="69"/>
  <c r="M324" i="69"/>
  <c r="K324" i="69"/>
  <c r="I324" i="69"/>
  <c r="G324" i="69"/>
  <c r="E324" i="69"/>
  <c r="C324" i="69"/>
  <c r="R323" i="69"/>
  <c r="S323" i="69" s="1"/>
  <c r="Q323" i="69"/>
  <c r="O323" i="69"/>
  <c r="M323" i="69"/>
  <c r="K323" i="69"/>
  <c r="I323" i="69"/>
  <c r="G323" i="69"/>
  <c r="E323" i="69"/>
  <c r="C323" i="69"/>
  <c r="R322" i="69"/>
  <c r="S322" i="69" s="1"/>
  <c r="Q322" i="69"/>
  <c r="O322" i="69"/>
  <c r="M322" i="69"/>
  <c r="K322" i="69"/>
  <c r="I322" i="69"/>
  <c r="G322" i="69"/>
  <c r="E322" i="69"/>
  <c r="C322" i="69"/>
  <c r="R321" i="69"/>
  <c r="S321" i="69" s="1"/>
  <c r="Q321" i="69"/>
  <c r="O321" i="69"/>
  <c r="M321" i="69"/>
  <c r="K321" i="69"/>
  <c r="I321" i="69"/>
  <c r="G321" i="69"/>
  <c r="E321" i="69"/>
  <c r="C321" i="69"/>
  <c r="R320" i="69"/>
  <c r="S320" i="69" s="1"/>
  <c r="Q320" i="69"/>
  <c r="O320" i="69"/>
  <c r="M320" i="69"/>
  <c r="K320" i="69"/>
  <c r="I320" i="69"/>
  <c r="G320" i="69"/>
  <c r="E320" i="69"/>
  <c r="C320" i="69"/>
  <c r="R319" i="69"/>
  <c r="S319" i="69" s="1"/>
  <c r="Q319" i="69"/>
  <c r="O319" i="69"/>
  <c r="M319" i="69"/>
  <c r="K319" i="69"/>
  <c r="I319" i="69"/>
  <c r="G319" i="69"/>
  <c r="E319" i="69"/>
  <c r="C319" i="69"/>
  <c r="R318" i="69"/>
  <c r="S318" i="69" s="1"/>
  <c r="Q318" i="69"/>
  <c r="O318" i="69"/>
  <c r="M318" i="69"/>
  <c r="K318" i="69"/>
  <c r="I318" i="69"/>
  <c r="G318" i="69"/>
  <c r="E318" i="69"/>
  <c r="C318" i="69"/>
  <c r="R317" i="69"/>
  <c r="S317" i="69" s="1"/>
  <c r="Q317" i="69"/>
  <c r="O317" i="69"/>
  <c r="M317" i="69"/>
  <c r="K317" i="69"/>
  <c r="I317" i="69"/>
  <c r="G317" i="69"/>
  <c r="E317" i="69"/>
  <c r="C317" i="69"/>
  <c r="R316" i="69"/>
  <c r="S316" i="69" s="1"/>
  <c r="Q316" i="69"/>
  <c r="O316" i="69"/>
  <c r="M316" i="69"/>
  <c r="K316" i="69"/>
  <c r="I316" i="69"/>
  <c r="G316" i="69"/>
  <c r="E316" i="69"/>
  <c r="C316" i="69"/>
  <c r="R315" i="69"/>
  <c r="S315" i="69" s="1"/>
  <c r="Q315" i="69"/>
  <c r="O315" i="69"/>
  <c r="M315" i="69"/>
  <c r="K315" i="69"/>
  <c r="I315" i="69"/>
  <c r="G315" i="69"/>
  <c r="E315" i="69"/>
  <c r="C315" i="69"/>
  <c r="R314" i="69"/>
  <c r="S314" i="69" s="1"/>
  <c r="Q314" i="69"/>
  <c r="O314" i="69"/>
  <c r="M314" i="69"/>
  <c r="K314" i="69"/>
  <c r="I314" i="69"/>
  <c r="G314" i="69"/>
  <c r="E314" i="69"/>
  <c r="C314" i="69"/>
  <c r="R313" i="69"/>
  <c r="S313" i="69" s="1"/>
  <c r="Q313" i="69"/>
  <c r="O313" i="69"/>
  <c r="M313" i="69"/>
  <c r="K313" i="69"/>
  <c r="I313" i="69"/>
  <c r="G313" i="69"/>
  <c r="E313" i="69"/>
  <c r="C313" i="69"/>
  <c r="R312" i="69"/>
  <c r="S312" i="69" s="1"/>
  <c r="Q312" i="69"/>
  <c r="O312" i="69"/>
  <c r="M312" i="69"/>
  <c r="K312" i="69"/>
  <c r="I312" i="69"/>
  <c r="G312" i="69"/>
  <c r="E312" i="69"/>
  <c r="C312" i="69"/>
  <c r="R311" i="69"/>
  <c r="S311" i="69" s="1"/>
  <c r="Q311" i="69"/>
  <c r="O311" i="69"/>
  <c r="M311" i="69"/>
  <c r="K311" i="69"/>
  <c r="I311" i="69"/>
  <c r="G311" i="69"/>
  <c r="E311" i="69"/>
  <c r="C311" i="69"/>
  <c r="R310" i="69"/>
  <c r="S310" i="69" s="1"/>
  <c r="Q310" i="69"/>
  <c r="O310" i="69"/>
  <c r="M310" i="69"/>
  <c r="K310" i="69"/>
  <c r="I310" i="69"/>
  <c r="G310" i="69"/>
  <c r="E310" i="69"/>
  <c r="C310" i="69"/>
  <c r="R309" i="69"/>
  <c r="S309" i="69" s="1"/>
  <c r="Q309" i="69"/>
  <c r="O309" i="69"/>
  <c r="M309" i="69"/>
  <c r="K309" i="69"/>
  <c r="I309" i="69"/>
  <c r="G309" i="69"/>
  <c r="E309" i="69"/>
  <c r="C309" i="69"/>
  <c r="R308" i="69"/>
  <c r="S308" i="69" s="1"/>
  <c r="Q308" i="69"/>
  <c r="O308" i="69"/>
  <c r="M308" i="69"/>
  <c r="K308" i="69"/>
  <c r="I308" i="69"/>
  <c r="G308" i="69"/>
  <c r="E308" i="69"/>
  <c r="C308" i="69"/>
  <c r="R307" i="69"/>
  <c r="S307" i="69" s="1"/>
  <c r="Q307" i="69"/>
  <c r="O307" i="69"/>
  <c r="M307" i="69"/>
  <c r="K307" i="69"/>
  <c r="I307" i="69"/>
  <c r="G307" i="69"/>
  <c r="E307" i="69"/>
  <c r="C307" i="69"/>
  <c r="R306" i="69"/>
  <c r="S306" i="69" s="1"/>
  <c r="Q306" i="69"/>
  <c r="O306" i="69"/>
  <c r="M306" i="69"/>
  <c r="K306" i="69"/>
  <c r="I306" i="69"/>
  <c r="G306" i="69"/>
  <c r="E306" i="69"/>
  <c r="C306" i="69"/>
  <c r="R305" i="69"/>
  <c r="S305" i="69" s="1"/>
  <c r="Q305" i="69"/>
  <c r="O305" i="69"/>
  <c r="M305" i="69"/>
  <c r="K305" i="69"/>
  <c r="I305" i="69"/>
  <c r="G305" i="69"/>
  <c r="E305" i="69"/>
  <c r="C305" i="69"/>
  <c r="R304" i="69"/>
  <c r="S304" i="69" s="1"/>
  <c r="Q304" i="69"/>
  <c r="O304" i="69"/>
  <c r="M304" i="69"/>
  <c r="K304" i="69"/>
  <c r="I304" i="69"/>
  <c r="G304" i="69"/>
  <c r="E304" i="69"/>
  <c r="C304" i="69"/>
  <c r="R303" i="69"/>
  <c r="S303" i="69" s="1"/>
  <c r="Q303" i="69"/>
  <c r="O303" i="69"/>
  <c r="M303" i="69"/>
  <c r="K303" i="69"/>
  <c r="I303" i="69"/>
  <c r="G303" i="69"/>
  <c r="E303" i="69"/>
  <c r="C303" i="69"/>
  <c r="R302" i="69"/>
  <c r="S302" i="69" s="1"/>
  <c r="Q302" i="69"/>
  <c r="O302" i="69"/>
  <c r="M302" i="69"/>
  <c r="K302" i="69"/>
  <c r="I302" i="69"/>
  <c r="G302" i="69"/>
  <c r="E302" i="69"/>
  <c r="C302" i="69"/>
  <c r="R301" i="69"/>
  <c r="S301" i="69" s="1"/>
  <c r="Q301" i="69"/>
  <c r="O301" i="69"/>
  <c r="M301" i="69"/>
  <c r="K301" i="69"/>
  <c r="I301" i="69"/>
  <c r="G301" i="69"/>
  <c r="E301" i="69"/>
  <c r="C301" i="69"/>
  <c r="R300" i="69"/>
  <c r="S300" i="69" s="1"/>
  <c r="Q300" i="69"/>
  <c r="O300" i="69"/>
  <c r="M300" i="69"/>
  <c r="K300" i="69"/>
  <c r="I300" i="69"/>
  <c r="G300" i="69"/>
  <c r="E300" i="69"/>
  <c r="C300" i="69"/>
  <c r="R299" i="69"/>
  <c r="S299" i="69" s="1"/>
  <c r="Q299" i="69"/>
  <c r="O299" i="69"/>
  <c r="M299" i="69"/>
  <c r="K299" i="69"/>
  <c r="I299" i="69"/>
  <c r="G299" i="69"/>
  <c r="E299" i="69"/>
  <c r="C299" i="69"/>
  <c r="R298" i="69"/>
  <c r="S298" i="69" s="1"/>
  <c r="Q298" i="69"/>
  <c r="O298" i="69"/>
  <c r="M298" i="69"/>
  <c r="K298" i="69"/>
  <c r="I298" i="69"/>
  <c r="G298" i="69"/>
  <c r="E298" i="69"/>
  <c r="C298" i="69"/>
  <c r="R297" i="69"/>
  <c r="S297" i="69" s="1"/>
  <c r="Q297" i="69"/>
  <c r="O297" i="69"/>
  <c r="M297" i="69"/>
  <c r="K297" i="69"/>
  <c r="I297" i="69"/>
  <c r="G297" i="69"/>
  <c r="E297" i="69"/>
  <c r="C297" i="69"/>
  <c r="R296" i="69"/>
  <c r="S296" i="69" s="1"/>
  <c r="Q296" i="69"/>
  <c r="O296" i="69"/>
  <c r="M296" i="69"/>
  <c r="K296" i="69"/>
  <c r="I296" i="69"/>
  <c r="G296" i="69"/>
  <c r="E296" i="69"/>
  <c r="C296" i="69"/>
  <c r="R295" i="69"/>
  <c r="S295" i="69" s="1"/>
  <c r="Q295" i="69"/>
  <c r="O295" i="69"/>
  <c r="M295" i="69"/>
  <c r="K295" i="69"/>
  <c r="I295" i="69"/>
  <c r="G295" i="69"/>
  <c r="E295" i="69"/>
  <c r="C295" i="69"/>
  <c r="R294" i="69"/>
  <c r="S294" i="69" s="1"/>
  <c r="Q294" i="69"/>
  <c r="O294" i="69"/>
  <c r="M294" i="69"/>
  <c r="K294" i="69"/>
  <c r="I294" i="69"/>
  <c r="G294" i="69"/>
  <c r="E294" i="69"/>
  <c r="C294" i="69"/>
  <c r="R293" i="69"/>
  <c r="S293" i="69" s="1"/>
  <c r="Q293" i="69"/>
  <c r="O293" i="69"/>
  <c r="M293" i="69"/>
  <c r="K293" i="69"/>
  <c r="I293" i="69"/>
  <c r="G293" i="69"/>
  <c r="E293" i="69"/>
  <c r="C293" i="69"/>
  <c r="R292" i="69"/>
  <c r="S292" i="69" s="1"/>
  <c r="Q292" i="69"/>
  <c r="O292" i="69"/>
  <c r="M292" i="69"/>
  <c r="K292" i="69"/>
  <c r="I292" i="69"/>
  <c r="G292" i="69"/>
  <c r="E292" i="69"/>
  <c r="C292" i="69"/>
  <c r="R291" i="69"/>
  <c r="S291" i="69" s="1"/>
  <c r="Q291" i="69"/>
  <c r="O291" i="69"/>
  <c r="M291" i="69"/>
  <c r="K291" i="69"/>
  <c r="I291" i="69"/>
  <c r="G291" i="69"/>
  <c r="E291" i="69"/>
  <c r="C291" i="69"/>
  <c r="R290" i="69"/>
  <c r="S290" i="69" s="1"/>
  <c r="Q290" i="69"/>
  <c r="O290" i="69"/>
  <c r="M290" i="69"/>
  <c r="K290" i="69"/>
  <c r="I290" i="69"/>
  <c r="G290" i="69"/>
  <c r="E290" i="69"/>
  <c r="C290" i="69"/>
  <c r="R289" i="69"/>
  <c r="S289" i="69" s="1"/>
  <c r="Q289" i="69"/>
  <c r="O289" i="69"/>
  <c r="M289" i="69"/>
  <c r="K289" i="69"/>
  <c r="I289" i="69"/>
  <c r="G289" i="69"/>
  <c r="E289" i="69"/>
  <c r="C289" i="69"/>
  <c r="R288" i="69"/>
  <c r="S288" i="69" s="1"/>
  <c r="Q288" i="69"/>
  <c r="O288" i="69"/>
  <c r="M288" i="69"/>
  <c r="K288" i="69"/>
  <c r="I288" i="69"/>
  <c r="G288" i="69"/>
  <c r="E288" i="69"/>
  <c r="C288" i="69"/>
  <c r="R287" i="69"/>
  <c r="S287" i="69" s="1"/>
  <c r="Q287" i="69"/>
  <c r="O287" i="69"/>
  <c r="M287" i="69"/>
  <c r="K287" i="69"/>
  <c r="I287" i="69"/>
  <c r="G287" i="69"/>
  <c r="E287" i="69"/>
  <c r="C287" i="69"/>
  <c r="R286" i="69"/>
  <c r="S286" i="69" s="1"/>
  <c r="Q286" i="69"/>
  <c r="O286" i="69"/>
  <c r="M286" i="69"/>
  <c r="K286" i="69"/>
  <c r="I286" i="69"/>
  <c r="G286" i="69"/>
  <c r="E286" i="69"/>
  <c r="C286" i="69"/>
  <c r="R285" i="69"/>
  <c r="S285" i="69" s="1"/>
  <c r="Q285" i="69"/>
  <c r="O285" i="69"/>
  <c r="M285" i="69"/>
  <c r="K285" i="69"/>
  <c r="I285" i="69"/>
  <c r="G285" i="69"/>
  <c r="E285" i="69"/>
  <c r="C285" i="69"/>
  <c r="R284" i="69"/>
  <c r="S284" i="69" s="1"/>
  <c r="Q284" i="69"/>
  <c r="O284" i="69"/>
  <c r="M284" i="69"/>
  <c r="K284" i="69"/>
  <c r="I284" i="69"/>
  <c r="G284" i="69"/>
  <c r="E284" i="69"/>
  <c r="C284" i="69"/>
  <c r="R283" i="69"/>
  <c r="S283" i="69" s="1"/>
  <c r="Q283" i="69"/>
  <c r="O283" i="69"/>
  <c r="M283" i="69"/>
  <c r="K283" i="69"/>
  <c r="I283" i="69"/>
  <c r="G283" i="69"/>
  <c r="E283" i="69"/>
  <c r="C283" i="69"/>
  <c r="R282" i="69"/>
  <c r="S282" i="69" s="1"/>
  <c r="Q282" i="69"/>
  <c r="O282" i="69"/>
  <c r="M282" i="69"/>
  <c r="K282" i="69"/>
  <c r="I282" i="69"/>
  <c r="G282" i="69"/>
  <c r="E282" i="69"/>
  <c r="C282" i="69"/>
  <c r="R281" i="69"/>
  <c r="S281" i="69" s="1"/>
  <c r="Q281" i="69"/>
  <c r="O281" i="69"/>
  <c r="M281" i="69"/>
  <c r="K281" i="69"/>
  <c r="I281" i="69"/>
  <c r="G281" i="69"/>
  <c r="E281" i="69"/>
  <c r="C281" i="69"/>
  <c r="R280" i="69"/>
  <c r="S280" i="69" s="1"/>
  <c r="Q280" i="69"/>
  <c r="O280" i="69"/>
  <c r="M280" i="69"/>
  <c r="K280" i="69"/>
  <c r="I280" i="69"/>
  <c r="G280" i="69"/>
  <c r="E280" i="69"/>
  <c r="C280" i="69"/>
  <c r="R279" i="69"/>
  <c r="S279" i="69" s="1"/>
  <c r="Q279" i="69"/>
  <c r="O279" i="69"/>
  <c r="M279" i="69"/>
  <c r="K279" i="69"/>
  <c r="I279" i="69"/>
  <c r="G279" i="69"/>
  <c r="E279" i="69"/>
  <c r="C279" i="69"/>
  <c r="R278" i="69"/>
  <c r="S278" i="69" s="1"/>
  <c r="Q278" i="69"/>
  <c r="O278" i="69"/>
  <c r="M278" i="69"/>
  <c r="K278" i="69"/>
  <c r="I278" i="69"/>
  <c r="G278" i="69"/>
  <c r="E278" i="69"/>
  <c r="C278" i="69"/>
  <c r="R277" i="69"/>
  <c r="S277" i="69" s="1"/>
  <c r="Q277" i="69"/>
  <c r="O277" i="69"/>
  <c r="M277" i="69"/>
  <c r="K277" i="69"/>
  <c r="I277" i="69"/>
  <c r="G277" i="69"/>
  <c r="E277" i="69"/>
  <c r="C277" i="69"/>
  <c r="R276" i="69"/>
  <c r="S276" i="69" s="1"/>
  <c r="Q276" i="69"/>
  <c r="O276" i="69"/>
  <c r="M276" i="69"/>
  <c r="K276" i="69"/>
  <c r="I276" i="69"/>
  <c r="G276" i="69"/>
  <c r="E276" i="69"/>
  <c r="C276" i="69"/>
  <c r="R275" i="69"/>
  <c r="S275" i="69" s="1"/>
  <c r="Q275" i="69"/>
  <c r="O275" i="69"/>
  <c r="M275" i="69"/>
  <c r="K275" i="69"/>
  <c r="I275" i="69"/>
  <c r="G275" i="69"/>
  <c r="E275" i="69"/>
  <c r="C275" i="69"/>
  <c r="R274" i="69"/>
  <c r="S274" i="69" s="1"/>
  <c r="Q274" i="69"/>
  <c r="O274" i="69"/>
  <c r="M274" i="69"/>
  <c r="K274" i="69"/>
  <c r="I274" i="69"/>
  <c r="G274" i="69"/>
  <c r="E274" i="69"/>
  <c r="C274" i="69"/>
  <c r="R273" i="69"/>
  <c r="S273" i="69" s="1"/>
  <c r="Q273" i="69"/>
  <c r="O273" i="69"/>
  <c r="M273" i="69"/>
  <c r="K273" i="69"/>
  <c r="I273" i="69"/>
  <c r="G273" i="69"/>
  <c r="E273" i="69"/>
  <c r="C273" i="69"/>
  <c r="R272" i="69"/>
  <c r="S272" i="69" s="1"/>
  <c r="Q272" i="69"/>
  <c r="O272" i="69"/>
  <c r="M272" i="69"/>
  <c r="K272" i="69"/>
  <c r="I272" i="69"/>
  <c r="G272" i="69"/>
  <c r="E272" i="69"/>
  <c r="C272" i="69"/>
  <c r="R271" i="69"/>
  <c r="S271" i="69" s="1"/>
  <c r="Q271" i="69"/>
  <c r="O271" i="69"/>
  <c r="M271" i="69"/>
  <c r="K271" i="69"/>
  <c r="I271" i="69"/>
  <c r="G271" i="69"/>
  <c r="E271" i="69"/>
  <c r="C271" i="69"/>
  <c r="R270" i="69"/>
  <c r="S270" i="69" s="1"/>
  <c r="Q270" i="69"/>
  <c r="O270" i="69"/>
  <c r="M270" i="69"/>
  <c r="K270" i="69"/>
  <c r="I270" i="69"/>
  <c r="G270" i="69"/>
  <c r="E270" i="69"/>
  <c r="C270" i="69"/>
  <c r="R269" i="69"/>
  <c r="S269" i="69" s="1"/>
  <c r="Q269" i="69"/>
  <c r="O269" i="69"/>
  <c r="M269" i="69"/>
  <c r="K269" i="69"/>
  <c r="I269" i="69"/>
  <c r="G269" i="69"/>
  <c r="E269" i="69"/>
  <c r="C269" i="69"/>
  <c r="R268" i="69"/>
  <c r="S268" i="69" s="1"/>
  <c r="Q268" i="69"/>
  <c r="O268" i="69"/>
  <c r="M268" i="69"/>
  <c r="K268" i="69"/>
  <c r="I268" i="69"/>
  <c r="G268" i="69"/>
  <c r="E268" i="69"/>
  <c r="C268" i="69"/>
  <c r="R267" i="69"/>
  <c r="S267" i="69" s="1"/>
  <c r="Q267" i="69"/>
  <c r="O267" i="69"/>
  <c r="M267" i="69"/>
  <c r="K267" i="69"/>
  <c r="I267" i="69"/>
  <c r="G267" i="69"/>
  <c r="E267" i="69"/>
  <c r="C267" i="69"/>
  <c r="R266" i="69"/>
  <c r="S266" i="69" s="1"/>
  <c r="Q266" i="69"/>
  <c r="O266" i="69"/>
  <c r="M266" i="69"/>
  <c r="K266" i="69"/>
  <c r="I266" i="69"/>
  <c r="G266" i="69"/>
  <c r="E266" i="69"/>
  <c r="C266" i="69"/>
  <c r="R265" i="69"/>
  <c r="S265" i="69" s="1"/>
  <c r="Q265" i="69"/>
  <c r="O265" i="69"/>
  <c r="M265" i="69"/>
  <c r="K265" i="69"/>
  <c r="I265" i="69"/>
  <c r="G265" i="69"/>
  <c r="E265" i="69"/>
  <c r="C265" i="69"/>
  <c r="R264" i="69"/>
  <c r="S264" i="69" s="1"/>
  <c r="Q264" i="69"/>
  <c r="O264" i="69"/>
  <c r="M264" i="69"/>
  <c r="K264" i="69"/>
  <c r="I264" i="69"/>
  <c r="G264" i="69"/>
  <c r="E264" i="69"/>
  <c r="C264" i="69"/>
  <c r="R263" i="69"/>
  <c r="S263" i="69" s="1"/>
  <c r="Q263" i="69"/>
  <c r="O263" i="69"/>
  <c r="M263" i="69"/>
  <c r="K263" i="69"/>
  <c r="I263" i="69"/>
  <c r="G263" i="69"/>
  <c r="E263" i="69"/>
  <c r="C263" i="69"/>
  <c r="R262" i="69"/>
  <c r="S262" i="69" s="1"/>
  <c r="Q262" i="69"/>
  <c r="O262" i="69"/>
  <c r="M262" i="69"/>
  <c r="K262" i="69"/>
  <c r="I262" i="69"/>
  <c r="G262" i="69"/>
  <c r="E262" i="69"/>
  <c r="C262" i="69"/>
  <c r="R261" i="69"/>
  <c r="S261" i="69" s="1"/>
  <c r="Q261" i="69"/>
  <c r="O261" i="69"/>
  <c r="M261" i="69"/>
  <c r="K261" i="69"/>
  <c r="I261" i="69"/>
  <c r="G261" i="69"/>
  <c r="E261" i="69"/>
  <c r="C261" i="69"/>
  <c r="R260" i="69"/>
  <c r="S260" i="69" s="1"/>
  <c r="Q260" i="69"/>
  <c r="O260" i="69"/>
  <c r="M260" i="69"/>
  <c r="K260" i="69"/>
  <c r="I260" i="69"/>
  <c r="G260" i="69"/>
  <c r="E260" i="69"/>
  <c r="C260" i="69"/>
  <c r="R259" i="69"/>
  <c r="S259" i="69" s="1"/>
  <c r="Q259" i="69"/>
  <c r="O259" i="69"/>
  <c r="M259" i="69"/>
  <c r="K259" i="69"/>
  <c r="I259" i="69"/>
  <c r="G259" i="69"/>
  <c r="E259" i="69"/>
  <c r="C259" i="69"/>
  <c r="R258" i="69"/>
  <c r="S258" i="69" s="1"/>
  <c r="Q258" i="69"/>
  <c r="O258" i="69"/>
  <c r="M258" i="69"/>
  <c r="K258" i="69"/>
  <c r="I258" i="69"/>
  <c r="G258" i="69"/>
  <c r="E258" i="69"/>
  <c r="C258" i="69"/>
  <c r="R257" i="69"/>
  <c r="S257" i="69" s="1"/>
  <c r="Q257" i="69"/>
  <c r="O257" i="69"/>
  <c r="M257" i="69"/>
  <c r="K257" i="69"/>
  <c r="I257" i="69"/>
  <c r="G257" i="69"/>
  <c r="E257" i="69"/>
  <c r="C257" i="69"/>
  <c r="R256" i="69"/>
  <c r="S256" i="69" s="1"/>
  <c r="Q256" i="69"/>
  <c r="O256" i="69"/>
  <c r="M256" i="69"/>
  <c r="K256" i="69"/>
  <c r="I256" i="69"/>
  <c r="G256" i="69"/>
  <c r="E256" i="69"/>
  <c r="C256" i="69"/>
  <c r="R255" i="69"/>
  <c r="S255" i="69" s="1"/>
  <c r="Q255" i="69"/>
  <c r="O255" i="69"/>
  <c r="M255" i="69"/>
  <c r="K255" i="69"/>
  <c r="I255" i="69"/>
  <c r="G255" i="69"/>
  <c r="E255" i="69"/>
  <c r="C255" i="69"/>
  <c r="R254" i="69"/>
  <c r="S254" i="69" s="1"/>
  <c r="Q254" i="69"/>
  <c r="O254" i="69"/>
  <c r="M254" i="69"/>
  <c r="K254" i="69"/>
  <c r="I254" i="69"/>
  <c r="G254" i="69"/>
  <c r="E254" i="69"/>
  <c r="C254" i="69"/>
  <c r="R253" i="69"/>
  <c r="S253" i="69" s="1"/>
  <c r="Q253" i="69"/>
  <c r="O253" i="69"/>
  <c r="M253" i="69"/>
  <c r="K253" i="69"/>
  <c r="I253" i="69"/>
  <c r="G253" i="69"/>
  <c r="E253" i="69"/>
  <c r="C253" i="69"/>
  <c r="R252" i="69"/>
  <c r="S252" i="69" s="1"/>
  <c r="Q252" i="69"/>
  <c r="O252" i="69"/>
  <c r="M252" i="69"/>
  <c r="K252" i="69"/>
  <c r="I252" i="69"/>
  <c r="G252" i="69"/>
  <c r="E252" i="69"/>
  <c r="C252" i="69"/>
  <c r="R251" i="69"/>
  <c r="S251" i="69" s="1"/>
  <c r="Q251" i="69"/>
  <c r="O251" i="69"/>
  <c r="M251" i="69"/>
  <c r="K251" i="69"/>
  <c r="I251" i="69"/>
  <c r="G251" i="69"/>
  <c r="E251" i="69"/>
  <c r="C251" i="69"/>
  <c r="R250" i="69"/>
  <c r="S250" i="69" s="1"/>
  <c r="Q250" i="69"/>
  <c r="O250" i="69"/>
  <c r="M250" i="69"/>
  <c r="K250" i="69"/>
  <c r="I250" i="69"/>
  <c r="G250" i="69"/>
  <c r="E250" i="69"/>
  <c r="C250" i="69"/>
  <c r="R249" i="69"/>
  <c r="S249" i="69" s="1"/>
  <c r="Q249" i="69"/>
  <c r="O249" i="69"/>
  <c r="M249" i="69"/>
  <c r="K249" i="69"/>
  <c r="I249" i="69"/>
  <c r="G249" i="69"/>
  <c r="E249" i="69"/>
  <c r="C249" i="69"/>
  <c r="R248" i="69"/>
  <c r="S248" i="69" s="1"/>
  <c r="Q248" i="69"/>
  <c r="O248" i="69"/>
  <c r="M248" i="69"/>
  <c r="K248" i="69"/>
  <c r="I248" i="69"/>
  <c r="G248" i="69"/>
  <c r="E248" i="69"/>
  <c r="C248" i="69"/>
  <c r="R247" i="69"/>
  <c r="S247" i="69" s="1"/>
  <c r="Q247" i="69"/>
  <c r="O247" i="69"/>
  <c r="M247" i="69"/>
  <c r="K247" i="69"/>
  <c r="I247" i="69"/>
  <c r="G247" i="69"/>
  <c r="E247" i="69"/>
  <c r="C247" i="69"/>
  <c r="R246" i="69"/>
  <c r="S246" i="69" s="1"/>
  <c r="Q246" i="69"/>
  <c r="O246" i="69"/>
  <c r="M246" i="69"/>
  <c r="K246" i="69"/>
  <c r="I246" i="69"/>
  <c r="G246" i="69"/>
  <c r="E246" i="69"/>
  <c r="C246" i="69"/>
  <c r="R245" i="69"/>
  <c r="S245" i="69" s="1"/>
  <c r="Q245" i="69"/>
  <c r="O245" i="69"/>
  <c r="M245" i="69"/>
  <c r="K245" i="69"/>
  <c r="I245" i="69"/>
  <c r="G245" i="69"/>
  <c r="E245" i="69"/>
  <c r="C245" i="69"/>
  <c r="R244" i="69"/>
  <c r="S244" i="69" s="1"/>
  <c r="Q244" i="69"/>
  <c r="O244" i="69"/>
  <c r="M244" i="69"/>
  <c r="K244" i="69"/>
  <c r="I244" i="69"/>
  <c r="G244" i="69"/>
  <c r="E244" i="69"/>
  <c r="C244" i="69"/>
  <c r="R243" i="69"/>
  <c r="S243" i="69" s="1"/>
  <c r="Q243" i="69"/>
  <c r="O243" i="69"/>
  <c r="M243" i="69"/>
  <c r="K243" i="69"/>
  <c r="I243" i="69"/>
  <c r="G243" i="69"/>
  <c r="E243" i="69"/>
  <c r="C243" i="69"/>
  <c r="R242" i="69"/>
  <c r="S242" i="69" s="1"/>
  <c r="Q242" i="69"/>
  <c r="O242" i="69"/>
  <c r="M242" i="69"/>
  <c r="K242" i="69"/>
  <c r="I242" i="69"/>
  <c r="G242" i="69"/>
  <c r="E242" i="69"/>
  <c r="C242" i="69"/>
  <c r="R241" i="69"/>
  <c r="S241" i="69" s="1"/>
  <c r="Q241" i="69"/>
  <c r="O241" i="69"/>
  <c r="M241" i="69"/>
  <c r="K241" i="69"/>
  <c r="I241" i="69"/>
  <c r="G241" i="69"/>
  <c r="E241" i="69"/>
  <c r="C241" i="69"/>
  <c r="R240" i="69"/>
  <c r="S240" i="69" s="1"/>
  <c r="Q240" i="69"/>
  <c r="O240" i="69"/>
  <c r="M240" i="69"/>
  <c r="K240" i="69"/>
  <c r="I240" i="69"/>
  <c r="G240" i="69"/>
  <c r="E240" i="69"/>
  <c r="C240" i="69"/>
  <c r="R239" i="69"/>
  <c r="S239" i="69" s="1"/>
  <c r="Q239" i="69"/>
  <c r="O239" i="69"/>
  <c r="M239" i="69"/>
  <c r="K239" i="69"/>
  <c r="I239" i="69"/>
  <c r="G239" i="69"/>
  <c r="E239" i="69"/>
  <c r="C239" i="69"/>
  <c r="R238" i="69"/>
  <c r="S238" i="69" s="1"/>
  <c r="Q238" i="69"/>
  <c r="O238" i="69"/>
  <c r="M238" i="69"/>
  <c r="K238" i="69"/>
  <c r="I238" i="69"/>
  <c r="G238" i="69"/>
  <c r="E238" i="69"/>
  <c r="C238" i="69"/>
  <c r="R237" i="69"/>
  <c r="S237" i="69" s="1"/>
  <c r="Q237" i="69"/>
  <c r="O237" i="69"/>
  <c r="M237" i="69"/>
  <c r="K237" i="69"/>
  <c r="I237" i="69"/>
  <c r="G237" i="69"/>
  <c r="E237" i="69"/>
  <c r="C237" i="69"/>
  <c r="R236" i="69"/>
  <c r="S236" i="69" s="1"/>
  <c r="Q236" i="69"/>
  <c r="O236" i="69"/>
  <c r="M236" i="69"/>
  <c r="K236" i="69"/>
  <c r="I236" i="69"/>
  <c r="G236" i="69"/>
  <c r="E236" i="69"/>
  <c r="C236" i="69"/>
  <c r="R235" i="69"/>
  <c r="S235" i="69" s="1"/>
  <c r="Q235" i="69"/>
  <c r="O235" i="69"/>
  <c r="M235" i="69"/>
  <c r="K235" i="69"/>
  <c r="I235" i="69"/>
  <c r="G235" i="69"/>
  <c r="E235" i="69"/>
  <c r="C235" i="69"/>
  <c r="R234" i="69"/>
  <c r="S234" i="69" s="1"/>
  <c r="Q234" i="69"/>
  <c r="O234" i="69"/>
  <c r="M234" i="69"/>
  <c r="K234" i="69"/>
  <c r="I234" i="69"/>
  <c r="G234" i="69"/>
  <c r="E234" i="69"/>
  <c r="C234" i="69"/>
  <c r="R233" i="69"/>
  <c r="S233" i="69" s="1"/>
  <c r="Q233" i="69"/>
  <c r="O233" i="69"/>
  <c r="M233" i="69"/>
  <c r="K233" i="69"/>
  <c r="I233" i="69"/>
  <c r="G233" i="69"/>
  <c r="E233" i="69"/>
  <c r="C233" i="69"/>
  <c r="R232" i="69"/>
  <c r="S232" i="69" s="1"/>
  <c r="Q232" i="69"/>
  <c r="O232" i="69"/>
  <c r="M232" i="69"/>
  <c r="K232" i="69"/>
  <c r="I232" i="69"/>
  <c r="G232" i="69"/>
  <c r="E232" i="69"/>
  <c r="C232" i="69"/>
  <c r="R231" i="69"/>
  <c r="S231" i="69" s="1"/>
  <c r="Q231" i="69"/>
  <c r="O231" i="69"/>
  <c r="M231" i="69"/>
  <c r="K231" i="69"/>
  <c r="I231" i="69"/>
  <c r="G231" i="69"/>
  <c r="E231" i="69"/>
  <c r="C231" i="69"/>
  <c r="R230" i="69"/>
  <c r="S230" i="69" s="1"/>
  <c r="Q230" i="69"/>
  <c r="O230" i="69"/>
  <c r="M230" i="69"/>
  <c r="K230" i="69"/>
  <c r="I230" i="69"/>
  <c r="G230" i="69"/>
  <c r="E230" i="69"/>
  <c r="C230" i="69"/>
  <c r="R229" i="69"/>
  <c r="S229" i="69" s="1"/>
  <c r="Q229" i="69"/>
  <c r="O229" i="69"/>
  <c r="M229" i="69"/>
  <c r="K229" i="69"/>
  <c r="I229" i="69"/>
  <c r="G229" i="69"/>
  <c r="E229" i="69"/>
  <c r="C229" i="69"/>
  <c r="R228" i="69"/>
  <c r="S228" i="69" s="1"/>
  <c r="Q228" i="69"/>
  <c r="O228" i="69"/>
  <c r="M228" i="69"/>
  <c r="K228" i="69"/>
  <c r="I228" i="69"/>
  <c r="G228" i="69"/>
  <c r="E228" i="69"/>
  <c r="C228" i="69"/>
  <c r="R227" i="69"/>
  <c r="S227" i="69" s="1"/>
  <c r="Q227" i="69"/>
  <c r="O227" i="69"/>
  <c r="M227" i="69"/>
  <c r="K227" i="69"/>
  <c r="I227" i="69"/>
  <c r="G227" i="69"/>
  <c r="E227" i="69"/>
  <c r="C227" i="69"/>
  <c r="R226" i="69"/>
  <c r="S226" i="69" s="1"/>
  <c r="Q226" i="69"/>
  <c r="O226" i="69"/>
  <c r="M226" i="69"/>
  <c r="K226" i="69"/>
  <c r="I226" i="69"/>
  <c r="G226" i="69"/>
  <c r="E226" i="69"/>
  <c r="C226" i="69"/>
  <c r="R225" i="69"/>
  <c r="S225" i="69" s="1"/>
  <c r="Q225" i="69"/>
  <c r="O225" i="69"/>
  <c r="M225" i="69"/>
  <c r="K225" i="69"/>
  <c r="I225" i="69"/>
  <c r="G225" i="69"/>
  <c r="E225" i="69"/>
  <c r="C225" i="69"/>
  <c r="R224" i="69"/>
  <c r="S224" i="69" s="1"/>
  <c r="Q224" i="69"/>
  <c r="O224" i="69"/>
  <c r="M224" i="69"/>
  <c r="K224" i="69"/>
  <c r="I224" i="69"/>
  <c r="G224" i="69"/>
  <c r="E224" i="69"/>
  <c r="C224" i="69"/>
  <c r="R223" i="69"/>
  <c r="S223" i="69" s="1"/>
  <c r="Q223" i="69"/>
  <c r="O223" i="69"/>
  <c r="M223" i="69"/>
  <c r="K223" i="69"/>
  <c r="I223" i="69"/>
  <c r="G223" i="69"/>
  <c r="E223" i="69"/>
  <c r="C223" i="69"/>
  <c r="R222" i="69"/>
  <c r="S222" i="69" s="1"/>
  <c r="Q222" i="69"/>
  <c r="O222" i="69"/>
  <c r="M222" i="69"/>
  <c r="K222" i="69"/>
  <c r="I222" i="69"/>
  <c r="G222" i="69"/>
  <c r="E222" i="69"/>
  <c r="C222" i="69"/>
  <c r="R221" i="69"/>
  <c r="S221" i="69" s="1"/>
  <c r="Q221" i="69"/>
  <c r="O221" i="69"/>
  <c r="M221" i="69"/>
  <c r="K221" i="69"/>
  <c r="I221" i="69"/>
  <c r="G221" i="69"/>
  <c r="E221" i="69"/>
  <c r="C221" i="69"/>
  <c r="R220" i="69"/>
  <c r="S220" i="69" s="1"/>
  <c r="Q220" i="69"/>
  <c r="O220" i="69"/>
  <c r="M220" i="69"/>
  <c r="K220" i="69"/>
  <c r="I220" i="69"/>
  <c r="G220" i="69"/>
  <c r="E220" i="69"/>
  <c r="C220" i="69"/>
  <c r="R219" i="69"/>
  <c r="S219" i="69" s="1"/>
  <c r="Q219" i="69"/>
  <c r="O219" i="69"/>
  <c r="M219" i="69"/>
  <c r="K219" i="69"/>
  <c r="I219" i="69"/>
  <c r="G219" i="69"/>
  <c r="E219" i="69"/>
  <c r="C219" i="69"/>
  <c r="R218" i="69"/>
  <c r="S218" i="69" s="1"/>
  <c r="Q218" i="69"/>
  <c r="O218" i="69"/>
  <c r="M218" i="69"/>
  <c r="K218" i="69"/>
  <c r="I218" i="69"/>
  <c r="G218" i="69"/>
  <c r="E218" i="69"/>
  <c r="C218" i="69"/>
  <c r="R217" i="69"/>
  <c r="S217" i="69" s="1"/>
  <c r="Q217" i="69"/>
  <c r="O217" i="69"/>
  <c r="M217" i="69"/>
  <c r="K217" i="69"/>
  <c r="I217" i="69"/>
  <c r="G217" i="69"/>
  <c r="E217" i="69"/>
  <c r="C217" i="69"/>
  <c r="R216" i="69"/>
  <c r="S216" i="69" s="1"/>
  <c r="Q216" i="69"/>
  <c r="O216" i="69"/>
  <c r="M216" i="69"/>
  <c r="K216" i="69"/>
  <c r="I216" i="69"/>
  <c r="G216" i="69"/>
  <c r="E216" i="69"/>
  <c r="C216" i="69"/>
  <c r="R215" i="69"/>
  <c r="S215" i="69" s="1"/>
  <c r="Q215" i="69"/>
  <c r="O215" i="69"/>
  <c r="M215" i="69"/>
  <c r="K215" i="69"/>
  <c r="I215" i="69"/>
  <c r="G215" i="69"/>
  <c r="E215" i="69"/>
  <c r="C215" i="69"/>
  <c r="R214" i="69"/>
  <c r="S214" i="69" s="1"/>
  <c r="Q214" i="69"/>
  <c r="O214" i="69"/>
  <c r="M214" i="69"/>
  <c r="K214" i="69"/>
  <c r="I214" i="69"/>
  <c r="G214" i="69"/>
  <c r="E214" i="69"/>
  <c r="C214" i="69"/>
  <c r="R213" i="69"/>
  <c r="S213" i="69" s="1"/>
  <c r="Q213" i="69"/>
  <c r="O213" i="69"/>
  <c r="M213" i="69"/>
  <c r="K213" i="69"/>
  <c r="I213" i="69"/>
  <c r="G213" i="69"/>
  <c r="E213" i="69"/>
  <c r="C213" i="69"/>
  <c r="R212" i="69"/>
  <c r="S212" i="69" s="1"/>
  <c r="Q212" i="69"/>
  <c r="O212" i="69"/>
  <c r="M212" i="69"/>
  <c r="K212" i="69"/>
  <c r="I212" i="69"/>
  <c r="G212" i="69"/>
  <c r="E212" i="69"/>
  <c r="C212" i="69"/>
  <c r="R211" i="69"/>
  <c r="S211" i="69" s="1"/>
  <c r="Q211" i="69"/>
  <c r="O211" i="69"/>
  <c r="M211" i="69"/>
  <c r="K211" i="69"/>
  <c r="I211" i="69"/>
  <c r="G211" i="69"/>
  <c r="E211" i="69"/>
  <c r="C211" i="69"/>
  <c r="R210" i="69"/>
  <c r="S210" i="69" s="1"/>
  <c r="Q210" i="69"/>
  <c r="O210" i="69"/>
  <c r="M210" i="69"/>
  <c r="K210" i="69"/>
  <c r="I210" i="69"/>
  <c r="G210" i="69"/>
  <c r="E210" i="69"/>
  <c r="C210" i="69"/>
  <c r="R209" i="69"/>
  <c r="S209" i="69" s="1"/>
  <c r="Q209" i="69"/>
  <c r="O209" i="69"/>
  <c r="M209" i="69"/>
  <c r="K209" i="69"/>
  <c r="I209" i="69"/>
  <c r="G209" i="69"/>
  <c r="E209" i="69"/>
  <c r="C209" i="69"/>
  <c r="R208" i="69"/>
  <c r="S208" i="69" s="1"/>
  <c r="Q208" i="69"/>
  <c r="O208" i="69"/>
  <c r="M208" i="69"/>
  <c r="K208" i="69"/>
  <c r="I208" i="69"/>
  <c r="G208" i="69"/>
  <c r="E208" i="69"/>
  <c r="C208" i="69"/>
  <c r="R207" i="69"/>
  <c r="S207" i="69" s="1"/>
  <c r="Q207" i="69"/>
  <c r="O207" i="69"/>
  <c r="M207" i="69"/>
  <c r="K207" i="69"/>
  <c r="I207" i="69"/>
  <c r="G207" i="69"/>
  <c r="E207" i="69"/>
  <c r="C207" i="69"/>
  <c r="R206" i="69"/>
  <c r="S206" i="69" s="1"/>
  <c r="Q206" i="69"/>
  <c r="O206" i="69"/>
  <c r="M206" i="69"/>
  <c r="K206" i="69"/>
  <c r="I206" i="69"/>
  <c r="G206" i="69"/>
  <c r="E206" i="69"/>
  <c r="C206" i="69"/>
  <c r="R205" i="69"/>
  <c r="S205" i="69" s="1"/>
  <c r="Q205" i="69"/>
  <c r="O205" i="69"/>
  <c r="M205" i="69"/>
  <c r="K205" i="69"/>
  <c r="I205" i="69"/>
  <c r="G205" i="69"/>
  <c r="E205" i="69"/>
  <c r="C205" i="69"/>
  <c r="R204" i="69"/>
  <c r="S204" i="69" s="1"/>
  <c r="Q204" i="69"/>
  <c r="O204" i="69"/>
  <c r="M204" i="69"/>
  <c r="K204" i="69"/>
  <c r="I204" i="69"/>
  <c r="G204" i="69"/>
  <c r="E204" i="69"/>
  <c r="C204" i="69"/>
  <c r="R203" i="69"/>
  <c r="S203" i="69" s="1"/>
  <c r="Q203" i="69"/>
  <c r="O203" i="69"/>
  <c r="M203" i="69"/>
  <c r="K203" i="69"/>
  <c r="I203" i="69"/>
  <c r="G203" i="69"/>
  <c r="E203" i="69"/>
  <c r="C203" i="69"/>
  <c r="R202" i="69"/>
  <c r="S202" i="69" s="1"/>
  <c r="Q202" i="69"/>
  <c r="O202" i="69"/>
  <c r="M202" i="69"/>
  <c r="K202" i="69"/>
  <c r="I202" i="69"/>
  <c r="G202" i="69"/>
  <c r="E202" i="69"/>
  <c r="C202" i="69"/>
  <c r="R201" i="69"/>
  <c r="S201" i="69" s="1"/>
  <c r="Q201" i="69"/>
  <c r="O201" i="69"/>
  <c r="M201" i="69"/>
  <c r="K201" i="69"/>
  <c r="I201" i="69"/>
  <c r="G201" i="69"/>
  <c r="E201" i="69"/>
  <c r="C201" i="69"/>
  <c r="R200" i="69"/>
  <c r="S200" i="69" s="1"/>
  <c r="Q200" i="69"/>
  <c r="O200" i="69"/>
  <c r="M200" i="69"/>
  <c r="K200" i="69"/>
  <c r="I200" i="69"/>
  <c r="G200" i="69"/>
  <c r="E200" i="69"/>
  <c r="C200" i="69"/>
  <c r="R199" i="69"/>
  <c r="S199" i="69" s="1"/>
  <c r="Q199" i="69"/>
  <c r="O199" i="69"/>
  <c r="M199" i="69"/>
  <c r="K199" i="69"/>
  <c r="I199" i="69"/>
  <c r="G199" i="69"/>
  <c r="E199" i="69"/>
  <c r="C199" i="69"/>
  <c r="R198" i="69"/>
  <c r="S198" i="69" s="1"/>
  <c r="Q198" i="69"/>
  <c r="O198" i="69"/>
  <c r="M198" i="69"/>
  <c r="K198" i="69"/>
  <c r="I198" i="69"/>
  <c r="G198" i="69"/>
  <c r="E198" i="69"/>
  <c r="C198" i="69"/>
  <c r="R197" i="69"/>
  <c r="S197" i="69" s="1"/>
  <c r="Q197" i="69"/>
  <c r="O197" i="69"/>
  <c r="M197" i="69"/>
  <c r="K197" i="69"/>
  <c r="I197" i="69"/>
  <c r="G197" i="69"/>
  <c r="E197" i="69"/>
  <c r="C197" i="69"/>
  <c r="R196" i="69"/>
  <c r="S196" i="69" s="1"/>
  <c r="Q196" i="69"/>
  <c r="O196" i="69"/>
  <c r="M196" i="69"/>
  <c r="K196" i="69"/>
  <c r="I196" i="69"/>
  <c r="G196" i="69"/>
  <c r="E196" i="69"/>
  <c r="C196" i="69"/>
  <c r="R195" i="69"/>
  <c r="S195" i="69" s="1"/>
  <c r="Q195" i="69"/>
  <c r="O195" i="69"/>
  <c r="M195" i="69"/>
  <c r="K195" i="69"/>
  <c r="I195" i="69"/>
  <c r="G195" i="69"/>
  <c r="E195" i="69"/>
  <c r="C195" i="69"/>
  <c r="R194" i="69"/>
  <c r="S194" i="69" s="1"/>
  <c r="Q194" i="69"/>
  <c r="O194" i="69"/>
  <c r="M194" i="69"/>
  <c r="K194" i="69"/>
  <c r="I194" i="69"/>
  <c r="G194" i="69"/>
  <c r="E194" i="69"/>
  <c r="C194" i="69"/>
  <c r="R193" i="69"/>
  <c r="S193" i="69" s="1"/>
  <c r="Q193" i="69"/>
  <c r="O193" i="69"/>
  <c r="M193" i="69"/>
  <c r="K193" i="69"/>
  <c r="I193" i="69"/>
  <c r="G193" i="69"/>
  <c r="E193" i="69"/>
  <c r="C193" i="69"/>
  <c r="R192" i="69"/>
  <c r="S192" i="69" s="1"/>
  <c r="Q192" i="69"/>
  <c r="O192" i="69"/>
  <c r="M192" i="69"/>
  <c r="K192" i="69"/>
  <c r="I192" i="69"/>
  <c r="G192" i="69"/>
  <c r="E192" i="69"/>
  <c r="C192" i="69"/>
  <c r="R191" i="69"/>
  <c r="S191" i="69" s="1"/>
  <c r="Q191" i="69"/>
  <c r="O191" i="69"/>
  <c r="M191" i="69"/>
  <c r="K191" i="69"/>
  <c r="I191" i="69"/>
  <c r="G191" i="69"/>
  <c r="E191" i="69"/>
  <c r="C191" i="69"/>
  <c r="R190" i="69"/>
  <c r="S190" i="69" s="1"/>
  <c r="Q190" i="69"/>
  <c r="O190" i="69"/>
  <c r="M190" i="69"/>
  <c r="K190" i="69"/>
  <c r="I190" i="69"/>
  <c r="G190" i="69"/>
  <c r="E190" i="69"/>
  <c r="C190" i="69"/>
  <c r="R189" i="69"/>
  <c r="S189" i="69" s="1"/>
  <c r="Q189" i="69"/>
  <c r="O189" i="69"/>
  <c r="M189" i="69"/>
  <c r="K189" i="69"/>
  <c r="I189" i="69"/>
  <c r="G189" i="69"/>
  <c r="E189" i="69"/>
  <c r="C189" i="69"/>
  <c r="R188" i="69"/>
  <c r="S188" i="69" s="1"/>
  <c r="Q188" i="69"/>
  <c r="O188" i="69"/>
  <c r="M188" i="69"/>
  <c r="K188" i="69"/>
  <c r="I188" i="69"/>
  <c r="G188" i="69"/>
  <c r="E188" i="69"/>
  <c r="C188" i="69"/>
  <c r="R187" i="69"/>
  <c r="S187" i="69" s="1"/>
  <c r="Q187" i="69"/>
  <c r="O187" i="69"/>
  <c r="M187" i="69"/>
  <c r="K187" i="69"/>
  <c r="I187" i="69"/>
  <c r="G187" i="69"/>
  <c r="E187" i="69"/>
  <c r="C187" i="69"/>
  <c r="R186" i="69"/>
  <c r="S186" i="69" s="1"/>
  <c r="Q186" i="69"/>
  <c r="O186" i="69"/>
  <c r="M186" i="69"/>
  <c r="K186" i="69"/>
  <c r="I186" i="69"/>
  <c r="G186" i="69"/>
  <c r="E186" i="69"/>
  <c r="C186" i="69"/>
  <c r="R185" i="69"/>
  <c r="S185" i="69" s="1"/>
  <c r="Q185" i="69"/>
  <c r="O185" i="69"/>
  <c r="M185" i="69"/>
  <c r="K185" i="69"/>
  <c r="I185" i="69"/>
  <c r="G185" i="69"/>
  <c r="E185" i="69"/>
  <c r="C185" i="69"/>
  <c r="R184" i="69"/>
  <c r="S184" i="69" s="1"/>
  <c r="Q184" i="69"/>
  <c r="O184" i="69"/>
  <c r="M184" i="69"/>
  <c r="K184" i="69"/>
  <c r="I184" i="69"/>
  <c r="G184" i="69"/>
  <c r="E184" i="69"/>
  <c r="C184" i="69"/>
  <c r="R183" i="69"/>
  <c r="S183" i="69" s="1"/>
  <c r="Q183" i="69"/>
  <c r="O183" i="69"/>
  <c r="M183" i="69"/>
  <c r="K183" i="69"/>
  <c r="I183" i="69"/>
  <c r="G183" i="69"/>
  <c r="E183" i="69"/>
  <c r="C183" i="69"/>
  <c r="R182" i="69"/>
  <c r="S182" i="69" s="1"/>
  <c r="Q182" i="69"/>
  <c r="O182" i="69"/>
  <c r="M182" i="69"/>
  <c r="K182" i="69"/>
  <c r="I182" i="69"/>
  <c r="G182" i="69"/>
  <c r="E182" i="69"/>
  <c r="C182" i="69"/>
  <c r="R181" i="69"/>
  <c r="S181" i="69" s="1"/>
  <c r="Q181" i="69"/>
  <c r="O181" i="69"/>
  <c r="M181" i="69"/>
  <c r="K181" i="69"/>
  <c r="I181" i="69"/>
  <c r="G181" i="69"/>
  <c r="E181" i="69"/>
  <c r="C181" i="69"/>
  <c r="R180" i="69"/>
  <c r="S180" i="69" s="1"/>
  <c r="Q180" i="69"/>
  <c r="O180" i="69"/>
  <c r="M180" i="69"/>
  <c r="K180" i="69"/>
  <c r="I180" i="69"/>
  <c r="G180" i="69"/>
  <c r="E180" i="69"/>
  <c r="C180" i="69"/>
  <c r="R179" i="69"/>
  <c r="S179" i="69" s="1"/>
  <c r="Q179" i="69"/>
  <c r="O179" i="69"/>
  <c r="M179" i="69"/>
  <c r="K179" i="69"/>
  <c r="I179" i="69"/>
  <c r="G179" i="69"/>
  <c r="E179" i="69"/>
  <c r="C179" i="69"/>
  <c r="R178" i="69"/>
  <c r="S178" i="69" s="1"/>
  <c r="Q178" i="69"/>
  <c r="O178" i="69"/>
  <c r="M178" i="69"/>
  <c r="K178" i="69"/>
  <c r="I178" i="69"/>
  <c r="G178" i="69"/>
  <c r="E178" i="69"/>
  <c r="C178" i="69"/>
  <c r="R177" i="69"/>
  <c r="S177" i="69" s="1"/>
  <c r="Q177" i="69"/>
  <c r="O177" i="69"/>
  <c r="M177" i="69"/>
  <c r="K177" i="69"/>
  <c r="I177" i="69"/>
  <c r="G177" i="69"/>
  <c r="E177" i="69"/>
  <c r="C177" i="69"/>
  <c r="R176" i="69"/>
  <c r="S176" i="69" s="1"/>
  <c r="Q176" i="69"/>
  <c r="O176" i="69"/>
  <c r="M176" i="69"/>
  <c r="K176" i="69"/>
  <c r="I176" i="69"/>
  <c r="G176" i="69"/>
  <c r="E176" i="69"/>
  <c r="C176" i="69"/>
  <c r="R175" i="69"/>
  <c r="S175" i="69" s="1"/>
  <c r="Q175" i="69"/>
  <c r="O175" i="69"/>
  <c r="M175" i="69"/>
  <c r="K175" i="69"/>
  <c r="I175" i="69"/>
  <c r="G175" i="69"/>
  <c r="E175" i="69"/>
  <c r="C175" i="69"/>
  <c r="R174" i="69"/>
  <c r="S174" i="69" s="1"/>
  <c r="Q174" i="69"/>
  <c r="O174" i="69"/>
  <c r="M174" i="69"/>
  <c r="K174" i="69"/>
  <c r="I174" i="69"/>
  <c r="G174" i="69"/>
  <c r="E174" i="69"/>
  <c r="C174" i="69"/>
  <c r="R173" i="69"/>
  <c r="S173" i="69" s="1"/>
  <c r="Q173" i="69"/>
  <c r="O173" i="69"/>
  <c r="M173" i="69"/>
  <c r="K173" i="69"/>
  <c r="I173" i="69"/>
  <c r="G173" i="69"/>
  <c r="E173" i="69"/>
  <c r="C173" i="69"/>
  <c r="R172" i="69"/>
  <c r="S172" i="69" s="1"/>
  <c r="Q172" i="69"/>
  <c r="O172" i="69"/>
  <c r="M172" i="69"/>
  <c r="K172" i="69"/>
  <c r="I172" i="69"/>
  <c r="G172" i="69"/>
  <c r="E172" i="69"/>
  <c r="C172" i="69"/>
  <c r="R171" i="69"/>
  <c r="S171" i="69" s="1"/>
  <c r="Q171" i="69"/>
  <c r="O171" i="69"/>
  <c r="M171" i="69"/>
  <c r="K171" i="69"/>
  <c r="I171" i="69"/>
  <c r="G171" i="69"/>
  <c r="E171" i="69"/>
  <c r="C171" i="69"/>
  <c r="R170" i="69"/>
  <c r="S170" i="69" s="1"/>
  <c r="Q170" i="69"/>
  <c r="O170" i="69"/>
  <c r="M170" i="69"/>
  <c r="K170" i="69"/>
  <c r="I170" i="69"/>
  <c r="G170" i="69"/>
  <c r="E170" i="69"/>
  <c r="C170" i="69"/>
  <c r="R169" i="69"/>
  <c r="S169" i="69" s="1"/>
  <c r="Q169" i="69"/>
  <c r="O169" i="69"/>
  <c r="M169" i="69"/>
  <c r="K169" i="69"/>
  <c r="I169" i="69"/>
  <c r="G169" i="69"/>
  <c r="E169" i="69"/>
  <c r="C169" i="69"/>
  <c r="R168" i="69"/>
  <c r="S168" i="69" s="1"/>
  <c r="Q168" i="69"/>
  <c r="O168" i="69"/>
  <c r="M168" i="69"/>
  <c r="K168" i="69"/>
  <c r="I168" i="69"/>
  <c r="G168" i="69"/>
  <c r="E168" i="69"/>
  <c r="C168" i="69"/>
  <c r="R167" i="69"/>
  <c r="S167" i="69" s="1"/>
  <c r="Q167" i="69"/>
  <c r="O167" i="69"/>
  <c r="M167" i="69"/>
  <c r="K167" i="69"/>
  <c r="I167" i="69"/>
  <c r="G167" i="69"/>
  <c r="E167" i="69"/>
  <c r="C167" i="69"/>
  <c r="R166" i="69"/>
  <c r="S166" i="69" s="1"/>
  <c r="Q166" i="69"/>
  <c r="O166" i="69"/>
  <c r="M166" i="69"/>
  <c r="K166" i="69"/>
  <c r="I166" i="69"/>
  <c r="G166" i="69"/>
  <c r="E166" i="69"/>
  <c r="C166" i="69"/>
  <c r="R165" i="69"/>
  <c r="S165" i="69" s="1"/>
  <c r="Q165" i="69"/>
  <c r="O165" i="69"/>
  <c r="M165" i="69"/>
  <c r="K165" i="69"/>
  <c r="I165" i="69"/>
  <c r="G165" i="69"/>
  <c r="E165" i="69"/>
  <c r="C165" i="69"/>
  <c r="R164" i="69"/>
  <c r="S164" i="69" s="1"/>
  <c r="Q164" i="69"/>
  <c r="O164" i="69"/>
  <c r="M164" i="69"/>
  <c r="K164" i="69"/>
  <c r="I164" i="69"/>
  <c r="G164" i="69"/>
  <c r="E164" i="69"/>
  <c r="C164" i="69"/>
  <c r="R163" i="69"/>
  <c r="S163" i="69" s="1"/>
  <c r="Q163" i="69"/>
  <c r="O163" i="69"/>
  <c r="M163" i="69"/>
  <c r="K163" i="69"/>
  <c r="I163" i="69"/>
  <c r="G163" i="69"/>
  <c r="E163" i="69"/>
  <c r="C163" i="69"/>
  <c r="R162" i="69"/>
  <c r="S162" i="69" s="1"/>
  <c r="Q162" i="69"/>
  <c r="O162" i="69"/>
  <c r="M162" i="69"/>
  <c r="K162" i="69"/>
  <c r="I162" i="69"/>
  <c r="G162" i="69"/>
  <c r="E162" i="69"/>
  <c r="C162" i="69"/>
  <c r="R161" i="69"/>
  <c r="S161" i="69" s="1"/>
  <c r="Q161" i="69"/>
  <c r="O161" i="69"/>
  <c r="M161" i="69"/>
  <c r="K161" i="69"/>
  <c r="I161" i="69"/>
  <c r="G161" i="69"/>
  <c r="E161" i="69"/>
  <c r="C161" i="69"/>
  <c r="R160" i="69"/>
  <c r="S160" i="69" s="1"/>
  <c r="Q160" i="69"/>
  <c r="O160" i="69"/>
  <c r="M160" i="69"/>
  <c r="K160" i="69"/>
  <c r="I160" i="69"/>
  <c r="G160" i="69"/>
  <c r="E160" i="69"/>
  <c r="C160" i="69"/>
  <c r="R159" i="69"/>
  <c r="S159" i="69" s="1"/>
  <c r="Q159" i="69"/>
  <c r="O159" i="69"/>
  <c r="M159" i="69"/>
  <c r="K159" i="69"/>
  <c r="I159" i="69"/>
  <c r="G159" i="69"/>
  <c r="E159" i="69"/>
  <c r="C159" i="69"/>
  <c r="R158" i="69"/>
  <c r="S158" i="69" s="1"/>
  <c r="Q158" i="69"/>
  <c r="O158" i="69"/>
  <c r="M158" i="69"/>
  <c r="K158" i="69"/>
  <c r="I158" i="69"/>
  <c r="G158" i="69"/>
  <c r="E158" i="69"/>
  <c r="C158" i="69"/>
  <c r="R157" i="69"/>
  <c r="S157" i="69" s="1"/>
  <c r="Q157" i="69"/>
  <c r="O157" i="69"/>
  <c r="M157" i="69"/>
  <c r="K157" i="69"/>
  <c r="I157" i="69"/>
  <c r="G157" i="69"/>
  <c r="E157" i="69"/>
  <c r="C157" i="69"/>
  <c r="R156" i="69"/>
  <c r="S156" i="69" s="1"/>
  <c r="Q156" i="69"/>
  <c r="O156" i="69"/>
  <c r="M156" i="69"/>
  <c r="K156" i="69"/>
  <c r="I156" i="69"/>
  <c r="G156" i="69"/>
  <c r="E156" i="69"/>
  <c r="C156" i="69"/>
  <c r="R155" i="69"/>
  <c r="S155" i="69" s="1"/>
  <c r="Q155" i="69"/>
  <c r="O155" i="69"/>
  <c r="M155" i="69"/>
  <c r="K155" i="69"/>
  <c r="I155" i="69"/>
  <c r="G155" i="69"/>
  <c r="E155" i="69"/>
  <c r="C155" i="69"/>
  <c r="R154" i="69"/>
  <c r="S154" i="69" s="1"/>
  <c r="Q154" i="69"/>
  <c r="O154" i="69"/>
  <c r="M154" i="69"/>
  <c r="K154" i="69"/>
  <c r="I154" i="69"/>
  <c r="G154" i="69"/>
  <c r="E154" i="69"/>
  <c r="C154" i="69"/>
  <c r="R153" i="69"/>
  <c r="S153" i="69" s="1"/>
  <c r="Q153" i="69"/>
  <c r="O153" i="69"/>
  <c r="M153" i="69"/>
  <c r="K153" i="69"/>
  <c r="I153" i="69"/>
  <c r="G153" i="69"/>
  <c r="E153" i="69"/>
  <c r="C153" i="69"/>
  <c r="R152" i="69"/>
  <c r="S152" i="69" s="1"/>
  <c r="Q152" i="69"/>
  <c r="O152" i="69"/>
  <c r="M152" i="69"/>
  <c r="K152" i="69"/>
  <c r="I152" i="69"/>
  <c r="G152" i="69"/>
  <c r="E152" i="69"/>
  <c r="C152" i="69"/>
  <c r="R151" i="69"/>
  <c r="S151" i="69" s="1"/>
  <c r="Q151" i="69"/>
  <c r="O151" i="69"/>
  <c r="M151" i="69"/>
  <c r="K151" i="69"/>
  <c r="I151" i="69"/>
  <c r="G151" i="69"/>
  <c r="E151" i="69"/>
  <c r="C151" i="69"/>
  <c r="R150" i="69"/>
  <c r="S150" i="69" s="1"/>
  <c r="Q150" i="69"/>
  <c r="O150" i="69"/>
  <c r="M150" i="69"/>
  <c r="K150" i="69"/>
  <c r="I150" i="69"/>
  <c r="G150" i="69"/>
  <c r="E150" i="69"/>
  <c r="C150" i="69"/>
  <c r="R149" i="69"/>
  <c r="S149" i="69" s="1"/>
  <c r="Q149" i="69"/>
  <c r="O149" i="69"/>
  <c r="M149" i="69"/>
  <c r="K149" i="69"/>
  <c r="I149" i="69"/>
  <c r="G149" i="69"/>
  <c r="E149" i="69"/>
  <c r="C149" i="69"/>
  <c r="R148" i="69"/>
  <c r="S148" i="69" s="1"/>
  <c r="Q148" i="69"/>
  <c r="O148" i="69"/>
  <c r="M148" i="69"/>
  <c r="K148" i="69"/>
  <c r="I148" i="69"/>
  <c r="G148" i="69"/>
  <c r="E148" i="69"/>
  <c r="C148" i="69"/>
  <c r="R147" i="69"/>
  <c r="S147" i="69" s="1"/>
  <c r="Q147" i="69"/>
  <c r="O147" i="69"/>
  <c r="M147" i="69"/>
  <c r="K147" i="69"/>
  <c r="I147" i="69"/>
  <c r="G147" i="69"/>
  <c r="E147" i="69"/>
  <c r="C147" i="69"/>
  <c r="R146" i="69"/>
  <c r="S146" i="69" s="1"/>
  <c r="Q146" i="69"/>
  <c r="O146" i="69"/>
  <c r="M146" i="69"/>
  <c r="K146" i="69"/>
  <c r="I146" i="69"/>
  <c r="G146" i="69"/>
  <c r="E146" i="69"/>
  <c r="C146" i="69"/>
  <c r="R145" i="69"/>
  <c r="S145" i="69" s="1"/>
  <c r="Q145" i="69"/>
  <c r="O145" i="69"/>
  <c r="M145" i="69"/>
  <c r="K145" i="69"/>
  <c r="I145" i="69"/>
  <c r="G145" i="69"/>
  <c r="E145" i="69"/>
  <c r="C145" i="69"/>
  <c r="R144" i="69"/>
  <c r="S144" i="69" s="1"/>
  <c r="Q144" i="69"/>
  <c r="O144" i="69"/>
  <c r="M144" i="69"/>
  <c r="K144" i="69"/>
  <c r="I144" i="69"/>
  <c r="G144" i="69"/>
  <c r="E144" i="69"/>
  <c r="C144" i="69"/>
  <c r="R143" i="69"/>
  <c r="S143" i="69" s="1"/>
  <c r="Q143" i="69"/>
  <c r="O143" i="69"/>
  <c r="M143" i="69"/>
  <c r="K143" i="69"/>
  <c r="I143" i="69"/>
  <c r="G143" i="69"/>
  <c r="E143" i="69"/>
  <c r="C143" i="69"/>
  <c r="R142" i="69"/>
  <c r="S142" i="69" s="1"/>
  <c r="Q142" i="69"/>
  <c r="O142" i="69"/>
  <c r="M142" i="69"/>
  <c r="K142" i="69"/>
  <c r="I142" i="69"/>
  <c r="G142" i="69"/>
  <c r="E142" i="69"/>
  <c r="C142" i="69"/>
  <c r="R141" i="69"/>
  <c r="S141" i="69" s="1"/>
  <c r="Q141" i="69"/>
  <c r="O141" i="69"/>
  <c r="M141" i="69"/>
  <c r="K141" i="69"/>
  <c r="I141" i="69"/>
  <c r="G141" i="69"/>
  <c r="E141" i="69"/>
  <c r="C141" i="69"/>
  <c r="R140" i="69"/>
  <c r="S140" i="69" s="1"/>
  <c r="Q140" i="69"/>
  <c r="O140" i="69"/>
  <c r="M140" i="69"/>
  <c r="K140" i="69"/>
  <c r="I140" i="69"/>
  <c r="G140" i="69"/>
  <c r="E140" i="69"/>
  <c r="C140" i="69"/>
  <c r="R139" i="69"/>
  <c r="S139" i="69" s="1"/>
  <c r="Q139" i="69"/>
  <c r="O139" i="69"/>
  <c r="M139" i="69"/>
  <c r="K139" i="69"/>
  <c r="I139" i="69"/>
  <c r="G139" i="69"/>
  <c r="E139" i="69"/>
  <c r="C139" i="69"/>
  <c r="R138" i="69"/>
  <c r="S138" i="69" s="1"/>
  <c r="Q138" i="69"/>
  <c r="O138" i="69"/>
  <c r="M138" i="69"/>
  <c r="K138" i="69"/>
  <c r="I138" i="69"/>
  <c r="G138" i="69"/>
  <c r="E138" i="69"/>
  <c r="C138" i="69"/>
  <c r="R137" i="69"/>
  <c r="S137" i="69" s="1"/>
  <c r="Q137" i="69"/>
  <c r="O137" i="69"/>
  <c r="M137" i="69"/>
  <c r="K137" i="69"/>
  <c r="I137" i="69"/>
  <c r="G137" i="69"/>
  <c r="E137" i="69"/>
  <c r="C137" i="69"/>
  <c r="R136" i="69"/>
  <c r="S136" i="69" s="1"/>
  <c r="Q136" i="69"/>
  <c r="O136" i="69"/>
  <c r="M136" i="69"/>
  <c r="K136" i="69"/>
  <c r="I136" i="69"/>
  <c r="G136" i="69"/>
  <c r="E136" i="69"/>
  <c r="C136" i="69"/>
  <c r="R135" i="69"/>
  <c r="S135" i="69" s="1"/>
  <c r="Q135" i="69"/>
  <c r="O135" i="69"/>
  <c r="M135" i="69"/>
  <c r="K135" i="69"/>
  <c r="I135" i="69"/>
  <c r="G135" i="69"/>
  <c r="E135" i="69"/>
  <c r="C135" i="69"/>
  <c r="R134" i="69"/>
  <c r="S134" i="69" s="1"/>
  <c r="Q134" i="69"/>
  <c r="O134" i="69"/>
  <c r="M134" i="69"/>
  <c r="K134" i="69"/>
  <c r="I134" i="69"/>
  <c r="G134" i="69"/>
  <c r="E134" i="69"/>
  <c r="C134" i="69"/>
  <c r="R133" i="69"/>
  <c r="S133" i="69" s="1"/>
  <c r="Q133" i="69"/>
  <c r="O133" i="69"/>
  <c r="M133" i="69"/>
  <c r="K133" i="69"/>
  <c r="I133" i="69"/>
  <c r="G133" i="69"/>
  <c r="E133" i="69"/>
  <c r="C133" i="69"/>
  <c r="R132" i="69"/>
  <c r="S132" i="69" s="1"/>
  <c r="Q132" i="69"/>
  <c r="O132" i="69"/>
  <c r="M132" i="69"/>
  <c r="K132" i="69"/>
  <c r="I132" i="69"/>
  <c r="G132" i="69"/>
  <c r="E132" i="69"/>
  <c r="C132" i="69"/>
  <c r="R131" i="69"/>
  <c r="S131" i="69" s="1"/>
  <c r="Q131" i="69"/>
  <c r="O131" i="69"/>
  <c r="M131" i="69"/>
  <c r="K131" i="69"/>
  <c r="I131" i="69"/>
  <c r="G131" i="69"/>
  <c r="E131" i="69"/>
  <c r="C131" i="69"/>
  <c r="R130" i="69"/>
  <c r="S130" i="69" s="1"/>
  <c r="Q130" i="69"/>
  <c r="O130" i="69"/>
  <c r="M130" i="69"/>
  <c r="K130" i="69"/>
  <c r="I130" i="69"/>
  <c r="G130" i="69"/>
  <c r="E130" i="69"/>
  <c r="C130" i="69"/>
  <c r="R129" i="69"/>
  <c r="S129" i="69" s="1"/>
  <c r="Q129" i="69"/>
  <c r="O129" i="69"/>
  <c r="M129" i="69"/>
  <c r="K129" i="69"/>
  <c r="I129" i="69"/>
  <c r="G129" i="69"/>
  <c r="E129" i="69"/>
  <c r="C129" i="69"/>
  <c r="R128" i="69"/>
  <c r="S128" i="69" s="1"/>
  <c r="Q128" i="69"/>
  <c r="O128" i="69"/>
  <c r="M128" i="69"/>
  <c r="K128" i="69"/>
  <c r="I128" i="69"/>
  <c r="G128" i="69"/>
  <c r="E128" i="69"/>
  <c r="C128" i="69"/>
  <c r="R127" i="69"/>
  <c r="S127" i="69" s="1"/>
  <c r="Q127" i="69"/>
  <c r="O127" i="69"/>
  <c r="M127" i="69"/>
  <c r="K127" i="69"/>
  <c r="I127" i="69"/>
  <c r="G127" i="69"/>
  <c r="E127" i="69"/>
  <c r="C127" i="69"/>
  <c r="R126" i="69"/>
  <c r="S126" i="69" s="1"/>
  <c r="Q126" i="69"/>
  <c r="O126" i="69"/>
  <c r="M126" i="69"/>
  <c r="K126" i="69"/>
  <c r="I126" i="69"/>
  <c r="G126" i="69"/>
  <c r="E126" i="69"/>
  <c r="C126" i="69"/>
  <c r="R125" i="69"/>
  <c r="S125" i="69" s="1"/>
  <c r="Q125" i="69"/>
  <c r="O125" i="69"/>
  <c r="M125" i="69"/>
  <c r="K125" i="69"/>
  <c r="I125" i="69"/>
  <c r="G125" i="69"/>
  <c r="E125" i="69"/>
  <c r="C125" i="69"/>
  <c r="R124" i="69"/>
  <c r="S124" i="69" s="1"/>
  <c r="Q124" i="69"/>
  <c r="O124" i="69"/>
  <c r="M124" i="69"/>
  <c r="K124" i="69"/>
  <c r="I124" i="69"/>
  <c r="G124" i="69"/>
  <c r="E124" i="69"/>
  <c r="C124" i="69"/>
  <c r="R123" i="69"/>
  <c r="S123" i="69" s="1"/>
  <c r="Q123" i="69"/>
  <c r="O123" i="69"/>
  <c r="M123" i="69"/>
  <c r="K123" i="69"/>
  <c r="I123" i="69"/>
  <c r="G123" i="69"/>
  <c r="E123" i="69"/>
  <c r="C123" i="69"/>
  <c r="R122" i="69"/>
  <c r="S122" i="69" s="1"/>
  <c r="Q122" i="69"/>
  <c r="O122" i="69"/>
  <c r="M122" i="69"/>
  <c r="K122" i="69"/>
  <c r="I122" i="69"/>
  <c r="G122" i="69"/>
  <c r="E122" i="69"/>
  <c r="C122" i="69"/>
  <c r="R121" i="69"/>
  <c r="S121" i="69" s="1"/>
  <c r="Q121" i="69"/>
  <c r="O121" i="69"/>
  <c r="M121" i="69"/>
  <c r="K121" i="69"/>
  <c r="I121" i="69"/>
  <c r="G121" i="69"/>
  <c r="E121" i="69"/>
  <c r="C121" i="69"/>
  <c r="R120" i="69"/>
  <c r="S120" i="69" s="1"/>
  <c r="Q120" i="69"/>
  <c r="O120" i="69"/>
  <c r="M120" i="69"/>
  <c r="K120" i="69"/>
  <c r="I120" i="69"/>
  <c r="G120" i="69"/>
  <c r="E120" i="69"/>
  <c r="C120" i="69"/>
  <c r="R119" i="69"/>
  <c r="S119" i="69" s="1"/>
  <c r="Q119" i="69"/>
  <c r="O119" i="69"/>
  <c r="M119" i="69"/>
  <c r="K119" i="69"/>
  <c r="I119" i="69"/>
  <c r="G119" i="69"/>
  <c r="E119" i="69"/>
  <c r="C119" i="69"/>
  <c r="R118" i="69"/>
  <c r="S118" i="69" s="1"/>
  <c r="Q118" i="69"/>
  <c r="O118" i="69"/>
  <c r="M118" i="69"/>
  <c r="K118" i="69"/>
  <c r="I118" i="69"/>
  <c r="G118" i="69"/>
  <c r="E118" i="69"/>
  <c r="C118" i="69"/>
  <c r="R117" i="69"/>
  <c r="S117" i="69" s="1"/>
  <c r="Q117" i="69"/>
  <c r="O117" i="69"/>
  <c r="M117" i="69"/>
  <c r="K117" i="69"/>
  <c r="I117" i="69"/>
  <c r="G117" i="69"/>
  <c r="E117" i="69"/>
  <c r="C117" i="69"/>
  <c r="R116" i="69"/>
  <c r="S116" i="69" s="1"/>
  <c r="Q116" i="69"/>
  <c r="O116" i="69"/>
  <c r="M116" i="69"/>
  <c r="K116" i="69"/>
  <c r="I116" i="69"/>
  <c r="G116" i="69"/>
  <c r="E116" i="69"/>
  <c r="C116" i="69"/>
  <c r="R115" i="69"/>
  <c r="S115" i="69" s="1"/>
  <c r="Q115" i="69"/>
  <c r="O115" i="69"/>
  <c r="M115" i="69"/>
  <c r="K115" i="69"/>
  <c r="I115" i="69"/>
  <c r="G115" i="69"/>
  <c r="E115" i="69"/>
  <c r="C115" i="69"/>
  <c r="R114" i="69"/>
  <c r="S114" i="69" s="1"/>
  <c r="Q114" i="69"/>
  <c r="O114" i="69"/>
  <c r="M114" i="69"/>
  <c r="K114" i="69"/>
  <c r="I114" i="69"/>
  <c r="G114" i="69"/>
  <c r="E114" i="69"/>
  <c r="C114" i="69"/>
  <c r="R113" i="69"/>
  <c r="S113" i="69" s="1"/>
  <c r="Q113" i="69"/>
  <c r="O113" i="69"/>
  <c r="M113" i="69"/>
  <c r="K113" i="69"/>
  <c r="I113" i="69"/>
  <c r="G113" i="69"/>
  <c r="E113" i="69"/>
  <c r="C113" i="69"/>
  <c r="R112" i="69"/>
  <c r="S112" i="69" s="1"/>
  <c r="Q112" i="69"/>
  <c r="O112" i="69"/>
  <c r="M112" i="69"/>
  <c r="K112" i="69"/>
  <c r="I112" i="69"/>
  <c r="G112" i="69"/>
  <c r="E112" i="69"/>
  <c r="C112" i="69"/>
  <c r="R111" i="69"/>
  <c r="S111" i="69" s="1"/>
  <c r="Q111" i="69"/>
  <c r="O111" i="69"/>
  <c r="M111" i="69"/>
  <c r="K111" i="69"/>
  <c r="I111" i="69"/>
  <c r="G111" i="69"/>
  <c r="E111" i="69"/>
  <c r="C111" i="69"/>
  <c r="R110" i="69"/>
  <c r="S110" i="69" s="1"/>
  <c r="Q110" i="69"/>
  <c r="O110" i="69"/>
  <c r="M110" i="69"/>
  <c r="K110" i="69"/>
  <c r="I110" i="69"/>
  <c r="G110" i="69"/>
  <c r="E110" i="69"/>
  <c r="C110" i="69"/>
  <c r="R109" i="69"/>
  <c r="S109" i="69" s="1"/>
  <c r="Q109" i="69"/>
  <c r="O109" i="69"/>
  <c r="M109" i="69"/>
  <c r="K109" i="69"/>
  <c r="I109" i="69"/>
  <c r="G109" i="69"/>
  <c r="E109" i="69"/>
  <c r="C109" i="69"/>
  <c r="R108" i="69"/>
  <c r="S108" i="69" s="1"/>
  <c r="Q108" i="69"/>
  <c r="O108" i="69"/>
  <c r="M108" i="69"/>
  <c r="K108" i="69"/>
  <c r="I108" i="69"/>
  <c r="G108" i="69"/>
  <c r="E108" i="69"/>
  <c r="C108" i="69"/>
  <c r="R107" i="69"/>
  <c r="S107" i="69" s="1"/>
  <c r="Q107" i="69"/>
  <c r="O107" i="69"/>
  <c r="M107" i="69"/>
  <c r="K107" i="69"/>
  <c r="I107" i="69"/>
  <c r="G107" i="69"/>
  <c r="E107" i="69"/>
  <c r="C107" i="69"/>
  <c r="R106" i="69"/>
  <c r="S106" i="69" s="1"/>
  <c r="Q106" i="69"/>
  <c r="O106" i="69"/>
  <c r="M106" i="69"/>
  <c r="K106" i="69"/>
  <c r="I106" i="69"/>
  <c r="G106" i="69"/>
  <c r="E106" i="69"/>
  <c r="C106" i="69"/>
  <c r="R105" i="69"/>
  <c r="S105" i="69" s="1"/>
  <c r="Q105" i="69"/>
  <c r="O105" i="69"/>
  <c r="M105" i="69"/>
  <c r="K105" i="69"/>
  <c r="I105" i="69"/>
  <c r="G105" i="69"/>
  <c r="E105" i="69"/>
  <c r="C105" i="69"/>
  <c r="R104" i="69"/>
  <c r="S104" i="69" s="1"/>
  <c r="Q104" i="69"/>
  <c r="O104" i="69"/>
  <c r="M104" i="69"/>
  <c r="K104" i="69"/>
  <c r="I104" i="69"/>
  <c r="G104" i="69"/>
  <c r="E104" i="69"/>
  <c r="C104" i="69"/>
  <c r="R103" i="69"/>
  <c r="S103" i="69" s="1"/>
  <c r="Q103" i="69"/>
  <c r="O103" i="69"/>
  <c r="M103" i="69"/>
  <c r="K103" i="69"/>
  <c r="I103" i="69"/>
  <c r="G103" i="69"/>
  <c r="E103" i="69"/>
  <c r="C103" i="69"/>
  <c r="R102" i="69"/>
  <c r="S102" i="69" s="1"/>
  <c r="Q102" i="69"/>
  <c r="O102" i="69"/>
  <c r="M102" i="69"/>
  <c r="K102" i="69"/>
  <c r="I102" i="69"/>
  <c r="G102" i="69"/>
  <c r="E102" i="69"/>
  <c r="C102" i="69"/>
  <c r="R101" i="69"/>
  <c r="S101" i="69" s="1"/>
  <c r="Q101" i="69"/>
  <c r="O101" i="69"/>
  <c r="M101" i="69"/>
  <c r="K101" i="69"/>
  <c r="I101" i="69"/>
  <c r="G101" i="69"/>
  <c r="E101" i="69"/>
  <c r="C101" i="69"/>
  <c r="R100" i="69"/>
  <c r="S100" i="69" s="1"/>
  <c r="Q100" i="69"/>
  <c r="O100" i="69"/>
  <c r="M100" i="69"/>
  <c r="K100" i="69"/>
  <c r="I100" i="69"/>
  <c r="G100" i="69"/>
  <c r="E100" i="69"/>
  <c r="C100" i="69"/>
  <c r="R99" i="69"/>
  <c r="S99" i="69" s="1"/>
  <c r="Q99" i="69"/>
  <c r="O99" i="69"/>
  <c r="M99" i="69"/>
  <c r="K99" i="69"/>
  <c r="I99" i="69"/>
  <c r="G99" i="69"/>
  <c r="E99" i="69"/>
  <c r="C99" i="69"/>
  <c r="R98" i="69"/>
  <c r="S98" i="69" s="1"/>
  <c r="Q98" i="69"/>
  <c r="O98" i="69"/>
  <c r="M98" i="69"/>
  <c r="K98" i="69"/>
  <c r="I98" i="69"/>
  <c r="G98" i="69"/>
  <c r="E98" i="69"/>
  <c r="C98" i="69"/>
  <c r="R97" i="69"/>
  <c r="S97" i="69" s="1"/>
  <c r="Q97" i="69"/>
  <c r="O97" i="69"/>
  <c r="M97" i="69"/>
  <c r="K97" i="69"/>
  <c r="I97" i="69"/>
  <c r="G97" i="69"/>
  <c r="E97" i="69"/>
  <c r="C97" i="69"/>
  <c r="R96" i="69"/>
  <c r="S96" i="69" s="1"/>
  <c r="Q96" i="69"/>
  <c r="O96" i="69"/>
  <c r="M96" i="69"/>
  <c r="K96" i="69"/>
  <c r="I96" i="69"/>
  <c r="G96" i="69"/>
  <c r="E96" i="69"/>
  <c r="C96" i="69"/>
  <c r="R95" i="69"/>
  <c r="S95" i="69" s="1"/>
  <c r="Q95" i="69"/>
  <c r="O95" i="69"/>
  <c r="M95" i="69"/>
  <c r="K95" i="69"/>
  <c r="I95" i="69"/>
  <c r="G95" i="69"/>
  <c r="E95" i="69"/>
  <c r="C95" i="69"/>
  <c r="R94" i="69"/>
  <c r="S94" i="69" s="1"/>
  <c r="Q94" i="69"/>
  <c r="O94" i="69"/>
  <c r="M94" i="69"/>
  <c r="K94" i="69"/>
  <c r="I94" i="69"/>
  <c r="G94" i="69"/>
  <c r="E94" i="69"/>
  <c r="C94" i="69"/>
  <c r="R93" i="69"/>
  <c r="S93" i="69" s="1"/>
  <c r="Q93" i="69"/>
  <c r="O93" i="69"/>
  <c r="M93" i="69"/>
  <c r="K93" i="69"/>
  <c r="I93" i="69"/>
  <c r="G93" i="69"/>
  <c r="E93" i="69"/>
  <c r="C93" i="69"/>
  <c r="R92" i="69"/>
  <c r="S92" i="69" s="1"/>
  <c r="Q92" i="69"/>
  <c r="O92" i="69"/>
  <c r="M92" i="69"/>
  <c r="K92" i="69"/>
  <c r="I92" i="69"/>
  <c r="G92" i="69"/>
  <c r="E92" i="69"/>
  <c r="C92" i="69"/>
  <c r="R91" i="69"/>
  <c r="S91" i="69" s="1"/>
  <c r="Q91" i="69"/>
  <c r="O91" i="69"/>
  <c r="M91" i="69"/>
  <c r="K91" i="69"/>
  <c r="I91" i="69"/>
  <c r="G91" i="69"/>
  <c r="E91" i="69"/>
  <c r="C91" i="69"/>
  <c r="R90" i="69"/>
  <c r="S90" i="69" s="1"/>
  <c r="Q90" i="69"/>
  <c r="O90" i="69"/>
  <c r="M90" i="69"/>
  <c r="K90" i="69"/>
  <c r="I90" i="69"/>
  <c r="G90" i="69"/>
  <c r="E90" i="69"/>
  <c r="C90" i="69"/>
  <c r="R89" i="69"/>
  <c r="S89" i="69" s="1"/>
  <c r="Q89" i="69"/>
  <c r="O89" i="69"/>
  <c r="M89" i="69"/>
  <c r="K89" i="69"/>
  <c r="I89" i="69"/>
  <c r="G89" i="69"/>
  <c r="E89" i="69"/>
  <c r="C89" i="69"/>
  <c r="R88" i="69"/>
  <c r="S88" i="69" s="1"/>
  <c r="Q88" i="69"/>
  <c r="O88" i="69"/>
  <c r="M88" i="69"/>
  <c r="K88" i="69"/>
  <c r="I88" i="69"/>
  <c r="G88" i="69"/>
  <c r="E88" i="69"/>
  <c r="C88" i="69"/>
  <c r="R87" i="69"/>
  <c r="S87" i="69" s="1"/>
  <c r="Q87" i="69"/>
  <c r="O87" i="69"/>
  <c r="M87" i="69"/>
  <c r="K87" i="69"/>
  <c r="I87" i="69"/>
  <c r="G87" i="69"/>
  <c r="E87" i="69"/>
  <c r="C87" i="69"/>
  <c r="R86" i="69"/>
  <c r="S86" i="69" s="1"/>
  <c r="Q86" i="69"/>
  <c r="O86" i="69"/>
  <c r="M86" i="69"/>
  <c r="K86" i="69"/>
  <c r="I86" i="69"/>
  <c r="G86" i="69"/>
  <c r="E86" i="69"/>
  <c r="C86" i="69"/>
  <c r="R85" i="69"/>
  <c r="S85" i="69" s="1"/>
  <c r="Q85" i="69"/>
  <c r="O85" i="69"/>
  <c r="M85" i="69"/>
  <c r="K85" i="69"/>
  <c r="I85" i="69"/>
  <c r="G85" i="69"/>
  <c r="E85" i="69"/>
  <c r="C85" i="69"/>
  <c r="R84" i="69"/>
  <c r="S84" i="69" s="1"/>
  <c r="Q84" i="69"/>
  <c r="O84" i="69"/>
  <c r="M84" i="69"/>
  <c r="K84" i="69"/>
  <c r="I84" i="69"/>
  <c r="G84" i="69"/>
  <c r="E84" i="69"/>
  <c r="C84" i="69"/>
  <c r="R83" i="69"/>
  <c r="S83" i="69" s="1"/>
  <c r="Q83" i="69"/>
  <c r="O83" i="69"/>
  <c r="M83" i="69"/>
  <c r="K83" i="69"/>
  <c r="I83" i="69"/>
  <c r="G83" i="69"/>
  <c r="E83" i="69"/>
  <c r="C83" i="69"/>
  <c r="R82" i="69"/>
  <c r="S82" i="69" s="1"/>
  <c r="Q82" i="69"/>
  <c r="O82" i="69"/>
  <c r="M82" i="69"/>
  <c r="K82" i="69"/>
  <c r="I82" i="69"/>
  <c r="G82" i="69"/>
  <c r="E82" i="69"/>
  <c r="C82" i="69"/>
  <c r="R81" i="69"/>
  <c r="S81" i="69" s="1"/>
  <c r="Q81" i="69"/>
  <c r="O81" i="69"/>
  <c r="M81" i="69"/>
  <c r="K81" i="69"/>
  <c r="I81" i="69"/>
  <c r="G81" i="69"/>
  <c r="E81" i="69"/>
  <c r="C81" i="69"/>
  <c r="R80" i="69"/>
  <c r="S80" i="69" s="1"/>
  <c r="Q80" i="69"/>
  <c r="O80" i="69"/>
  <c r="M80" i="69"/>
  <c r="K80" i="69"/>
  <c r="I80" i="69"/>
  <c r="G80" i="69"/>
  <c r="E80" i="69"/>
  <c r="C80" i="69"/>
  <c r="R79" i="69"/>
  <c r="S79" i="69" s="1"/>
  <c r="Q79" i="69"/>
  <c r="O79" i="69"/>
  <c r="M79" i="69"/>
  <c r="K79" i="69"/>
  <c r="I79" i="69"/>
  <c r="G79" i="69"/>
  <c r="E79" i="69"/>
  <c r="C79" i="69"/>
  <c r="R78" i="69"/>
  <c r="S78" i="69" s="1"/>
  <c r="Q78" i="69"/>
  <c r="O78" i="69"/>
  <c r="M78" i="69"/>
  <c r="K78" i="69"/>
  <c r="I78" i="69"/>
  <c r="G78" i="69"/>
  <c r="E78" i="69"/>
  <c r="C78" i="69"/>
  <c r="R77" i="69"/>
  <c r="S77" i="69" s="1"/>
  <c r="Q77" i="69"/>
  <c r="O77" i="69"/>
  <c r="M77" i="69"/>
  <c r="K77" i="69"/>
  <c r="I77" i="69"/>
  <c r="G77" i="69"/>
  <c r="E77" i="69"/>
  <c r="C77" i="69"/>
  <c r="R76" i="69"/>
  <c r="S76" i="69" s="1"/>
  <c r="Q76" i="69"/>
  <c r="O76" i="69"/>
  <c r="M76" i="69"/>
  <c r="K76" i="69"/>
  <c r="I76" i="69"/>
  <c r="G76" i="69"/>
  <c r="E76" i="69"/>
  <c r="C76" i="69"/>
  <c r="R75" i="69"/>
  <c r="S75" i="69" s="1"/>
  <c r="Q75" i="69"/>
  <c r="O75" i="69"/>
  <c r="M75" i="69"/>
  <c r="K75" i="69"/>
  <c r="I75" i="69"/>
  <c r="G75" i="69"/>
  <c r="E75" i="69"/>
  <c r="C75" i="69"/>
  <c r="R74" i="69"/>
  <c r="S74" i="69" s="1"/>
  <c r="Q74" i="69"/>
  <c r="O74" i="69"/>
  <c r="M74" i="69"/>
  <c r="K74" i="69"/>
  <c r="I74" i="69"/>
  <c r="G74" i="69"/>
  <c r="E74" i="69"/>
  <c r="C74" i="69"/>
  <c r="R73" i="69"/>
  <c r="S73" i="69" s="1"/>
  <c r="Q73" i="69"/>
  <c r="O73" i="69"/>
  <c r="M73" i="69"/>
  <c r="K73" i="69"/>
  <c r="I73" i="69"/>
  <c r="G73" i="69"/>
  <c r="E73" i="69"/>
  <c r="C73" i="69"/>
  <c r="R72" i="69"/>
  <c r="S72" i="69" s="1"/>
  <c r="Q72" i="69"/>
  <c r="O72" i="69"/>
  <c r="M72" i="69"/>
  <c r="K72" i="69"/>
  <c r="I72" i="69"/>
  <c r="G72" i="69"/>
  <c r="E72" i="69"/>
  <c r="C72" i="69"/>
  <c r="R71" i="69"/>
  <c r="S71" i="69" s="1"/>
  <c r="Q71" i="69"/>
  <c r="O71" i="69"/>
  <c r="M71" i="69"/>
  <c r="K71" i="69"/>
  <c r="I71" i="69"/>
  <c r="G71" i="69"/>
  <c r="E71" i="69"/>
  <c r="C71" i="69"/>
  <c r="R70" i="69"/>
  <c r="S70" i="69" s="1"/>
  <c r="Q70" i="69"/>
  <c r="O70" i="69"/>
  <c r="M70" i="69"/>
  <c r="K70" i="69"/>
  <c r="I70" i="69"/>
  <c r="G70" i="69"/>
  <c r="E70" i="69"/>
  <c r="C70" i="69"/>
  <c r="R69" i="69"/>
  <c r="S69" i="69" s="1"/>
  <c r="Q69" i="69"/>
  <c r="O69" i="69"/>
  <c r="M69" i="69"/>
  <c r="K69" i="69"/>
  <c r="I69" i="69"/>
  <c r="G69" i="69"/>
  <c r="E69" i="69"/>
  <c r="C69" i="69"/>
  <c r="R68" i="69"/>
  <c r="S68" i="69" s="1"/>
  <c r="Q68" i="69"/>
  <c r="O68" i="69"/>
  <c r="M68" i="69"/>
  <c r="K68" i="69"/>
  <c r="I68" i="69"/>
  <c r="G68" i="69"/>
  <c r="E68" i="69"/>
  <c r="C68" i="69"/>
  <c r="R67" i="69"/>
  <c r="S67" i="69" s="1"/>
  <c r="Q67" i="69"/>
  <c r="O67" i="69"/>
  <c r="M67" i="69"/>
  <c r="K67" i="69"/>
  <c r="I67" i="69"/>
  <c r="G67" i="69"/>
  <c r="E67" i="69"/>
  <c r="C67" i="69"/>
  <c r="R66" i="69"/>
  <c r="S66" i="69" s="1"/>
  <c r="Q66" i="69"/>
  <c r="O66" i="69"/>
  <c r="M66" i="69"/>
  <c r="K66" i="69"/>
  <c r="I66" i="69"/>
  <c r="G66" i="69"/>
  <c r="E66" i="69"/>
  <c r="C66" i="69"/>
  <c r="R65" i="69"/>
  <c r="S65" i="69" s="1"/>
  <c r="Q65" i="69"/>
  <c r="O65" i="69"/>
  <c r="M65" i="69"/>
  <c r="K65" i="69"/>
  <c r="I65" i="69"/>
  <c r="G65" i="69"/>
  <c r="E65" i="69"/>
  <c r="C65" i="69"/>
  <c r="R64" i="69"/>
  <c r="S64" i="69" s="1"/>
  <c r="Q64" i="69"/>
  <c r="O64" i="69"/>
  <c r="M64" i="69"/>
  <c r="K64" i="69"/>
  <c r="I64" i="69"/>
  <c r="G64" i="69"/>
  <c r="E64" i="69"/>
  <c r="C64" i="69"/>
  <c r="R63" i="69"/>
  <c r="S63" i="69" s="1"/>
  <c r="Q63" i="69"/>
  <c r="O63" i="69"/>
  <c r="M63" i="69"/>
  <c r="K63" i="69"/>
  <c r="I63" i="69"/>
  <c r="G63" i="69"/>
  <c r="E63" i="69"/>
  <c r="C63" i="69"/>
  <c r="R62" i="69"/>
  <c r="S62" i="69" s="1"/>
  <c r="Q62" i="69"/>
  <c r="O62" i="69"/>
  <c r="M62" i="69"/>
  <c r="K62" i="69"/>
  <c r="I62" i="69"/>
  <c r="G62" i="69"/>
  <c r="E62" i="69"/>
  <c r="C62" i="69"/>
  <c r="R61" i="69"/>
  <c r="S61" i="69" s="1"/>
  <c r="Q61" i="69"/>
  <c r="O61" i="69"/>
  <c r="M61" i="69"/>
  <c r="K61" i="69"/>
  <c r="I61" i="69"/>
  <c r="G61" i="69"/>
  <c r="E61" i="69"/>
  <c r="C61" i="69"/>
  <c r="R60" i="69"/>
  <c r="S60" i="69" s="1"/>
  <c r="Q60" i="69"/>
  <c r="O60" i="69"/>
  <c r="M60" i="69"/>
  <c r="K60" i="69"/>
  <c r="I60" i="69"/>
  <c r="G60" i="69"/>
  <c r="E60" i="69"/>
  <c r="C60" i="69"/>
  <c r="R59" i="69"/>
  <c r="S59" i="69" s="1"/>
  <c r="Q59" i="69"/>
  <c r="O59" i="69"/>
  <c r="M59" i="69"/>
  <c r="K59" i="69"/>
  <c r="I59" i="69"/>
  <c r="G59" i="69"/>
  <c r="E59" i="69"/>
  <c r="C59" i="69"/>
  <c r="R58" i="69"/>
  <c r="S58" i="69" s="1"/>
  <c r="Q58" i="69"/>
  <c r="O58" i="69"/>
  <c r="M58" i="69"/>
  <c r="K58" i="69"/>
  <c r="I58" i="69"/>
  <c r="G58" i="69"/>
  <c r="E58" i="69"/>
  <c r="C58" i="69"/>
  <c r="R57" i="69"/>
  <c r="S57" i="69" s="1"/>
  <c r="Q57" i="69"/>
  <c r="O57" i="69"/>
  <c r="M57" i="69"/>
  <c r="K57" i="69"/>
  <c r="I57" i="69"/>
  <c r="G57" i="69"/>
  <c r="E57" i="69"/>
  <c r="C57" i="69"/>
  <c r="R56" i="69"/>
  <c r="S56" i="69" s="1"/>
  <c r="Q56" i="69"/>
  <c r="O56" i="69"/>
  <c r="M56" i="69"/>
  <c r="K56" i="69"/>
  <c r="I56" i="69"/>
  <c r="G56" i="69"/>
  <c r="E56" i="69"/>
  <c r="C56" i="69"/>
  <c r="R55" i="69"/>
  <c r="S55" i="69" s="1"/>
  <c r="Q55" i="69"/>
  <c r="O55" i="69"/>
  <c r="M55" i="69"/>
  <c r="K55" i="69"/>
  <c r="I55" i="69"/>
  <c r="G55" i="69"/>
  <c r="E55" i="69"/>
  <c r="C55" i="69"/>
  <c r="R54" i="69"/>
  <c r="S54" i="69" s="1"/>
  <c r="Q54" i="69"/>
  <c r="O54" i="69"/>
  <c r="M54" i="69"/>
  <c r="K54" i="69"/>
  <c r="I54" i="69"/>
  <c r="G54" i="69"/>
  <c r="E54" i="69"/>
  <c r="C54" i="69"/>
  <c r="R53" i="69"/>
  <c r="S53" i="69" s="1"/>
  <c r="Q53" i="69"/>
  <c r="O53" i="69"/>
  <c r="M53" i="69"/>
  <c r="K53" i="69"/>
  <c r="I53" i="69"/>
  <c r="G53" i="69"/>
  <c r="E53" i="69"/>
  <c r="C53" i="69"/>
  <c r="R52" i="69"/>
  <c r="S52" i="69" s="1"/>
  <c r="Q52" i="69"/>
  <c r="O52" i="69"/>
  <c r="M52" i="69"/>
  <c r="K52" i="69"/>
  <c r="I52" i="69"/>
  <c r="G52" i="69"/>
  <c r="E52" i="69"/>
  <c r="C52" i="69"/>
  <c r="R51" i="69"/>
  <c r="S51" i="69" s="1"/>
  <c r="Q51" i="69"/>
  <c r="O51" i="69"/>
  <c r="M51" i="69"/>
  <c r="K51" i="69"/>
  <c r="I51" i="69"/>
  <c r="G51" i="69"/>
  <c r="E51" i="69"/>
  <c r="C51" i="69"/>
  <c r="R50" i="69"/>
  <c r="S50" i="69" s="1"/>
  <c r="Q50" i="69"/>
  <c r="O50" i="69"/>
  <c r="M50" i="69"/>
  <c r="K50" i="69"/>
  <c r="I50" i="69"/>
  <c r="G50" i="69"/>
  <c r="E50" i="69"/>
  <c r="C50" i="69"/>
  <c r="R49" i="69"/>
  <c r="S49" i="69" s="1"/>
  <c r="Q49" i="69"/>
  <c r="O49" i="69"/>
  <c r="M49" i="69"/>
  <c r="K49" i="69"/>
  <c r="I49" i="69"/>
  <c r="G49" i="69"/>
  <c r="E49" i="69"/>
  <c r="C49" i="69"/>
  <c r="R48" i="69"/>
  <c r="S48" i="69" s="1"/>
  <c r="Q48" i="69"/>
  <c r="O48" i="69"/>
  <c r="M48" i="69"/>
  <c r="K48" i="69"/>
  <c r="I48" i="69"/>
  <c r="G48" i="69"/>
  <c r="E48" i="69"/>
  <c r="C48" i="69"/>
  <c r="R47" i="69"/>
  <c r="S47" i="69" s="1"/>
  <c r="Q47" i="69"/>
  <c r="O47" i="69"/>
  <c r="M47" i="69"/>
  <c r="K47" i="69"/>
  <c r="I47" i="69"/>
  <c r="G47" i="69"/>
  <c r="E47" i="69"/>
  <c r="C47" i="69"/>
  <c r="R46" i="69"/>
  <c r="S46" i="69" s="1"/>
  <c r="Q46" i="69"/>
  <c r="O46" i="69"/>
  <c r="M46" i="69"/>
  <c r="K46" i="69"/>
  <c r="I46" i="69"/>
  <c r="G46" i="69"/>
  <c r="E46" i="69"/>
  <c r="C46" i="69"/>
  <c r="R45" i="69"/>
  <c r="S45" i="69" s="1"/>
  <c r="Q45" i="69"/>
  <c r="O45" i="69"/>
  <c r="M45" i="69"/>
  <c r="K45" i="69"/>
  <c r="I45" i="69"/>
  <c r="G45" i="69"/>
  <c r="E45" i="69"/>
  <c r="C45" i="69"/>
  <c r="R44" i="69"/>
  <c r="S44" i="69" s="1"/>
  <c r="Q44" i="69"/>
  <c r="O44" i="69"/>
  <c r="M44" i="69"/>
  <c r="K44" i="69"/>
  <c r="I44" i="69"/>
  <c r="G44" i="69"/>
  <c r="E44" i="69"/>
  <c r="C44" i="69"/>
  <c r="R43" i="69"/>
  <c r="S43" i="69" s="1"/>
  <c r="Q43" i="69"/>
  <c r="O43" i="69"/>
  <c r="M43" i="69"/>
  <c r="K43" i="69"/>
  <c r="I43" i="69"/>
  <c r="G43" i="69"/>
  <c r="E43" i="69"/>
  <c r="C43" i="69"/>
  <c r="R42" i="69"/>
  <c r="S42" i="69" s="1"/>
  <c r="Q42" i="69"/>
  <c r="O42" i="69"/>
  <c r="M42" i="69"/>
  <c r="K42" i="69"/>
  <c r="I42" i="69"/>
  <c r="G42" i="69"/>
  <c r="E42" i="69"/>
  <c r="C42" i="69"/>
  <c r="R41" i="69"/>
  <c r="S41" i="69" s="1"/>
  <c r="Q41" i="69"/>
  <c r="O41" i="69"/>
  <c r="M41" i="69"/>
  <c r="K41" i="69"/>
  <c r="I41" i="69"/>
  <c r="G41" i="69"/>
  <c r="E41" i="69"/>
  <c r="C41" i="69"/>
  <c r="R40" i="69"/>
  <c r="S40" i="69" s="1"/>
  <c r="Q40" i="69"/>
  <c r="O40" i="69"/>
  <c r="M40" i="69"/>
  <c r="K40" i="69"/>
  <c r="I40" i="69"/>
  <c r="G40" i="69"/>
  <c r="E40" i="69"/>
  <c r="C40" i="69"/>
  <c r="R39" i="69"/>
  <c r="S39" i="69" s="1"/>
  <c r="Q39" i="69"/>
  <c r="O39" i="69"/>
  <c r="M39" i="69"/>
  <c r="K39" i="69"/>
  <c r="I39" i="69"/>
  <c r="G39" i="69"/>
  <c r="E39" i="69"/>
  <c r="C39" i="69"/>
  <c r="R38" i="69"/>
  <c r="S38" i="69" s="1"/>
  <c r="Q38" i="69"/>
  <c r="O38" i="69"/>
  <c r="M38" i="69"/>
  <c r="K38" i="69"/>
  <c r="I38" i="69"/>
  <c r="G38" i="69"/>
  <c r="E38" i="69"/>
  <c r="C38" i="69"/>
  <c r="R37" i="69"/>
  <c r="S37" i="69" s="1"/>
  <c r="Q37" i="69"/>
  <c r="O37" i="69"/>
  <c r="M37" i="69"/>
  <c r="K37" i="69"/>
  <c r="I37" i="69"/>
  <c r="G37" i="69"/>
  <c r="E37" i="69"/>
  <c r="C37" i="69"/>
  <c r="R36" i="69"/>
  <c r="S36" i="69" s="1"/>
  <c r="Q36" i="69"/>
  <c r="O36" i="69"/>
  <c r="M36" i="69"/>
  <c r="K36" i="69"/>
  <c r="I36" i="69"/>
  <c r="G36" i="69"/>
  <c r="E36" i="69"/>
  <c r="C36" i="69"/>
  <c r="R35" i="69"/>
  <c r="S35" i="69" s="1"/>
  <c r="Q35" i="69"/>
  <c r="O35" i="69"/>
  <c r="M35" i="69"/>
  <c r="K35" i="69"/>
  <c r="I35" i="69"/>
  <c r="G35" i="69"/>
  <c r="E35" i="69"/>
  <c r="C35" i="69"/>
  <c r="R34" i="69"/>
  <c r="S34" i="69" s="1"/>
  <c r="Q34" i="69"/>
  <c r="O34" i="69"/>
  <c r="M34" i="69"/>
  <c r="K34" i="69"/>
  <c r="I34" i="69"/>
  <c r="G34" i="69"/>
  <c r="E34" i="69"/>
  <c r="C34" i="69"/>
  <c r="R33" i="69"/>
  <c r="S33" i="69" s="1"/>
  <c r="Q33" i="69"/>
  <c r="O33" i="69"/>
  <c r="M33" i="69"/>
  <c r="K33" i="69"/>
  <c r="I33" i="69"/>
  <c r="G33" i="69"/>
  <c r="E33" i="69"/>
  <c r="C33" i="69"/>
  <c r="R32" i="69"/>
  <c r="S32" i="69" s="1"/>
  <c r="Q32" i="69"/>
  <c r="O32" i="69"/>
  <c r="M32" i="69"/>
  <c r="K32" i="69"/>
  <c r="I32" i="69"/>
  <c r="G32" i="69"/>
  <c r="E32" i="69"/>
  <c r="C32" i="69"/>
  <c r="R31" i="69"/>
  <c r="S31" i="69" s="1"/>
  <c r="Q31" i="69"/>
  <c r="O31" i="69"/>
  <c r="M31" i="69"/>
  <c r="K31" i="69"/>
  <c r="I31" i="69"/>
  <c r="G31" i="69"/>
  <c r="E31" i="69"/>
  <c r="C31" i="69"/>
  <c r="R30" i="69"/>
  <c r="S30" i="69" s="1"/>
  <c r="Q30" i="69"/>
  <c r="O30" i="69"/>
  <c r="M30" i="69"/>
  <c r="K30" i="69"/>
  <c r="I30" i="69"/>
  <c r="G30" i="69"/>
  <c r="E30" i="69"/>
  <c r="C30" i="69"/>
  <c r="R29" i="69"/>
  <c r="S29" i="69" s="1"/>
  <c r="Q29" i="69"/>
  <c r="O29" i="69"/>
  <c r="M29" i="69"/>
  <c r="K29" i="69"/>
  <c r="I29" i="69"/>
  <c r="G29" i="69"/>
  <c r="E29" i="69"/>
  <c r="C29" i="69"/>
  <c r="R28" i="69"/>
  <c r="S28" i="69" s="1"/>
  <c r="Q28" i="69"/>
  <c r="O28" i="69"/>
  <c r="M28" i="69"/>
  <c r="K28" i="69"/>
  <c r="I28" i="69"/>
  <c r="G28" i="69"/>
  <c r="E28" i="69"/>
  <c r="C28" i="69"/>
  <c r="R27" i="69"/>
  <c r="S27" i="69" s="1"/>
  <c r="Q27" i="69"/>
  <c r="O27" i="69"/>
  <c r="M27" i="69"/>
  <c r="K27" i="69"/>
  <c r="I27" i="69"/>
  <c r="G27" i="69"/>
  <c r="E27" i="69"/>
  <c r="C27" i="69"/>
  <c r="R26" i="69"/>
  <c r="S26" i="69" s="1"/>
  <c r="Q26" i="69"/>
  <c r="O26" i="69"/>
  <c r="M26" i="69"/>
  <c r="K26" i="69"/>
  <c r="I26" i="69"/>
  <c r="G26" i="69"/>
  <c r="E26" i="69"/>
  <c r="C26" i="69"/>
  <c r="Q25" i="69"/>
  <c r="O25" i="69"/>
  <c r="M25" i="69"/>
  <c r="K25" i="69"/>
  <c r="I25" i="69"/>
  <c r="G25" i="69"/>
  <c r="P23" i="69"/>
  <c r="N23" i="69"/>
  <c r="L23" i="69"/>
  <c r="J23" i="69"/>
  <c r="H23" i="69"/>
  <c r="F23" i="69"/>
  <c r="D23" i="69"/>
  <c r="D12" i="69"/>
  <c r="E12" i="69" s="1"/>
  <c r="F12" i="69" s="1"/>
  <c r="G12" i="69" s="1"/>
  <c r="H12" i="69" s="1"/>
  <c r="I12" i="69" s="1"/>
  <c r="J12" i="69" s="1"/>
  <c r="K12" i="69" s="1"/>
  <c r="L12" i="69" s="1"/>
  <c r="M12" i="69" s="1"/>
  <c r="N12" i="69" s="1"/>
  <c r="O12" i="69" s="1"/>
  <c r="P12" i="69" s="1"/>
  <c r="Q12" i="69" s="1"/>
  <c r="R12" i="69" s="1"/>
  <c r="S12" i="69" s="1"/>
  <c r="D10" i="69"/>
  <c r="E10" i="69" s="1"/>
  <c r="F10" i="69" s="1"/>
  <c r="G10" i="69" s="1"/>
  <c r="H10" i="69" s="1"/>
  <c r="I10" i="69" s="1"/>
  <c r="J10" i="69" s="1"/>
  <c r="K10" i="69" s="1"/>
  <c r="L10" i="69" s="1"/>
  <c r="M10" i="69" s="1"/>
  <c r="N10" i="69" s="1"/>
  <c r="O10" i="69" s="1"/>
  <c r="P10" i="69" s="1"/>
  <c r="Q10" i="69" s="1"/>
  <c r="R10" i="69" s="1"/>
  <c r="S10" i="69" s="1"/>
  <c r="D8" i="69"/>
  <c r="E8" i="69" s="1"/>
  <c r="F8" i="69" s="1"/>
  <c r="G8" i="69" s="1"/>
  <c r="H8" i="69" s="1"/>
  <c r="I8" i="69" s="1"/>
  <c r="J8" i="69" s="1"/>
  <c r="K8" i="69" s="1"/>
  <c r="L8" i="69" s="1"/>
  <c r="M8" i="69" s="1"/>
  <c r="N8" i="69" s="1"/>
  <c r="O8" i="69" s="1"/>
  <c r="P8" i="69" s="1"/>
  <c r="Q8" i="69" s="1"/>
  <c r="R8" i="69" s="1"/>
  <c r="S8" i="69" s="1"/>
  <c r="D6" i="69"/>
  <c r="E6" i="69" s="1"/>
  <c r="F6" i="69" s="1"/>
  <c r="G6" i="69" s="1"/>
  <c r="H6" i="69" s="1"/>
  <c r="I6" i="69" s="1"/>
  <c r="J6" i="69" s="1"/>
  <c r="K6" i="69" s="1"/>
  <c r="L6" i="69" s="1"/>
  <c r="M6" i="69" s="1"/>
  <c r="N6" i="69" s="1"/>
  <c r="O6" i="69" s="1"/>
  <c r="P6" i="69" s="1"/>
  <c r="Q6" i="69" s="1"/>
  <c r="R6" i="69" s="1"/>
  <c r="S6" i="69" s="1"/>
  <c r="S2" i="69"/>
  <c r="R2" i="69"/>
  <c r="Q2" i="69"/>
  <c r="P2" i="69"/>
  <c r="O2" i="69"/>
  <c r="N2" i="69"/>
  <c r="M2" i="69"/>
  <c r="L2" i="69"/>
  <c r="K2" i="69"/>
  <c r="J2" i="69"/>
  <c r="I2" i="69"/>
  <c r="H2" i="69"/>
  <c r="G2" i="69"/>
  <c r="F2" i="69"/>
  <c r="E2" i="69"/>
  <c r="D2" i="69"/>
  <c r="C2" i="69"/>
  <c r="C5" i="21"/>
  <c r="C145" i="68"/>
  <c r="J142" i="68"/>
  <c r="J140" i="68"/>
  <c r="K139" i="68"/>
  <c r="K141" i="68" s="1"/>
  <c r="B130" i="68"/>
  <c r="B128" i="68"/>
  <c r="H45" i="68" s="1"/>
  <c r="AB45" i="68" s="1"/>
  <c r="B126" i="68"/>
  <c r="E125" i="68"/>
  <c r="F125" i="68" s="1"/>
  <c r="G125" i="68" s="1"/>
  <c r="D125" i="68"/>
  <c r="D123" i="68"/>
  <c r="E123" i="68" s="1"/>
  <c r="F123" i="68" s="1"/>
  <c r="G123" i="68" s="1"/>
  <c r="H123" i="68" s="1"/>
  <c r="I123" i="68" s="1"/>
  <c r="J123" i="68" s="1"/>
  <c r="K123" i="68" s="1"/>
  <c r="L123" i="68" s="1"/>
  <c r="M123" i="68" s="1"/>
  <c r="D119" i="68"/>
  <c r="E119" i="68" s="1"/>
  <c r="F119" i="68" s="1"/>
  <c r="G119" i="68" s="1"/>
  <c r="H119" i="68" s="1"/>
  <c r="I119" i="68" s="1"/>
  <c r="J119" i="68" s="1"/>
  <c r="K119" i="68" s="1"/>
  <c r="L119" i="68" s="1"/>
  <c r="M119" i="68" s="1"/>
  <c r="D117" i="68"/>
  <c r="E117" i="68" s="1"/>
  <c r="F117" i="68" s="1"/>
  <c r="G117" i="68" s="1"/>
  <c r="D115" i="68"/>
  <c r="E115" i="68" s="1"/>
  <c r="F115" i="68" s="1"/>
  <c r="G115" i="68" s="1"/>
  <c r="H115" i="68" s="1"/>
  <c r="I115" i="68" s="1"/>
  <c r="J115" i="68" s="1"/>
  <c r="K115" i="68" s="1"/>
  <c r="L115" i="68" s="1"/>
  <c r="M115" i="68" s="1"/>
  <c r="D113" i="68"/>
  <c r="E113" i="68" s="1"/>
  <c r="F113" i="68" s="1"/>
  <c r="G113" i="68" s="1"/>
  <c r="H113" i="68" s="1"/>
  <c r="H111" i="68"/>
  <c r="G111" i="68"/>
  <c r="F111" i="68"/>
  <c r="E111" i="68"/>
  <c r="D111" i="68"/>
  <c r="C111" i="68"/>
  <c r="D110" i="68"/>
  <c r="E110" i="68" s="1"/>
  <c r="F110" i="68" s="1"/>
  <c r="G110" i="68" s="1"/>
  <c r="H110" i="68" s="1"/>
  <c r="I110" i="68" s="1"/>
  <c r="J110" i="68" s="1"/>
  <c r="K110" i="68" s="1"/>
  <c r="L110" i="68" s="1"/>
  <c r="M110" i="68" s="1"/>
  <c r="D108" i="68"/>
  <c r="E108" i="68" s="1"/>
  <c r="F108" i="68" s="1"/>
  <c r="G108" i="68" s="1"/>
  <c r="H108" i="68" s="1"/>
  <c r="I108" i="68" s="1"/>
  <c r="J108" i="68" s="1"/>
  <c r="K108" i="68" s="1"/>
  <c r="L108" i="68" s="1"/>
  <c r="M108" i="68" s="1"/>
  <c r="D106" i="68"/>
  <c r="E106" i="68" s="1"/>
  <c r="F106" i="68" s="1"/>
  <c r="G106" i="68" s="1"/>
  <c r="H106" i="68" s="1"/>
  <c r="I106" i="68" s="1"/>
  <c r="J106" i="68" s="1"/>
  <c r="K106" i="68" s="1"/>
  <c r="L106" i="68" s="1"/>
  <c r="M106" i="68" s="1"/>
  <c r="M102" i="68"/>
  <c r="L102" i="68"/>
  <c r="K102" i="68"/>
  <c r="J102" i="68"/>
  <c r="I102" i="68"/>
  <c r="H102" i="68"/>
  <c r="G102" i="68"/>
  <c r="F102" i="68"/>
  <c r="E102" i="68"/>
  <c r="D102" i="68"/>
  <c r="C102" i="68"/>
  <c r="D101" i="68"/>
  <c r="E101" i="68" s="1"/>
  <c r="F101" i="68" s="1"/>
  <c r="G101" i="68" s="1"/>
  <c r="H101" i="68" s="1"/>
  <c r="I101" i="68" s="1"/>
  <c r="J101" i="68" s="1"/>
  <c r="K101" i="68" s="1"/>
  <c r="L101" i="68" s="1"/>
  <c r="M101" i="68" s="1"/>
  <c r="B98" i="68"/>
  <c r="H31" i="68" s="1"/>
  <c r="AB31" i="68" s="1"/>
  <c r="B96" i="68"/>
  <c r="B94" i="68"/>
  <c r="H29" i="68" s="1"/>
  <c r="AB29" i="68" s="1"/>
  <c r="B92" i="68"/>
  <c r="B90" i="68"/>
  <c r="H27" i="68" s="1"/>
  <c r="AB27" i="68" s="1"/>
  <c r="D89" i="68"/>
  <c r="E89" i="68" s="1"/>
  <c r="F89" i="68" s="1"/>
  <c r="G89" i="68" s="1"/>
  <c r="H89" i="68" s="1"/>
  <c r="I89" i="68" s="1"/>
  <c r="J89" i="68" s="1"/>
  <c r="K89" i="68" s="1"/>
  <c r="L89" i="68" s="1"/>
  <c r="M89" i="68" s="1"/>
  <c r="M87" i="68"/>
  <c r="L87" i="68"/>
  <c r="K87" i="68"/>
  <c r="J87" i="68"/>
  <c r="I87" i="68"/>
  <c r="H87" i="68"/>
  <c r="G87" i="68"/>
  <c r="H25" i="68" s="1"/>
  <c r="AB25" i="68" s="1"/>
  <c r="F87" i="68"/>
  <c r="E87" i="68"/>
  <c r="D87" i="68"/>
  <c r="D85" i="68"/>
  <c r="E85" i="68" s="1"/>
  <c r="F85" i="68" s="1"/>
  <c r="G85" i="68" s="1"/>
  <c r="D83" i="68"/>
  <c r="E83" i="68" s="1"/>
  <c r="F83" i="68" s="1"/>
  <c r="G83" i="68" s="1"/>
  <c r="D81" i="68"/>
  <c r="E81" i="68" s="1"/>
  <c r="F81" i="68" s="1"/>
  <c r="G81" i="68" s="1"/>
  <c r="D79" i="68"/>
  <c r="E79" i="68" s="1"/>
  <c r="F79" i="68" s="1"/>
  <c r="G79" i="68" s="1"/>
  <c r="D77" i="68"/>
  <c r="E77" i="68" s="1"/>
  <c r="F77" i="68" s="1"/>
  <c r="G77" i="68" s="1"/>
  <c r="B74" i="68"/>
  <c r="B72" i="68"/>
  <c r="J13" i="68" s="1"/>
  <c r="AC13" i="68" s="1"/>
  <c r="B70" i="68"/>
  <c r="D69" i="68"/>
  <c r="E69" i="68" s="1"/>
  <c r="F69" i="68" s="1"/>
  <c r="G69" i="68" s="1"/>
  <c r="H69" i="68" s="1"/>
  <c r="I69" i="68" s="1"/>
  <c r="J69" i="68" s="1"/>
  <c r="K69" i="68" s="1"/>
  <c r="L69" i="68" s="1"/>
  <c r="M69" i="68" s="1"/>
  <c r="M67" i="68"/>
  <c r="L67" i="68"/>
  <c r="K67" i="68"/>
  <c r="J67" i="68"/>
  <c r="I67" i="68"/>
  <c r="H67" i="68"/>
  <c r="G67" i="68"/>
  <c r="F67" i="68"/>
  <c r="E67" i="68"/>
  <c r="D67" i="68"/>
  <c r="C67" i="68"/>
  <c r="D66" i="68"/>
  <c r="E66" i="68" s="1"/>
  <c r="F66" i="68" s="1"/>
  <c r="G66" i="68" s="1"/>
  <c r="H66" i="68" s="1"/>
  <c r="I66" i="68" s="1"/>
  <c r="C63" i="68"/>
  <c r="I54" i="68"/>
  <c r="J54" i="68" s="1"/>
  <c r="G54" i="68"/>
  <c r="H54" i="68" s="1"/>
  <c r="E54" i="68"/>
  <c r="F54" i="68" s="1"/>
  <c r="P49" i="68"/>
  <c r="P48" i="68"/>
  <c r="V47" i="68"/>
  <c r="T47" i="68"/>
  <c r="R47" i="68"/>
  <c r="P47" i="68"/>
  <c r="Q46" i="68"/>
  <c r="Z46" i="68" s="1"/>
  <c r="J46" i="68"/>
  <c r="AC46" i="68" s="1"/>
  <c r="H46" i="68"/>
  <c r="AB46" i="68" s="1"/>
  <c r="F46" i="68"/>
  <c r="AA46" i="68" s="1"/>
  <c r="Q45" i="68"/>
  <c r="Z45" i="68" s="1"/>
  <c r="J45" i="68"/>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F42" i="68"/>
  <c r="AA42" i="68" s="1"/>
  <c r="Q41" i="68"/>
  <c r="Z41" i="68" s="1"/>
  <c r="J41" i="68"/>
  <c r="AC41" i="68" s="1"/>
  <c r="H41" i="68"/>
  <c r="AB41" i="68" s="1"/>
  <c r="F41" i="68"/>
  <c r="AA41" i="68" s="1"/>
  <c r="Q40" i="68"/>
  <c r="Z40" i="68" s="1"/>
  <c r="J40" i="68"/>
  <c r="AC40" i="68" s="1"/>
  <c r="H40" i="68"/>
  <c r="AB40" i="68" s="1"/>
  <c r="F40" i="68"/>
  <c r="AA40" i="68" s="1"/>
  <c r="Q39" i="68"/>
  <c r="Z39" i="68" s="1"/>
  <c r="J39" i="68"/>
  <c r="AC39" i="68" s="1"/>
  <c r="H39" i="68"/>
  <c r="AB39" i="68" s="1"/>
  <c r="F39" i="68"/>
  <c r="AA39" i="68" s="1"/>
  <c r="Q38" i="68"/>
  <c r="Z38" i="68" s="1"/>
  <c r="J38" i="68"/>
  <c r="AC38" i="68" s="1"/>
  <c r="H38" i="68"/>
  <c r="AB38" i="68" s="1"/>
  <c r="F38" i="68"/>
  <c r="AA38" i="68" s="1"/>
  <c r="Q37" i="68"/>
  <c r="Z37" i="68" s="1"/>
  <c r="J37" i="68"/>
  <c r="AC37" i="68" s="1"/>
  <c r="F37" i="68"/>
  <c r="AA37" i="68" s="1"/>
  <c r="Q36" i="68"/>
  <c r="Z36" i="68" s="1"/>
  <c r="J36" i="68"/>
  <c r="AC36" i="68" s="1"/>
  <c r="H36" i="68"/>
  <c r="AB36" i="68" s="1"/>
  <c r="F36" i="68"/>
  <c r="AA36" i="68" s="1"/>
  <c r="Q35" i="68"/>
  <c r="Z35" i="68" s="1"/>
  <c r="J35" i="68"/>
  <c r="AC35" i="68" s="1"/>
  <c r="F35" i="68"/>
  <c r="AA35" i="68" s="1"/>
  <c r="Q34" i="68"/>
  <c r="Z34" i="68" s="1"/>
  <c r="J34" i="68"/>
  <c r="AC34" i="68" s="1"/>
  <c r="H34" i="68"/>
  <c r="AB34" i="68" s="1"/>
  <c r="F34" i="68"/>
  <c r="AA34" i="68" s="1"/>
  <c r="Q33" i="68"/>
  <c r="Z33" i="68" s="1"/>
  <c r="J33" i="68"/>
  <c r="AC33" i="68" s="1"/>
  <c r="H33" i="68"/>
  <c r="AB33" i="68" s="1"/>
  <c r="F33" i="68"/>
  <c r="AA33" i="68" s="1"/>
  <c r="Q32" i="68"/>
  <c r="Z32" i="68" s="1"/>
  <c r="J32" i="68"/>
  <c r="AC32" i="68" s="1"/>
  <c r="H32" i="68"/>
  <c r="AB32" i="68" s="1"/>
  <c r="F32" i="68"/>
  <c r="AA32" i="68" s="1"/>
  <c r="Q31" i="68"/>
  <c r="Z31" i="68" s="1"/>
  <c r="J31" i="68"/>
  <c r="AC31" i="68" s="1"/>
  <c r="F31" i="68"/>
  <c r="AA31" i="68" s="1"/>
  <c r="Q30" i="68"/>
  <c r="Z30" i="68" s="1"/>
  <c r="J30" i="68"/>
  <c r="AC30" i="68" s="1"/>
  <c r="H30" i="68"/>
  <c r="AB30" i="68" s="1"/>
  <c r="F30" i="68"/>
  <c r="AA30" i="68" s="1"/>
  <c r="Q29" i="68"/>
  <c r="Z29" i="68" s="1"/>
  <c r="J29" i="68"/>
  <c r="AC29" i="68" s="1"/>
  <c r="F29" i="68"/>
  <c r="AA29" i="68" s="1"/>
  <c r="Q28" i="68"/>
  <c r="Z28" i="68" s="1"/>
  <c r="J28" i="68"/>
  <c r="AC28" i="68" s="1"/>
  <c r="H28" i="68"/>
  <c r="AB28" i="68" s="1"/>
  <c r="F28" i="68"/>
  <c r="AA28" i="68" s="1"/>
  <c r="Q27" i="68"/>
  <c r="Z27" i="68" s="1"/>
  <c r="J27" i="68"/>
  <c r="AC27" i="68" s="1"/>
  <c r="F27" i="68"/>
  <c r="AA27" i="68" s="1"/>
  <c r="Q26" i="68"/>
  <c r="Z26" i="68" s="1"/>
  <c r="J26" i="68"/>
  <c r="AC26" i="68" s="1"/>
  <c r="H26" i="68"/>
  <c r="AB26" i="68" s="1"/>
  <c r="F26" i="68"/>
  <c r="AA26" i="68" s="1"/>
  <c r="Q25" i="68"/>
  <c r="Z25" i="68" s="1"/>
  <c r="J25" i="68"/>
  <c r="AC25" i="68" s="1"/>
  <c r="F25" i="68"/>
  <c r="AA25" i="68" s="1"/>
  <c r="Q23" i="68"/>
  <c r="Z23" i="68" s="1"/>
  <c r="J23" i="68"/>
  <c r="AC23" i="68" s="1"/>
  <c r="F23" i="68"/>
  <c r="AA23" i="68" s="1"/>
  <c r="C23" i="68"/>
  <c r="Q21" i="68"/>
  <c r="Z21" i="68" s="1"/>
  <c r="J21" i="68"/>
  <c r="AC21" i="68" s="1"/>
  <c r="H21" i="68"/>
  <c r="AB21" i="68" s="1"/>
  <c r="F21" i="68"/>
  <c r="AA21" i="68" s="1"/>
  <c r="C21" i="68"/>
  <c r="Q19" i="68"/>
  <c r="Z19" i="68" s="1"/>
  <c r="J19" i="68"/>
  <c r="AC19" i="68" s="1"/>
  <c r="F19" i="68"/>
  <c r="AA19" i="68" s="1"/>
  <c r="C19" i="68"/>
  <c r="AC17" i="68"/>
  <c r="Q17" i="68"/>
  <c r="Z17" i="68" s="1"/>
  <c r="J17" i="68"/>
  <c r="W17" i="68" s="1"/>
  <c r="H17" i="68"/>
  <c r="F17" i="68"/>
  <c r="AA17" i="68" s="1"/>
  <c r="C17" i="68"/>
  <c r="Q15" i="68"/>
  <c r="Z15" i="68" s="1"/>
  <c r="J15" i="68"/>
  <c r="AC15" i="68" s="1"/>
  <c r="F15" i="68"/>
  <c r="AA15" i="68" s="1"/>
  <c r="C15" i="68"/>
  <c r="Q14" i="68"/>
  <c r="Z14" i="68" s="1"/>
  <c r="J14" i="68"/>
  <c r="AC14" i="68" s="1"/>
  <c r="H14" i="68"/>
  <c r="AB14" i="68" s="1"/>
  <c r="F14" i="68"/>
  <c r="AA14" i="68" s="1"/>
  <c r="Q13" i="68"/>
  <c r="Z13" i="68" s="1"/>
  <c r="H13" i="68"/>
  <c r="AB13" i="68" s="1"/>
  <c r="Q12" i="68"/>
  <c r="Z12" i="68" s="1"/>
  <c r="J12" i="68"/>
  <c r="AC12" i="68" s="1"/>
  <c r="H12" i="68"/>
  <c r="AB12" i="68" s="1"/>
  <c r="F12" i="68"/>
  <c r="AA12" i="68" s="1"/>
  <c r="Q11" i="68"/>
  <c r="Z11" i="68" s="1"/>
  <c r="J11" i="68"/>
  <c r="AC11" i="68" s="1"/>
  <c r="H11" i="68"/>
  <c r="AB11" i="68" s="1"/>
  <c r="F11" i="68"/>
  <c r="AA11" i="68" s="1"/>
  <c r="Q10" i="68"/>
  <c r="Z10" i="68" s="1"/>
  <c r="J10" i="68"/>
  <c r="AC10" i="68" s="1"/>
  <c r="H10" i="68"/>
  <c r="AB10" i="68" s="1"/>
  <c r="F10" i="68"/>
  <c r="AA10" i="68" s="1"/>
  <c r="Q9" i="68"/>
  <c r="Z9" i="68" s="1"/>
  <c r="J9" i="68"/>
  <c r="AC9" i="68" s="1"/>
  <c r="H9" i="68"/>
  <c r="AB9" i="68" s="1"/>
  <c r="F9" i="68"/>
  <c r="AA9" i="68" s="1"/>
  <c r="J8" i="68"/>
  <c r="AC8" i="68" s="1"/>
  <c r="H8" i="68"/>
  <c r="U8" i="68" s="1"/>
  <c r="F8" i="68"/>
  <c r="AA8" i="68" s="1"/>
  <c r="I87" i="39"/>
  <c r="D86" i="39"/>
  <c r="D84" i="39"/>
  <c r="F13" i="68" l="1"/>
  <c r="AA13" i="68" s="1"/>
  <c r="H15" i="68"/>
  <c r="AB15" i="68" s="1"/>
  <c r="H19" i="68"/>
  <c r="AB19" i="68" s="1"/>
  <c r="H23" i="68"/>
  <c r="AB23" i="68" s="1"/>
  <c r="H35" i="68"/>
  <c r="AB35" i="68" s="1"/>
  <c r="H37" i="68"/>
  <c r="AB37" i="68" s="1"/>
  <c r="H42" i="68"/>
  <c r="AB42" i="68" s="1"/>
  <c r="K145" i="68"/>
  <c r="E25" i="69"/>
  <c r="S8" i="68"/>
  <c r="W8" i="68"/>
  <c r="AB8" i="68"/>
  <c r="S9" i="68"/>
  <c r="W9" i="68"/>
  <c r="U10" i="68"/>
  <c r="S11" i="68"/>
  <c r="W11" i="68"/>
  <c r="U12" i="68"/>
  <c r="S13" i="68"/>
  <c r="W13" i="68"/>
  <c r="U14" i="68"/>
  <c r="U15" i="68"/>
  <c r="AB17" i="68"/>
  <c r="U17" i="68"/>
  <c r="S19" i="68"/>
  <c r="U9" i="68"/>
  <c r="S10" i="68"/>
  <c r="W10" i="68"/>
  <c r="U11" i="68"/>
  <c r="S12" i="68"/>
  <c r="W12" i="68"/>
  <c r="U13" i="68"/>
  <c r="S14" i="68"/>
  <c r="W14" i="68"/>
  <c r="S15" i="68"/>
  <c r="W15" i="68"/>
  <c r="S17" i="68"/>
  <c r="W19" i="68"/>
  <c r="U19" i="68"/>
  <c r="U21" i="68"/>
  <c r="U23" i="68"/>
  <c r="S25" i="68"/>
  <c r="W25" i="68"/>
  <c r="U26" i="68"/>
  <c r="S27" i="68"/>
  <c r="W27" i="68"/>
  <c r="U28" i="68"/>
  <c r="S29" i="68"/>
  <c r="W29" i="68"/>
  <c r="U30" i="68"/>
  <c r="S31" i="68"/>
  <c r="W31" i="68"/>
  <c r="U32" i="68"/>
  <c r="S33" i="68"/>
  <c r="W33" i="68"/>
  <c r="U34" i="68"/>
  <c r="S35" i="68"/>
  <c r="W35" i="68"/>
  <c r="U36" i="68"/>
  <c r="S37" i="68"/>
  <c r="W37" i="68"/>
  <c r="U38" i="68"/>
  <c r="S39" i="68"/>
  <c r="W39" i="68"/>
  <c r="U40" i="68"/>
  <c r="S41" i="68"/>
  <c r="W41" i="68"/>
  <c r="U42" i="68"/>
  <c r="S43" i="68"/>
  <c r="W43" i="68"/>
  <c r="U44" i="68"/>
  <c r="AC45" i="68"/>
  <c r="W45" i="68"/>
  <c r="S45" i="68"/>
  <c r="S21" i="68"/>
  <c r="W21" i="68"/>
  <c r="S23" i="68"/>
  <c r="W23" i="68"/>
  <c r="U25" i="68"/>
  <c r="S26" i="68"/>
  <c r="W26" i="68"/>
  <c r="U27" i="68"/>
  <c r="S28" i="68"/>
  <c r="W28" i="68"/>
  <c r="U29" i="68"/>
  <c r="S30" i="68"/>
  <c r="W30" i="68"/>
  <c r="U31" i="68"/>
  <c r="S32" i="68"/>
  <c r="W32" i="68"/>
  <c r="U33" i="68"/>
  <c r="S34" i="68"/>
  <c r="W34" i="68"/>
  <c r="U35" i="68"/>
  <c r="S36" i="68"/>
  <c r="W36" i="68"/>
  <c r="U37" i="68"/>
  <c r="S38" i="68"/>
  <c r="W38" i="68"/>
  <c r="U39" i="68"/>
  <c r="S40" i="68"/>
  <c r="W40" i="68"/>
  <c r="U41" i="68"/>
  <c r="S42" i="68"/>
  <c r="W42" i="68"/>
  <c r="U43" i="68"/>
  <c r="S44" i="68"/>
  <c r="W44" i="68"/>
  <c r="U45" i="68"/>
  <c r="S46" i="68"/>
  <c r="W46" i="68"/>
  <c r="K143" i="68"/>
  <c r="U46" i="68"/>
  <c r="K144" i="68"/>
  <c r="D13" i="1"/>
  <c r="D14" i="1"/>
  <c r="D15" i="1"/>
  <c r="I7" i="6"/>
  <c r="A3" i="3"/>
  <c r="C40" i="39" s="1"/>
  <c r="C11" i="21" l="1"/>
  <c r="C11" i="34" s="1"/>
  <c r="C13" i="39"/>
  <c r="E84" i="39"/>
  <c r="I48" i="39"/>
  <c r="I40" i="39"/>
  <c r="I13" i="39"/>
  <c r="I12" i="39"/>
  <c r="I9" i="39"/>
  <c r="G48" i="39"/>
  <c r="G40" i="39"/>
  <c r="G13" i="39"/>
  <c r="G12" i="39"/>
  <c r="G9" i="39"/>
  <c r="E48" i="39"/>
  <c r="E40" i="39"/>
  <c r="E13" i="39"/>
  <c r="E12" i="39"/>
  <c r="E9" i="39"/>
  <c r="C34" i="39"/>
  <c r="I8" i="39"/>
  <c r="G8" i="39"/>
  <c r="E8" i="39"/>
  <c r="C8" i="39"/>
  <c r="I7" i="39"/>
  <c r="G7" i="39"/>
  <c r="E7" i="39"/>
  <c r="AG12" i="1"/>
  <c r="AG13" i="1"/>
  <c r="AG14" i="1"/>
  <c r="AG15" i="1"/>
  <c r="AG16" i="1"/>
  <c r="AG17" i="1"/>
  <c r="AE12" i="1"/>
  <c r="AE13" i="1"/>
  <c r="AE14" i="1"/>
  <c r="AE15" i="1"/>
  <c r="S17" i="1"/>
  <c r="R17" i="1"/>
  <c r="A13" i="1"/>
  <c r="B13" i="1" s="1"/>
  <c r="E13" i="1" s="1"/>
  <c r="A14" i="1"/>
  <c r="B14" i="1" s="1"/>
  <c r="E14" i="1" s="1"/>
  <c r="A15" i="1"/>
  <c r="B15" i="1" s="1"/>
  <c r="A16" i="1"/>
  <c r="A7" i="1"/>
  <c r="A8" i="1"/>
  <c r="A24" i="31" s="1"/>
  <c r="A9" i="1"/>
  <c r="A25" i="31" s="1"/>
  <c r="A10" i="1"/>
  <c r="A26" i="31" s="1"/>
  <c r="A11" i="1"/>
  <c r="A27" i="31" s="1"/>
  <c r="A12" i="1"/>
  <c r="P22" i="6"/>
  <c r="P23" i="6"/>
  <c r="P24" i="6"/>
  <c r="L22" i="6"/>
  <c r="G17" i="4"/>
  <c r="H17" i="4" s="1"/>
  <c r="D3" i="4"/>
  <c r="AE16" i="1"/>
  <c r="E15" i="1" l="1"/>
  <c r="B12" i="1"/>
  <c r="A28" i="31"/>
  <c r="K75" i="9"/>
  <c r="K6" i="4"/>
  <c r="O76" i="9" s="1"/>
  <c r="L76" i="9" l="1"/>
  <c r="K76" i="9"/>
  <c r="K77" i="9" s="1"/>
  <c r="K79" i="9" s="1"/>
  <c r="K81" i="9" s="1"/>
  <c r="E15" i="66" l="1"/>
  <c r="F15" i="66"/>
  <c r="E16" i="66"/>
  <c r="F16" i="66"/>
  <c r="E17" i="66"/>
  <c r="F17" i="66"/>
  <c r="E18" i="66"/>
  <c r="F18" i="66"/>
  <c r="E19" i="66"/>
  <c r="F19" i="66"/>
  <c r="E20" i="66"/>
  <c r="F20" i="66"/>
  <c r="E21" i="66"/>
  <c r="F21" i="66"/>
  <c r="E22" i="66"/>
  <c r="F22" i="66"/>
  <c r="E23" i="66"/>
  <c r="F23" i="66"/>
  <c r="B3" i="66"/>
  <c r="J6" i="59" l="1"/>
  <c r="O6" i="59" s="1"/>
  <c r="K6" i="59"/>
  <c r="P6" i="59" s="1"/>
  <c r="L6" i="59"/>
  <c r="Q6" i="59" s="1"/>
  <c r="I6" i="59"/>
  <c r="N6" i="59" s="1"/>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5" i="65"/>
  <c r="N4" i="65"/>
  <c r="N3" i="65"/>
  <c r="I4" i="65"/>
  <c r="N6" i="65"/>
  <c r="C4" i="65" l="1"/>
  <c r="B42" i="1" s="1"/>
  <c r="J4" i="65"/>
  <c r="J5" i="65"/>
  <c r="I6" i="65"/>
  <c r="I3" i="65"/>
  <c r="J6" i="65"/>
  <c r="J3" i="65"/>
  <c r="I5" i="65"/>
  <c r="I7" i="65"/>
  <c r="J7"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30" i="6" l="1"/>
  <c r="N30" i="6"/>
  <c r="P29" i="6"/>
  <c r="L29" i="6"/>
  <c r="P28" i="6"/>
  <c r="L28" i="6"/>
  <c r="P27" i="6"/>
  <c r="L27" i="6"/>
  <c r="P26" i="6"/>
  <c r="P25" i="6"/>
  <c r="P21" i="6"/>
  <c r="L21" i="6"/>
  <c r="P20" i="6"/>
  <c r="P19" i="6"/>
  <c r="P30"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Z31" i="39"/>
  <c r="Q31" i="39"/>
  <c r="D105" i="39"/>
  <c r="E105" i="39" s="1"/>
  <c r="F31" i="39"/>
  <c r="AA31" i="39" s="1"/>
  <c r="G20" i="20"/>
  <c r="B85" i="46" s="1"/>
  <c r="C22" i="20"/>
  <c r="B65" i="46" s="1"/>
  <c r="C27" i="40" l="1"/>
  <c r="S27" i="40"/>
  <c r="S21" i="37"/>
  <c r="S18" i="36"/>
  <c r="S21" i="34"/>
  <c r="S18" i="35"/>
  <c r="S21" i="21"/>
  <c r="S31" i="39"/>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M64" i="46"/>
  <c r="N64" i="46" s="1"/>
  <c r="K64" i="46"/>
  <c r="J64" i="46" s="1"/>
  <c r="D64" i="46" s="1"/>
  <c r="M63" i="46"/>
  <c r="N63" i="46" s="1"/>
  <c r="K63" i="46"/>
  <c r="J63" i="46" s="1"/>
  <c r="D63" i="46" s="1"/>
  <c r="M62" i="46"/>
  <c r="N62" i="46" s="1"/>
  <c r="K62" i="46"/>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65" i="46"/>
  <c r="D65" i="46" s="1"/>
  <c r="N86" i="46"/>
  <c r="D80" i="46"/>
  <c r="D81" i="46"/>
  <c r="N73" i="46"/>
  <c r="D75" i="46"/>
  <c r="J62" i="46"/>
  <c r="D62" i="46" s="1"/>
  <c r="J66" i="46"/>
  <c r="D66" i="46" s="1"/>
  <c r="J50" i="46"/>
  <c r="D50" i="46" s="1"/>
  <c r="J54" i="46"/>
  <c r="D54" i="46" s="1"/>
  <c r="Q73" i="15"/>
  <c r="Q60" i="15"/>
  <c r="Q59" i="15"/>
  <c r="Q52" i="15"/>
  <c r="Q51" i="15"/>
  <c r="AE7" i="1"/>
  <c r="AE9" i="1"/>
  <c r="AE10" i="1"/>
  <c r="AE11" i="1"/>
  <c r="M47" i="15"/>
  <c r="J50" i="15"/>
  <c r="AG7" i="1"/>
  <c r="AG8" i="1"/>
  <c r="AG9" i="1"/>
  <c r="AG10" i="1"/>
  <c r="AG11" i="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11" i="1"/>
  <c r="D12" i="1"/>
  <c r="D16" i="1"/>
  <c r="D6" i="1"/>
  <c r="D7" i="1"/>
  <c r="D8" i="1"/>
  <c r="D9" i="1"/>
  <c r="D10" i="1"/>
  <c r="B2" i="1"/>
  <c r="C7" i="68" s="1"/>
  <c r="C58" i="68" s="1"/>
  <c r="B16" i="1"/>
  <c r="E16" i="1" s="1"/>
  <c r="A6" i="1"/>
  <c r="T4" i="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5" i="1" s="1"/>
  <c r="G15" i="1" s="1"/>
  <c r="F19" i="4"/>
  <c r="F8" i="1" s="1"/>
  <c r="E19" i="4"/>
  <c r="F7" i="1" s="1"/>
  <c r="B2" i="52"/>
  <c r="E22" i="52" s="1"/>
  <c r="I2" i="46"/>
  <c r="N12" i="46" s="1"/>
  <c r="A7" i="46"/>
  <c r="F41" i="4"/>
  <c r="J52" i="40" s="1"/>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29" i="6"/>
  <c r="D3" i="34" s="1"/>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C110" i="9" s="1"/>
  <c r="C17" i="9"/>
  <c r="D17" i="9"/>
  <c r="C18"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B5" i="3" s="1"/>
  <c r="BR13" i="3"/>
  <c r="BL13" i="3" s="1"/>
  <c r="B27" i="1"/>
  <c r="E77" i="9"/>
  <c r="O75" i="9" s="1"/>
  <c r="L75" i="9"/>
  <c r="F77" i="9"/>
  <c r="P75" i="9" s="1"/>
  <c r="O74" i="9"/>
  <c r="O73" i="9"/>
  <c r="E66" i="9"/>
  <c r="O72" i="9" s="1"/>
  <c r="F74" i="9"/>
  <c r="P74" i="9" s="1"/>
  <c r="N67" i="9"/>
  <c r="K44" i="9"/>
  <c r="K43" i="9"/>
  <c r="B34" i="1"/>
  <c r="E10" i="11" s="1"/>
  <c r="B25" i="1"/>
  <c r="C2" i="65" s="1"/>
  <c r="I1" i="65" s="1"/>
  <c r="B26"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F60" i="15"/>
  <c r="C30" i="40"/>
  <c r="D27" i="9"/>
  <c r="D30" i="9" s="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46"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5" i="1"/>
  <c r="F34" i="15" s="1"/>
  <c r="F61" i="15" s="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G111" i="21"/>
  <c r="H111" i="21"/>
  <c r="B112" i="39"/>
  <c r="B114" i="39"/>
  <c r="F38" i="39"/>
  <c r="AA38" i="39" s="1"/>
  <c r="J30" i="36"/>
  <c r="H30" i="36"/>
  <c r="F30" i="36"/>
  <c r="AA30" i="36" s="1"/>
  <c r="C26" i="35"/>
  <c r="C79" i="35" s="1"/>
  <c r="J31" i="35"/>
  <c r="H31" i="35"/>
  <c r="F31" i="35"/>
  <c r="AA31" i="35" s="1"/>
  <c r="D87" i="35"/>
  <c r="E87" i="35" s="1"/>
  <c r="F87" i="35" s="1"/>
  <c r="H34" i="37"/>
  <c r="D101" i="37"/>
  <c r="F34" i="37" s="1"/>
  <c r="D99" i="37"/>
  <c r="E99" i="37" s="1"/>
  <c r="H42" i="34"/>
  <c r="J42" i="34"/>
  <c r="F42" i="34"/>
  <c r="J38" i="34"/>
  <c r="D114" i="34"/>
  <c r="F38" i="34"/>
  <c r="D112" i="34"/>
  <c r="E112" i="34" s="1"/>
  <c r="F112" i="34" s="1"/>
  <c r="G112" i="34" s="1"/>
  <c r="F40" i="33"/>
  <c r="D113" i="33"/>
  <c r="F37" i="33"/>
  <c r="S37" i="33" s="1"/>
  <c r="D111" i="33"/>
  <c r="E111" i="33" s="1"/>
  <c r="F111" i="33" s="1"/>
  <c r="G111" i="33" s="1"/>
  <c r="S515" i="31"/>
  <c r="S517" i="31"/>
  <c r="S519" i="31"/>
  <c r="S521" i="31"/>
  <c r="S523" i="31"/>
  <c r="F41" i="21"/>
  <c r="J41" i="21"/>
  <c r="AC41" i="21" s="1"/>
  <c r="H41" i="21"/>
  <c r="U41" i="21" s="1"/>
  <c r="D83" i="39"/>
  <c r="E83" i="39"/>
  <c r="F83" i="39" s="1"/>
  <c r="G83" i="39" s="1"/>
  <c r="H83" i="39" s="1"/>
  <c r="I83" i="39" s="1"/>
  <c r="J83" i="39" s="1"/>
  <c r="K83" i="39" s="1"/>
  <c r="L83" i="39" s="1"/>
  <c r="M83" i="39" s="1"/>
  <c r="D78" i="40"/>
  <c r="F13" i="40"/>
  <c r="S13" i="40" s="1"/>
  <c r="B122" i="40"/>
  <c r="F42" i="40"/>
  <c r="AA42" i="40" s="1"/>
  <c r="B120" i="40"/>
  <c r="B118" i="40"/>
  <c r="F40" i="40" s="1"/>
  <c r="AA40" i="40" s="1"/>
  <c r="D117" i="40"/>
  <c r="D115" i="40"/>
  <c r="J38" i="40"/>
  <c r="AC38" i="40" s="1"/>
  <c r="E115" i="40"/>
  <c r="F115" i="40"/>
  <c r="H38" i="40"/>
  <c r="AB38" i="40" s="1"/>
  <c r="D113" i="40"/>
  <c r="M109" i="40"/>
  <c r="L109" i="40"/>
  <c r="K109" i="40"/>
  <c r="J109" i="40"/>
  <c r="I109" i="40"/>
  <c r="H109" i="40"/>
  <c r="G109" i="40"/>
  <c r="F109" i="40"/>
  <c r="E109" i="40"/>
  <c r="D109" i="40"/>
  <c r="C109" i="40"/>
  <c r="B107" i="40"/>
  <c r="B105" i="40"/>
  <c r="F34" i="40"/>
  <c r="AA34" i="40" s="1"/>
  <c r="B103" i="40"/>
  <c r="D102" i="40"/>
  <c r="E102" i="40" s="1"/>
  <c r="D100" i="40"/>
  <c r="D98" i="40"/>
  <c r="E98" i="40"/>
  <c r="B97" i="40"/>
  <c r="F29" i="40"/>
  <c r="AA29" i="40" s="1"/>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F42" i="39" s="1"/>
  <c r="E124" i="39"/>
  <c r="F124" i="39" s="1"/>
  <c r="G124" i="39" s="1"/>
  <c r="H124" i="39" s="1"/>
  <c r="I124" i="39" s="1"/>
  <c r="J124" i="39" s="1"/>
  <c r="K124" i="39" s="1"/>
  <c r="L124" i="39" s="1"/>
  <c r="M124" i="39" s="1"/>
  <c r="B106" i="39"/>
  <c r="D99" i="39"/>
  <c r="E99" i="39" s="1"/>
  <c r="F99" i="39" s="1"/>
  <c r="G99" i="39" s="1"/>
  <c r="D97" i="39"/>
  <c r="D95" i="39"/>
  <c r="E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B110" i="37"/>
  <c r="J39" i="37" s="1"/>
  <c r="AC39" i="37" s="1"/>
  <c r="B108" i="37"/>
  <c r="C23" i="37"/>
  <c r="C19" i="37"/>
  <c r="C17" i="37"/>
  <c r="C15" i="37"/>
  <c r="B112" i="37"/>
  <c r="D107" i="37"/>
  <c r="E107" i="37" s="1"/>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E71" i="37" s="1"/>
  <c r="F15" i="37"/>
  <c r="AA15" i="37" s="1"/>
  <c r="B68" i="37"/>
  <c r="H14" i="37" s="1"/>
  <c r="U14" i="37" s="1"/>
  <c r="B66" i="37"/>
  <c r="B64" i="37"/>
  <c r="D63" i="37"/>
  <c r="E63" i="37" s="1"/>
  <c r="M61" i="37"/>
  <c r="L61" i="37"/>
  <c r="K61" i="37"/>
  <c r="J61" i="37"/>
  <c r="I61" i="37"/>
  <c r="H61" i="37"/>
  <c r="G61" i="37"/>
  <c r="F61" i="37"/>
  <c r="E61" i="37"/>
  <c r="D61" i="37"/>
  <c r="C61" i="37"/>
  <c r="F60" i="37"/>
  <c r="G60" i="37"/>
  <c r="H10" i="37" s="1"/>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F31" i="36"/>
  <c r="S31" i="36" s="1"/>
  <c r="M86" i="36"/>
  <c r="L86" i="36"/>
  <c r="K86" i="36"/>
  <c r="J86" i="36"/>
  <c r="I86" i="36"/>
  <c r="H86" i="36"/>
  <c r="G86" i="36"/>
  <c r="F86" i="36"/>
  <c r="E86" i="36"/>
  <c r="D86" i="36"/>
  <c r="C86" i="36"/>
  <c r="D85" i="36"/>
  <c r="H29" i="36" s="1"/>
  <c r="AB29" i="36" s="1"/>
  <c r="D81" i="36"/>
  <c r="E81" i="36" s="1"/>
  <c r="F81" i="36"/>
  <c r="G81" i="36" s="1"/>
  <c r="F79" i="36"/>
  <c r="E79" i="36"/>
  <c r="D79" i="36"/>
  <c r="C79" i="36"/>
  <c r="B93" i="36"/>
  <c r="B91" i="36"/>
  <c r="F32" i="36" s="1"/>
  <c r="S32" i="36" s="1"/>
  <c r="B95" i="36"/>
  <c r="H34" i="36" s="1"/>
  <c r="D83" i="36"/>
  <c r="E83" i="36" s="1"/>
  <c r="D78" i="36"/>
  <c r="J26" i="36" s="1"/>
  <c r="B75" i="36"/>
  <c r="B73" i="36"/>
  <c r="J24" i="36"/>
  <c r="W24" i="36" s="1"/>
  <c r="B71" i="36"/>
  <c r="D70" i="36"/>
  <c r="H22" i="36" s="1"/>
  <c r="D68" i="36"/>
  <c r="E68" i="36" s="1"/>
  <c r="D64" i="36"/>
  <c r="E64" i="36" s="1"/>
  <c r="J16" i="36"/>
  <c r="D62" i="36"/>
  <c r="E62" i="36"/>
  <c r="F62" i="36" s="1"/>
  <c r="B59" i="36"/>
  <c r="B57" i="36"/>
  <c r="J12" i="36" s="1"/>
  <c r="B55" i="36"/>
  <c r="F54" i="36"/>
  <c r="G54" i="36"/>
  <c r="H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B77" i="35"/>
  <c r="B75" i="35"/>
  <c r="J24" i="35" s="1"/>
  <c r="B73" i="35"/>
  <c r="J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J12" i="33" s="1"/>
  <c r="D96" i="35"/>
  <c r="E96" i="35" s="1"/>
  <c r="F96" i="35" s="1"/>
  <c r="G96" i="35" s="1"/>
  <c r="D94" i="35"/>
  <c r="D84" i="35"/>
  <c r="E84" i="35" s="1"/>
  <c r="F84" i="35" s="1"/>
  <c r="G84" i="35" s="1"/>
  <c r="H84" i="35" s="1"/>
  <c r="I84" i="35" s="1"/>
  <c r="J84" i="35" s="1"/>
  <c r="K84" i="35" s="1"/>
  <c r="L84" i="35" s="1"/>
  <c r="M84" i="35" s="1"/>
  <c r="D80" i="35"/>
  <c r="D72" i="35"/>
  <c r="D70" i="35"/>
  <c r="D66" i="35"/>
  <c r="E66" i="35" s="1"/>
  <c r="F66" i="35" s="1"/>
  <c r="G66" i="35" s="1"/>
  <c r="D64" i="35"/>
  <c r="E64" i="35" s="1"/>
  <c r="F56" i="35"/>
  <c r="G56" i="35" s="1"/>
  <c r="H56" i="35" s="1"/>
  <c r="I56" i="35" s="1"/>
  <c r="C53" i="35"/>
  <c r="H9" i="35"/>
  <c r="AB9" i="35" s="1"/>
  <c r="P39" i="35"/>
  <c r="P38" i="35"/>
  <c r="V37" i="35"/>
  <c r="T37" i="35"/>
  <c r="R37" i="35"/>
  <c r="P37" i="35"/>
  <c r="Q36" i="35"/>
  <c r="Z36" i="35"/>
  <c r="J36" i="35"/>
  <c r="AC36" i="35" s="1"/>
  <c r="Q35" i="35"/>
  <c r="Z35" i="35" s="1"/>
  <c r="Q34" i="35"/>
  <c r="Z34" i="35" s="1"/>
  <c r="J34" i="35"/>
  <c r="AC34" i="35" s="1"/>
  <c r="F34" i="35"/>
  <c r="AA34" i="35" s="1"/>
  <c r="Q33" i="35"/>
  <c r="Z33" i="35"/>
  <c r="Q32" i="35"/>
  <c r="Z32" i="35"/>
  <c r="H32" i="35"/>
  <c r="AB32" i="35" s="1"/>
  <c r="F32" i="35"/>
  <c r="AA32" i="35" s="1"/>
  <c r="Q31" i="35"/>
  <c r="Z31" i="35"/>
  <c r="AC31" i="35"/>
  <c r="AB31" i="35"/>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Q11" i="35"/>
  <c r="Z11" i="35" s="1"/>
  <c r="Q10" i="35"/>
  <c r="Z10" i="35" s="1"/>
  <c r="Q9" i="35"/>
  <c r="Z9" i="35" s="1"/>
  <c r="J9" i="35"/>
  <c r="F9" i="35"/>
  <c r="AA9" i="35" s="1"/>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D126" i="34"/>
  <c r="E126" i="34"/>
  <c r="D124" i="34"/>
  <c r="E124" i="34" s="1"/>
  <c r="F124" i="34" s="1"/>
  <c r="D118" i="34"/>
  <c r="E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c r="S28" i="34" s="1"/>
  <c r="B89" i="34"/>
  <c r="J27" i="34"/>
  <c r="W27" i="34" s="1"/>
  <c r="D88" i="34"/>
  <c r="E88" i="34"/>
  <c r="D86" i="34"/>
  <c r="E86" i="34" s="1"/>
  <c r="D82" i="34"/>
  <c r="E82" i="34" s="1"/>
  <c r="F82" i="34" s="1"/>
  <c r="G82" i="34" s="1"/>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H44" i="34"/>
  <c r="AB44" i="34" s="1"/>
  <c r="Q43" i="34"/>
  <c r="Z43" i="34" s="1"/>
  <c r="Q42" i="34"/>
  <c r="Z42" i="34"/>
  <c r="Q41" i="34"/>
  <c r="Z41" i="34"/>
  <c r="Q40" i="34"/>
  <c r="Z40" i="34" s="1"/>
  <c r="Q39" i="34"/>
  <c r="Z39" i="34" s="1"/>
  <c r="J39" i="34"/>
  <c r="AC39" i="34" s="1"/>
  <c r="H39" i="34"/>
  <c r="F39" i="34"/>
  <c r="Q38" i="34"/>
  <c r="Z38" i="34" s="1"/>
  <c r="Q37" i="34"/>
  <c r="Z37" i="34" s="1"/>
  <c r="Q36" i="34"/>
  <c r="Z36" i="34" s="1"/>
  <c r="Q35" i="34"/>
  <c r="Z35" i="34" s="1"/>
  <c r="Q34" i="34"/>
  <c r="Z34" i="34" s="1"/>
  <c r="J34" i="34"/>
  <c r="W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J41" i="33" s="1"/>
  <c r="F109" i="33"/>
  <c r="E109" i="33"/>
  <c r="D109" i="33"/>
  <c r="C109" i="33"/>
  <c r="D91" i="33"/>
  <c r="E91" i="33" s="1"/>
  <c r="B88" i="33"/>
  <c r="J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F77" i="33" s="1"/>
  <c r="D69" i="33"/>
  <c r="E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A40" i="33"/>
  <c r="Q39" i="33"/>
  <c r="Z39" i="33" s="1"/>
  <c r="J39" i="33"/>
  <c r="AC39" i="33" s="1"/>
  <c r="Q38" i="33"/>
  <c r="Z38" i="33"/>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c r="Q15" i="33"/>
  <c r="Z15" i="33" s="1"/>
  <c r="Q14" i="33"/>
  <c r="Z14" i="33" s="1"/>
  <c r="Q13" i="33"/>
  <c r="Z13" i="33" s="1"/>
  <c r="Q12" i="33"/>
  <c r="Z12" i="33" s="1"/>
  <c r="H12" i="33"/>
  <c r="U12" i="33" s="1"/>
  <c r="Q11" i="33"/>
  <c r="Z11" i="33" s="1"/>
  <c r="Q10" i="33"/>
  <c r="Z10" i="33" s="1"/>
  <c r="Q9" i="33"/>
  <c r="Z9" i="33" s="1"/>
  <c r="H9" i="33"/>
  <c r="AB9" i="33" s="1"/>
  <c r="J8" i="33"/>
  <c r="H8" i="33"/>
  <c r="F8" i="33"/>
  <c r="C7" i="33"/>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J40" i="21" s="1"/>
  <c r="W40" i="21" s="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J5" i="3"/>
  <c r="BE10" i="3"/>
  <c r="BD13" i="3"/>
  <c r="BE13" i="3"/>
  <c r="BF13" i="3"/>
  <c r="BG13" i="3"/>
  <c r="BG5" i="3" s="1"/>
  <c r="BH13" i="3"/>
  <c r="BI13" i="3"/>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B25" i="69" s="1"/>
  <c r="L5" i="3"/>
  <c r="M5" i="3"/>
  <c r="F21" i="6" s="1"/>
  <c r="N5" i="3"/>
  <c r="O5" i="3"/>
  <c r="F26" i="6" s="1"/>
  <c r="E26" i="6" s="1"/>
  <c r="P5" i="3"/>
  <c r="Q5" i="3"/>
  <c r="F27" i="6" s="1"/>
  <c r="C15" i="39" s="1"/>
  <c r="I86" i="39" s="1"/>
  <c r="F15" i="39" s="1"/>
  <c r="AA15" i="39" s="1"/>
  <c r="R5" i="3"/>
  <c r="S5" i="3"/>
  <c r="G23" i="6" s="1"/>
  <c r="T5" i="3"/>
  <c r="U5" i="3"/>
  <c r="G28" i="6" s="1"/>
  <c r="E28" i="6" s="1"/>
  <c r="V5" i="3"/>
  <c r="W5" i="3"/>
  <c r="X5" i="3"/>
  <c r="Y5" i="3"/>
  <c r="Z5" i="3"/>
  <c r="AA5" i="3"/>
  <c r="AB5" i="3"/>
  <c r="H570" i="3"/>
  <c r="G570" i="3"/>
  <c r="H571" i="3"/>
  <c r="H572" i="3"/>
  <c r="G572" i="3" s="1"/>
  <c r="F5" i="3"/>
  <c r="F34" i="21"/>
  <c r="H34" i="21"/>
  <c r="F43" i="21"/>
  <c r="S43" i="21" s="1"/>
  <c r="H38" i="21"/>
  <c r="H43" i="21"/>
  <c r="AB43" i="21" s="1"/>
  <c r="F32" i="21"/>
  <c r="F38" i="21"/>
  <c r="S38" i="21" s="1"/>
  <c r="F36" i="21"/>
  <c r="S36" i="21" s="1"/>
  <c r="F39" i="21"/>
  <c r="AA39" i="21" s="1"/>
  <c r="H35" i="21"/>
  <c r="AB35" i="21" s="1"/>
  <c r="J8" i="21"/>
  <c r="AC8" i="21" s="1"/>
  <c r="J9" i="21"/>
  <c r="H8" i="21"/>
  <c r="H9" i="21"/>
  <c r="AB9" i="21" s="1"/>
  <c r="H10" i="21"/>
  <c r="H39" i="21"/>
  <c r="J34" i="21"/>
  <c r="W34" i="21" s="1"/>
  <c r="H36" i="21"/>
  <c r="U36" i="21" s="1"/>
  <c r="F35" i="21"/>
  <c r="J33" i="21"/>
  <c r="W33" i="21" s="1"/>
  <c r="H33" i="21"/>
  <c r="F33" i="21"/>
  <c r="J10" i="21"/>
  <c r="AC10" i="21" s="1"/>
  <c r="H26" i="21"/>
  <c r="AB26" i="21" s="1"/>
  <c r="H19" i="21"/>
  <c r="AB19" i="21" s="1"/>
  <c r="J12" i="21"/>
  <c r="H12" i="21"/>
  <c r="J26" i="21"/>
  <c r="W26" i="21" s="1"/>
  <c r="F26" i="21"/>
  <c r="S26" i="21" s="1"/>
  <c r="AB41" i="21"/>
  <c r="S41" i="21"/>
  <c r="AA41" i="21"/>
  <c r="W41" i="21"/>
  <c r="S38" i="39"/>
  <c r="S10" i="39"/>
  <c r="U11" i="39"/>
  <c r="U30" i="37"/>
  <c r="E103" i="37"/>
  <c r="F103" i="37" s="1"/>
  <c r="F39" i="37"/>
  <c r="S39" i="37" s="1"/>
  <c r="W39" i="37"/>
  <c r="F29" i="36"/>
  <c r="AA29" i="36" s="1"/>
  <c r="U9" i="36"/>
  <c r="S23" i="36"/>
  <c r="W23" i="36"/>
  <c r="W22" i="36"/>
  <c r="U26" i="36"/>
  <c r="AC31" i="36"/>
  <c r="J33" i="36"/>
  <c r="W33" i="36" s="1"/>
  <c r="U9" i="35"/>
  <c r="U31" i="35"/>
  <c r="W36" i="35"/>
  <c r="S31" i="35"/>
  <c r="W31" i="35"/>
  <c r="F36" i="34"/>
  <c r="U44" i="34"/>
  <c r="U9" i="33"/>
  <c r="U33" i="33"/>
  <c r="S40" i="33"/>
  <c r="W33" i="33"/>
  <c r="S8" i="21"/>
  <c r="W8" i="21"/>
  <c r="AC38" i="21"/>
  <c r="H39" i="37"/>
  <c r="AB39" i="37" s="1"/>
  <c r="S27" i="35"/>
  <c r="AB27" i="35"/>
  <c r="S10" i="40"/>
  <c r="W10" i="40"/>
  <c r="U10" i="40"/>
  <c r="S11" i="40"/>
  <c r="W11" i="40"/>
  <c r="U11" i="40"/>
  <c r="S36" i="40"/>
  <c r="U36" i="40"/>
  <c r="S40" i="39"/>
  <c r="S36" i="39"/>
  <c r="AA38" i="21"/>
  <c r="U35" i="21"/>
  <c r="C23" i="39"/>
  <c r="U36" i="39"/>
  <c r="S11" i="39"/>
  <c r="G115" i="40"/>
  <c r="F102" i="40"/>
  <c r="G102" i="40" s="1"/>
  <c r="H102" i="40" s="1"/>
  <c r="I102" i="40" s="1"/>
  <c r="J102" i="40" s="1"/>
  <c r="K102" i="40" s="1"/>
  <c r="L102" i="40" s="1"/>
  <c r="M102" i="40" s="1"/>
  <c r="F98" i="40"/>
  <c r="F88" i="40"/>
  <c r="J19" i="40" s="1"/>
  <c r="F86" i="40"/>
  <c r="G86" i="40" s="1"/>
  <c r="H17" i="40"/>
  <c r="AB17" i="40" s="1"/>
  <c r="AB12" i="36"/>
  <c r="J27" i="36"/>
  <c r="W27" i="36" s="1"/>
  <c r="S29" i="36"/>
  <c r="J34" i="36"/>
  <c r="W34" i="36" s="1"/>
  <c r="U30" i="36"/>
  <c r="J30" i="35"/>
  <c r="W30" i="35" s="1"/>
  <c r="AB30" i="35"/>
  <c r="F22" i="35"/>
  <c r="AA22" i="35" s="1"/>
  <c r="H10" i="35"/>
  <c r="U10" i="35" s="1"/>
  <c r="AC24" i="36"/>
  <c r="U29" i="36"/>
  <c r="U24" i="36"/>
  <c r="E85" i="36"/>
  <c r="F85" i="36"/>
  <c r="G85" i="36" s="1"/>
  <c r="H85" i="36" s="1"/>
  <c r="I85" i="36" s="1"/>
  <c r="J85" i="36" s="1"/>
  <c r="K85" i="36" s="1"/>
  <c r="L85" i="36" s="1"/>
  <c r="M85" i="36" s="1"/>
  <c r="J29" i="36"/>
  <c r="AC29" i="36" s="1"/>
  <c r="F12" i="36"/>
  <c r="S12" i="36" s="1"/>
  <c r="F24" i="36"/>
  <c r="F34" i="36"/>
  <c r="S34" i="36" s="1"/>
  <c r="S10" i="36"/>
  <c r="AB8" i="36"/>
  <c r="S8" i="36"/>
  <c r="H16" i="35"/>
  <c r="U16" i="35" s="1"/>
  <c r="H33" i="35"/>
  <c r="AB33" i="35" s="1"/>
  <c r="S8" i="35"/>
  <c r="W8" i="35"/>
  <c r="AC8" i="35"/>
  <c r="E101" i="37"/>
  <c r="F101" i="37" s="1"/>
  <c r="G101" i="37" s="1"/>
  <c r="H101" i="37" s="1"/>
  <c r="I101" i="37" s="1"/>
  <c r="J101" i="37" s="1"/>
  <c r="K101" i="37" s="1"/>
  <c r="L101" i="37" s="1"/>
  <c r="M101" i="37" s="1"/>
  <c r="J34" i="37"/>
  <c r="S10" i="37"/>
  <c r="AB34" i="37"/>
  <c r="U42" i="34"/>
  <c r="E114" i="34"/>
  <c r="H36" i="34"/>
  <c r="F33" i="34"/>
  <c r="F88" i="34"/>
  <c r="F19" i="34"/>
  <c r="AA19" i="34" s="1"/>
  <c r="J10" i="34"/>
  <c r="AC10" i="34" s="1"/>
  <c r="AB10" i="34"/>
  <c r="U9" i="34"/>
  <c r="S9" i="34"/>
  <c r="W8" i="34"/>
  <c r="J28" i="34"/>
  <c r="W28" i="34" s="1"/>
  <c r="E113" i="33"/>
  <c r="F113" i="33" s="1"/>
  <c r="G113" i="33" s="1"/>
  <c r="H113" i="33" s="1"/>
  <c r="I113" i="33" s="1"/>
  <c r="J113" i="33" s="1"/>
  <c r="K113" i="33" s="1"/>
  <c r="L113" i="33" s="1"/>
  <c r="M113" i="33" s="1"/>
  <c r="J19" i="33"/>
  <c r="W40" i="33"/>
  <c r="G98" i="40"/>
  <c r="H98" i="40" s="1"/>
  <c r="I98" i="40" s="1"/>
  <c r="J98" i="40" s="1"/>
  <c r="K98" i="40" s="1"/>
  <c r="L98" i="40" s="1"/>
  <c r="M98" i="40" s="1"/>
  <c r="F17" i="40"/>
  <c r="AA17" i="40" s="1"/>
  <c r="AB30" i="36"/>
  <c r="AC34" i="36"/>
  <c r="U34" i="37"/>
  <c r="S34" i="37"/>
  <c r="AA34" i="37"/>
  <c r="AB42" i="34"/>
  <c r="W36" i="34"/>
  <c r="G88" i="34"/>
  <c r="F25" i="34" s="1"/>
  <c r="J19" i="34"/>
  <c r="AC19" i="34" s="1"/>
  <c r="AA37" i="33"/>
  <c r="AC42" i="34"/>
  <c r="W42" i="34"/>
  <c r="AA42" i="34"/>
  <c r="S42" i="34"/>
  <c r="AC38" i="34"/>
  <c r="W38" i="34"/>
  <c r="AA38" i="34"/>
  <c r="S38" i="34"/>
  <c r="AC34" i="21"/>
  <c r="J42" i="21"/>
  <c r="AC42" i="21"/>
  <c r="F126" i="34"/>
  <c r="G126" i="34"/>
  <c r="J44" i="34"/>
  <c r="AC44" i="34" s="1"/>
  <c r="F44" i="34"/>
  <c r="J10" i="35"/>
  <c r="W10" i="35" s="1"/>
  <c r="AL5" i="3"/>
  <c r="BQ13" i="3"/>
  <c r="BL572" i="3"/>
  <c r="J14" i="21"/>
  <c r="W14" i="21" s="1"/>
  <c r="F14" i="21"/>
  <c r="S14" i="21" s="1"/>
  <c r="H14" i="21"/>
  <c r="U14" i="21" s="1"/>
  <c r="H28" i="21"/>
  <c r="AB28" i="21" s="1"/>
  <c r="F28" i="21"/>
  <c r="AA28" i="21" s="1"/>
  <c r="J28" i="21"/>
  <c r="H30" i="21"/>
  <c r="U30" i="21" s="1"/>
  <c r="F30" i="21"/>
  <c r="S30" i="21" s="1"/>
  <c r="J30" i="21"/>
  <c r="W30" i="21" s="1"/>
  <c r="J44" i="21"/>
  <c r="AC44" i="21" s="1"/>
  <c r="H44" i="21"/>
  <c r="U44" i="21" s="1"/>
  <c r="F44" i="21"/>
  <c r="S44" i="21" s="1"/>
  <c r="H46" i="21"/>
  <c r="AB46" i="21" s="1"/>
  <c r="J46" i="21"/>
  <c r="W46" i="21" s="1"/>
  <c r="F46" i="21"/>
  <c r="AA46" i="21" s="1"/>
  <c r="H26" i="33"/>
  <c r="U26" i="33" s="1"/>
  <c r="H28" i="33"/>
  <c r="F28" i="33"/>
  <c r="J28" i="33"/>
  <c r="W28" i="33" s="1"/>
  <c r="F33" i="35"/>
  <c r="S33" i="35" s="1"/>
  <c r="J33" i="35"/>
  <c r="W33" i="35" s="1"/>
  <c r="F30" i="35"/>
  <c r="AA30" i="35" s="1"/>
  <c r="E89" i="35"/>
  <c r="F89" i="35" s="1"/>
  <c r="G89" i="35" s="1"/>
  <c r="H89" i="35" s="1"/>
  <c r="I89" i="35" s="1"/>
  <c r="J89" i="35" s="1"/>
  <c r="K89" i="35" s="1"/>
  <c r="L89" i="35" s="1"/>
  <c r="M89" i="35" s="1"/>
  <c r="H10" i="36"/>
  <c r="AB10"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F13" i="33"/>
  <c r="S13" i="33" s="1"/>
  <c r="J29" i="33"/>
  <c r="W29" i="33" s="1"/>
  <c r="J31" i="33"/>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s="1"/>
  <c r="J14" i="37"/>
  <c r="W14" i="37" s="1"/>
  <c r="J27" i="37"/>
  <c r="W27" i="37" s="1"/>
  <c r="AB37" i="37"/>
  <c r="S16" i="40"/>
  <c r="AA38" i="37"/>
  <c r="W28" i="37"/>
  <c r="W35" i="35"/>
  <c r="U46" i="33"/>
  <c r="AB40" i="37"/>
  <c r="J36" i="37"/>
  <c r="AC36" i="37" s="1"/>
  <c r="G105" i="37"/>
  <c r="AB28" i="36"/>
  <c r="AB31" i="21"/>
  <c r="S46" i="21"/>
  <c r="AC30" i="21"/>
  <c r="S28" i="21"/>
  <c r="AB14" i="21"/>
  <c r="AC14" i="21"/>
  <c r="W42" i="21"/>
  <c r="W31" i="34"/>
  <c r="S46" i="33"/>
  <c r="U36" i="37"/>
  <c r="U32" i="36"/>
  <c r="AB45" i="33"/>
  <c r="AB31" i="33"/>
  <c r="S45" i="21"/>
  <c r="AB29" i="21"/>
  <c r="W13" i="21"/>
  <c r="AA30" i="21"/>
  <c r="W39" i="21"/>
  <c r="F15" i="21"/>
  <c r="S15" i="21" s="1"/>
  <c r="H15" i="21"/>
  <c r="U15" i="21" s="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572" i="3"/>
  <c r="AZ572" i="3" s="1"/>
  <c r="BA566" i="3"/>
  <c r="BA562" i="3"/>
  <c r="BA560" i="3"/>
  <c r="BA558" i="3"/>
  <c r="BA556" i="3"/>
  <c r="AZ556" i="3" s="1"/>
  <c r="BA554" i="3"/>
  <c r="BA550" i="3"/>
  <c r="AZ550" i="3" s="1"/>
  <c r="BA546" i="3"/>
  <c r="AZ546" i="3" s="1"/>
  <c r="BA544" i="3"/>
  <c r="BA540" i="3"/>
  <c r="AZ540" i="3" s="1"/>
  <c r="BA536" i="3"/>
  <c r="BA532" i="3"/>
  <c r="BA528" i="3"/>
  <c r="BA524" i="3"/>
  <c r="AZ524" i="3" s="1"/>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BQ522" i="3"/>
  <c r="BQ520" i="3"/>
  <c r="BL520" i="3"/>
  <c r="AZ520" i="3" s="1"/>
  <c r="BQ518" i="3"/>
  <c r="BQ516" i="3"/>
  <c r="BL516" i="3" s="1"/>
  <c r="AZ516" i="3" s="1"/>
  <c r="BQ514" i="3"/>
  <c r="BL514" i="3" s="1"/>
  <c r="AZ514" i="3" s="1"/>
  <c r="BQ512" i="3"/>
  <c r="BQ510" i="3"/>
  <c r="BL510" i="3"/>
  <c r="BQ508" i="3"/>
  <c r="BL508" i="3"/>
  <c r="AZ508" i="3" s="1"/>
  <c r="AC506" i="3"/>
  <c r="G506" i="3"/>
  <c r="BQ506" i="3"/>
  <c r="G502" i="3"/>
  <c r="G498" i="3"/>
  <c r="BQ504" i="3"/>
  <c r="BQ502" i="3"/>
  <c r="BL502" i="3"/>
  <c r="BQ500" i="3"/>
  <c r="BL500" i="3"/>
  <c r="BQ498" i="3"/>
  <c r="BQ496" i="3"/>
  <c r="AC494" i="3"/>
  <c r="BQ494" i="3"/>
  <c r="BL493" i="3"/>
  <c r="G492" i="3"/>
  <c r="G488" i="3"/>
  <c r="G484"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73" i="37"/>
  <c r="G73" i="37"/>
  <c r="F23" i="37"/>
  <c r="S23" i="37"/>
  <c r="F79" i="37"/>
  <c r="AB27" i="37"/>
  <c r="U27" i="37"/>
  <c r="W19" i="34"/>
  <c r="H28" i="34"/>
  <c r="AB28" i="34"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J43" i="33"/>
  <c r="AC43" i="33" s="1"/>
  <c r="S37" i="37"/>
  <c r="G79" i="37"/>
  <c r="J23" i="37"/>
  <c r="W23" i="37" s="1"/>
  <c r="F17" i="37"/>
  <c r="AA17" i="37" s="1"/>
  <c r="AC33" i="36"/>
  <c r="AC12" i="35"/>
  <c r="AC23" i="37"/>
  <c r="W32" i="37"/>
  <c r="U39" i="37"/>
  <c r="AC8" i="37"/>
  <c r="S25" i="37"/>
  <c r="AC36" i="34"/>
  <c r="AB8" i="34"/>
  <c r="W14" i="33"/>
  <c r="AA13" i="33"/>
  <c r="AC33" i="21"/>
  <c r="AA36" i="21"/>
  <c r="F43" i="33"/>
  <c r="AA43" i="33" s="1"/>
  <c r="AA23" i="37"/>
  <c r="S13" i="34"/>
  <c r="AC45" i="34"/>
  <c r="G107" i="37"/>
  <c r="H107" i="37"/>
  <c r="I107" i="37" s="1"/>
  <c r="J107" i="37" s="1"/>
  <c r="K107" i="37" s="1"/>
  <c r="L107" i="37" s="1"/>
  <c r="M107" i="37" s="1"/>
  <c r="U10" i="34"/>
  <c r="AA9" i="21"/>
  <c r="H19" i="34"/>
  <c r="AB19" i="34" s="1"/>
  <c r="H60" i="37"/>
  <c r="J10" i="37" s="1"/>
  <c r="F36" i="35"/>
  <c r="S36" i="35" s="1"/>
  <c r="J9" i="37"/>
  <c r="W9" i="37" s="1"/>
  <c r="H9" i="37"/>
  <c r="U9" i="37" s="1"/>
  <c r="F9" i="37"/>
  <c r="AA9" i="37" s="1"/>
  <c r="F63" i="37"/>
  <c r="G63" i="37"/>
  <c r="H63" i="37" s="1"/>
  <c r="I63" i="37" s="1"/>
  <c r="J63" i="37" s="1"/>
  <c r="K63" i="37" s="1"/>
  <c r="L63" i="37" s="1"/>
  <c r="M63" i="37" s="1"/>
  <c r="F11" i="37"/>
  <c r="S11" i="37" s="1"/>
  <c r="J12" i="37"/>
  <c r="AC12" i="37" s="1"/>
  <c r="H12" i="37"/>
  <c r="AB12" i="37" s="1"/>
  <c r="F12" i="37"/>
  <c r="AA12" i="37" s="1"/>
  <c r="H15" i="37"/>
  <c r="U15" i="37" s="1"/>
  <c r="E94" i="37"/>
  <c r="F31" i="37"/>
  <c r="S31" i="37" s="1"/>
  <c r="S9" i="37"/>
  <c r="W12" i="37"/>
  <c r="F94" i="37"/>
  <c r="G94" i="37" s="1"/>
  <c r="H94" i="37" s="1"/>
  <c r="I94" i="37" s="1"/>
  <c r="J94" i="37" s="1"/>
  <c r="K94" i="37" s="1"/>
  <c r="L94" i="37" s="1"/>
  <c r="M94" i="37" s="1"/>
  <c r="H31" i="37"/>
  <c r="AB31" i="37" s="1"/>
  <c r="F71" i="37"/>
  <c r="G71" i="37"/>
  <c r="J15" i="37"/>
  <c r="W15" i="37" s="1"/>
  <c r="U12" i="37"/>
  <c r="AA11" i="37"/>
  <c r="AC9" i="37"/>
  <c r="AB10" i="37"/>
  <c r="U19" i="34"/>
  <c r="S15" i="37"/>
  <c r="U31" i="37"/>
  <c r="S29" i="40"/>
  <c r="C7" i="46"/>
  <c r="E90" i="40"/>
  <c r="F21" i="40"/>
  <c r="S21" i="40" s="1"/>
  <c r="U21" i="40"/>
  <c r="W38" i="40"/>
  <c r="W36" i="40"/>
  <c r="U40" i="39"/>
  <c r="F90" i="40"/>
  <c r="J21" i="40" s="1"/>
  <c r="G90" i="40"/>
  <c r="AZ558" i="3"/>
  <c r="AZ560" i="3"/>
  <c r="G483" i="3"/>
  <c r="G515" i="3"/>
  <c r="G507" i="3"/>
  <c r="G501" i="3"/>
  <c r="BA15" i="3"/>
  <c r="BL17" i="3"/>
  <c r="BL1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AZ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47" i="3"/>
  <c r="AZ51"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H113" i="46"/>
  <c r="F33" i="46"/>
  <c r="F37" i="46"/>
  <c r="H9" i="48"/>
  <c r="C12" i="46"/>
  <c r="AB16" i="35"/>
  <c r="W43" i="21"/>
  <c r="AA43" i="21"/>
  <c r="U43" i="21"/>
  <c r="AA13" i="40"/>
  <c r="E78" i="40"/>
  <c r="F78" i="40" s="1"/>
  <c r="F33" i="44"/>
  <c r="R16" i="4"/>
  <c r="P16" i="4"/>
  <c r="G4" i="4"/>
  <c r="J16" i="35"/>
  <c r="W16" i="35" s="1"/>
  <c r="AB9" i="37"/>
  <c r="AA35" i="35"/>
  <c r="W25" i="35"/>
  <c r="S30" i="35"/>
  <c r="AZ300" i="3"/>
  <c r="AZ354" i="3"/>
  <c r="AB13" i="40"/>
  <c r="AA21" i="40"/>
  <c r="H11" i="37"/>
  <c r="AB11" i="37" s="1"/>
  <c r="U25" i="36"/>
  <c r="W37" i="37"/>
  <c r="AA30" i="33"/>
  <c r="S17" i="37"/>
  <c r="J17" i="37"/>
  <c r="S14" i="36"/>
  <c r="U28" i="34"/>
  <c r="AA36" i="37"/>
  <c r="AZ488" i="3"/>
  <c r="AA45" i="33"/>
  <c r="AA27" i="36"/>
  <c r="AB45" i="34"/>
  <c r="AA44" i="33"/>
  <c r="AC14" i="37"/>
  <c r="AB35" i="35"/>
  <c r="W44" i="33"/>
  <c r="W30" i="33"/>
  <c r="W29" i="37"/>
  <c r="AC29" i="37"/>
  <c r="W32" i="36"/>
  <c r="AC32" i="36"/>
  <c r="U28" i="33"/>
  <c r="AB28" i="33"/>
  <c r="W28" i="21"/>
  <c r="AC28" i="21"/>
  <c r="W10" i="34"/>
  <c r="H88" i="34"/>
  <c r="I88" i="34"/>
  <c r="J88" i="34" s="1"/>
  <c r="K88" i="34" s="1"/>
  <c r="L88" i="34" s="1"/>
  <c r="M88" i="34" s="1"/>
  <c r="J33" i="34"/>
  <c r="AC33" i="34" s="1"/>
  <c r="AA33" i="34"/>
  <c r="S33" i="34"/>
  <c r="AB36" i="34"/>
  <c r="U36" i="34"/>
  <c r="F16" i="35"/>
  <c r="AA16" i="35" s="1"/>
  <c r="AA24" i="36"/>
  <c r="S24" i="36"/>
  <c r="J35" i="34"/>
  <c r="AC35" i="34" s="1"/>
  <c r="S30" i="36"/>
  <c r="U8" i="37"/>
  <c r="AB12" i="21"/>
  <c r="U12" i="21"/>
  <c r="H32" i="21"/>
  <c r="AA33" i="21"/>
  <c r="S33" i="21"/>
  <c r="U39" i="21"/>
  <c r="AB39" i="21"/>
  <c r="W9" i="21"/>
  <c r="AC9" i="21"/>
  <c r="J32" i="21"/>
  <c r="AC32" i="21" s="1"/>
  <c r="F17" i="21"/>
  <c r="S17" i="21" s="1"/>
  <c r="H17" i="21"/>
  <c r="J17" i="21"/>
  <c r="AC17" i="21" s="1"/>
  <c r="F40" i="21"/>
  <c r="AA40" i="21" s="1"/>
  <c r="H40" i="21"/>
  <c r="AB40" i="21" s="1"/>
  <c r="E119" i="21"/>
  <c r="F119" i="21" s="1"/>
  <c r="G119" i="21" s="1"/>
  <c r="H119" i="21" s="1"/>
  <c r="I119" i="21" s="1"/>
  <c r="J119" i="21" s="1"/>
  <c r="K119" i="21" s="1"/>
  <c r="L119" i="21" s="1"/>
  <c r="M119" i="21" s="1"/>
  <c r="AA8" i="33"/>
  <c r="S8" i="33"/>
  <c r="AC8" i="33"/>
  <c r="W8" i="33"/>
  <c r="H66" i="33"/>
  <c r="F10" i="33"/>
  <c r="AA10" i="33" s="1"/>
  <c r="J17" i="33"/>
  <c r="W17" i="33" s="1"/>
  <c r="H19" i="33"/>
  <c r="AB19" i="33" s="1"/>
  <c r="F35" i="33"/>
  <c r="AA35" i="33" s="1"/>
  <c r="AB39" i="34"/>
  <c r="U39" i="34"/>
  <c r="E80" i="34"/>
  <c r="F80" i="34" s="1"/>
  <c r="G80" i="34" s="1"/>
  <c r="H17" i="34"/>
  <c r="U17" i="34" s="1"/>
  <c r="AC27" i="34"/>
  <c r="AC9" i="35"/>
  <c r="W9" i="35"/>
  <c r="S12" i="35"/>
  <c r="AA12" i="35"/>
  <c r="J13" i="33"/>
  <c r="H13" i="33"/>
  <c r="U13" i="33" s="1"/>
  <c r="H29" i="33"/>
  <c r="U29" i="33" s="1"/>
  <c r="F29" i="33"/>
  <c r="AA29" i="33" s="1"/>
  <c r="J12" i="34"/>
  <c r="W12" i="34" s="1"/>
  <c r="H12" i="34"/>
  <c r="F12" i="34"/>
  <c r="J14" i="34"/>
  <c r="F14" i="34"/>
  <c r="H14" i="34"/>
  <c r="H30" i="34"/>
  <c r="AB30" i="34" s="1"/>
  <c r="F30" i="34"/>
  <c r="S30" i="34" s="1"/>
  <c r="J30" i="34"/>
  <c r="W30" i="34" s="1"/>
  <c r="H32" i="34"/>
  <c r="AB32" i="34" s="1"/>
  <c r="F32" i="34"/>
  <c r="AA32" i="34" s="1"/>
  <c r="J32" i="34"/>
  <c r="W32" i="34" s="1"/>
  <c r="H46" i="34"/>
  <c r="F46" i="34"/>
  <c r="AA46" i="34" s="1"/>
  <c r="J46" i="34"/>
  <c r="W46" i="34" s="1"/>
  <c r="H11" i="35"/>
  <c r="J11" i="35"/>
  <c r="AC11" i="35" s="1"/>
  <c r="F96" i="37"/>
  <c r="H32" i="37"/>
  <c r="AB32" i="37" s="1"/>
  <c r="F43" i="39"/>
  <c r="AA43" i="39" s="1"/>
  <c r="H43" i="39"/>
  <c r="U43" i="39" s="1"/>
  <c r="E113" i="40"/>
  <c r="F113" i="40" s="1"/>
  <c r="F99" i="37"/>
  <c r="G99" i="37" s="1"/>
  <c r="AC27" i="37"/>
  <c r="W25" i="36"/>
  <c r="AC25" i="36"/>
  <c r="U25" i="35"/>
  <c r="S45" i="34"/>
  <c r="AA45" i="34"/>
  <c r="AB31" i="34"/>
  <c r="U31" i="34"/>
  <c r="AC40" i="37"/>
  <c r="W40" i="37"/>
  <c r="W31" i="33"/>
  <c r="AC31" i="33"/>
  <c r="W45" i="21"/>
  <c r="AC45" i="21"/>
  <c r="AA28" i="33"/>
  <c r="S28" i="33"/>
  <c r="AA14" i="21"/>
  <c r="AA44" i="34"/>
  <c r="S44" i="34"/>
  <c r="AC19" i="33"/>
  <c r="W19" i="33"/>
  <c r="W34" i="37"/>
  <c r="AC34" i="37"/>
  <c r="AB10" i="35"/>
  <c r="AA32" i="21"/>
  <c r="S32" i="21"/>
  <c r="U38" i="21"/>
  <c r="AB38" i="21"/>
  <c r="AB34" i="21"/>
  <c r="U34" i="21"/>
  <c r="BL571" i="3"/>
  <c r="BA571" i="3"/>
  <c r="AZ571" i="3" s="1"/>
  <c r="BL570" i="3"/>
  <c r="BE5" i="3"/>
  <c r="AB40" i="33"/>
  <c r="U40" i="33"/>
  <c r="E90" i="34"/>
  <c r="H27" i="34"/>
  <c r="AB27" i="34" s="1"/>
  <c r="AB8" i="35"/>
  <c r="U8" i="35"/>
  <c r="S9" i="35"/>
  <c r="F14" i="35"/>
  <c r="AA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H81" i="36"/>
  <c r="I81" i="36"/>
  <c r="J81" i="36" s="1"/>
  <c r="K81" i="36" s="1"/>
  <c r="L81" i="36" s="1"/>
  <c r="M81" i="36" s="1"/>
  <c r="AA31" i="36"/>
  <c r="AC25" i="37"/>
  <c r="AC26" i="37"/>
  <c r="W26" i="37"/>
  <c r="AB29" i="37"/>
  <c r="AA30" i="37"/>
  <c r="S30" i="37"/>
  <c r="AC30" i="37"/>
  <c r="AC31" i="37"/>
  <c r="W31" i="37"/>
  <c r="AB14" i="37"/>
  <c r="F75" i="37"/>
  <c r="J19" i="37" s="1"/>
  <c r="F17" i="39"/>
  <c r="H17" i="39"/>
  <c r="U17" i="39" s="1"/>
  <c r="J17" i="39"/>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H29" i="39"/>
  <c r="U29" i="39" s="1"/>
  <c r="F39" i="39"/>
  <c r="AA39" i="39" s="1"/>
  <c r="H39" i="39"/>
  <c r="AB39" i="39" s="1"/>
  <c r="J39" i="39"/>
  <c r="AC39" i="39" s="1"/>
  <c r="W30" i="36"/>
  <c r="AC30" i="36"/>
  <c r="F37" i="39"/>
  <c r="S37" i="39" s="1"/>
  <c r="H37" i="39"/>
  <c r="AB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AZ507" i="3" s="1"/>
  <c r="BA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AZ494" i="3" s="1"/>
  <c r="BA494" i="3"/>
  <c r="G494" i="3"/>
  <c r="BA491" i="3"/>
  <c r="AZ491" i="3" s="1"/>
  <c r="BL490" i="3"/>
  <c r="AZ490" i="3" s="1"/>
  <c r="BA490" i="3"/>
  <c r="BL489" i="3"/>
  <c r="BA489" i="3"/>
  <c r="AZ489" i="3" s="1"/>
  <c r="BL487" i="3"/>
  <c r="AZ487" i="3" s="1"/>
  <c r="BL486" i="3"/>
  <c r="AZ486" i="3" s="1"/>
  <c r="BA486" i="3"/>
  <c r="BA485" i="3"/>
  <c r="AZ485" i="3" s="1"/>
  <c r="BA483" i="3"/>
  <c r="AZ483" i="3" s="1"/>
  <c r="BA482" i="3"/>
  <c r="BL481" i="3"/>
  <c r="BJ5" i="3"/>
  <c r="BA481" i="3"/>
  <c r="AZ481" i="3" s="1"/>
  <c r="BL19" i="3"/>
  <c r="F36" i="44"/>
  <c r="M22" i="44"/>
  <c r="F114" i="34"/>
  <c r="G114" i="34" s="1"/>
  <c r="H114" i="34" s="1"/>
  <c r="I114" i="34" s="1"/>
  <c r="J114" i="34" s="1"/>
  <c r="K114" i="34" s="1"/>
  <c r="L114" i="34" s="1"/>
  <c r="M114" i="34" s="1"/>
  <c r="H38" i="34"/>
  <c r="U38" i="34" s="1"/>
  <c r="F38" i="40"/>
  <c r="H115" i="40"/>
  <c r="I115" i="40" s="1"/>
  <c r="J115" i="40" s="1"/>
  <c r="K115" i="40" s="1"/>
  <c r="L115" i="40" s="1"/>
  <c r="M115" i="40" s="1"/>
  <c r="AA36" i="34"/>
  <c r="S36" i="34"/>
  <c r="AC12" i="21"/>
  <c r="W12" i="21"/>
  <c r="AB33" i="21"/>
  <c r="U33" i="21"/>
  <c r="AA35" i="21"/>
  <c r="S35" i="21"/>
  <c r="AB10" i="21"/>
  <c r="U10" i="21"/>
  <c r="U8" i="21"/>
  <c r="AB8" i="21"/>
  <c r="AA34" i="21"/>
  <c r="S34" i="21"/>
  <c r="AC36" i="21"/>
  <c r="W36" i="21"/>
  <c r="AB8" i="33"/>
  <c r="U8" i="33"/>
  <c r="H34" i="33"/>
  <c r="AB34" i="33" s="1"/>
  <c r="E121" i="33"/>
  <c r="F41" i="33"/>
  <c r="S41" i="33" s="1"/>
  <c r="AC34" i="34"/>
  <c r="AA39" i="34"/>
  <c r="S39" i="34"/>
  <c r="E78" i="34"/>
  <c r="F15" i="34" s="1"/>
  <c r="E70" i="35"/>
  <c r="J20" i="35" s="1"/>
  <c r="E72" i="35"/>
  <c r="F72" i="35" s="1"/>
  <c r="G72" i="35" s="1"/>
  <c r="H22" i="35"/>
  <c r="AB22" i="35" s="1"/>
  <c r="H23" i="35"/>
  <c r="AB23" i="35" s="1"/>
  <c r="F23" i="35"/>
  <c r="AA23" i="35" s="1"/>
  <c r="AB36" i="35"/>
  <c r="U36" i="35"/>
  <c r="AB31" i="36"/>
  <c r="U31" i="36"/>
  <c r="S8" i="37"/>
  <c r="AA8" i="37"/>
  <c r="F14" i="39"/>
  <c r="S14" i="39" s="1"/>
  <c r="H14" i="39"/>
  <c r="AB14" i="39" s="1"/>
  <c r="J14" i="39"/>
  <c r="W14" i="39" s="1"/>
  <c r="F16" i="39"/>
  <c r="AA16" i="39" s="1"/>
  <c r="H16" i="39"/>
  <c r="U16" i="39" s="1"/>
  <c r="J16" i="39"/>
  <c r="AC16" i="39" s="1"/>
  <c r="F23" i="39"/>
  <c r="S23" i="39" s="1"/>
  <c r="E97" i="39"/>
  <c r="F15" i="40"/>
  <c r="AA15" i="40" s="1"/>
  <c r="J15" i="40"/>
  <c r="H15" i="40"/>
  <c r="AB15" i="40" s="1"/>
  <c r="AC17" i="40"/>
  <c r="W17" i="40"/>
  <c r="E92" i="40"/>
  <c r="F92" i="40"/>
  <c r="G92" i="40" s="1"/>
  <c r="F23" i="40" s="1"/>
  <c r="H23" i="40"/>
  <c r="E117" i="40"/>
  <c r="F117" i="40" s="1"/>
  <c r="H41" i="40"/>
  <c r="F41" i="40"/>
  <c r="AA41" i="40" s="1"/>
  <c r="J41" i="40"/>
  <c r="H25" i="39"/>
  <c r="AB25" i="39" s="1"/>
  <c r="J25" i="39"/>
  <c r="AC25" i="39" s="1"/>
  <c r="F25" i="39"/>
  <c r="S25" i="39" s="1"/>
  <c r="F45" i="39"/>
  <c r="AA45" i="39" s="1"/>
  <c r="H45" i="39"/>
  <c r="AB45" i="39" s="1"/>
  <c r="J45" i="39"/>
  <c r="AC45" i="39" s="1"/>
  <c r="F47" i="39"/>
  <c r="S47" i="39" s="1"/>
  <c r="H47" i="39"/>
  <c r="AB47" i="39" s="1"/>
  <c r="J47" i="39"/>
  <c r="F41" i="39"/>
  <c r="AA41" i="39" s="1"/>
  <c r="H41" i="39"/>
  <c r="U41" i="39" s="1"/>
  <c r="J41" i="39"/>
  <c r="AC41" i="39" s="1"/>
  <c r="H19" i="40"/>
  <c r="E94" i="40"/>
  <c r="F94" i="40" s="1"/>
  <c r="J25" i="40"/>
  <c r="AC25" i="40" s="1"/>
  <c r="J32" i="40"/>
  <c r="AC32" i="40" s="1"/>
  <c r="H32" i="40"/>
  <c r="H33" i="40"/>
  <c r="AB33" i="40" s="1"/>
  <c r="F33" i="40"/>
  <c r="J33" i="40"/>
  <c r="AC33" i="40" s="1"/>
  <c r="H35" i="40"/>
  <c r="F35" i="40"/>
  <c r="AA35" i="40" s="1"/>
  <c r="J35" i="40"/>
  <c r="J38" i="39"/>
  <c r="AC38" i="39" s="1"/>
  <c r="H38" i="39"/>
  <c r="U38" i="39" s="1"/>
  <c r="J16" i="40"/>
  <c r="AC16" i="40" s="1"/>
  <c r="J14" i="40"/>
  <c r="W14" i="40" s="1"/>
  <c r="H42" i="40"/>
  <c r="AB42" i="40" s="1"/>
  <c r="H40" i="40"/>
  <c r="U40" i="40" s="1"/>
  <c r="H34" i="40"/>
  <c r="AB34" i="40" s="1"/>
  <c r="H29" i="40"/>
  <c r="U29" i="40" s="1"/>
  <c r="D18" i="9"/>
  <c r="M44" i="9" s="1"/>
  <c r="M43" i="9"/>
  <c r="AZ391" i="3"/>
  <c r="AZ399" i="3"/>
  <c r="AZ403" i="3"/>
  <c r="AZ407" i="3"/>
  <c r="AZ415" i="3"/>
  <c r="AZ423" i="3"/>
  <c r="AZ431" i="3"/>
  <c r="AZ439" i="3"/>
  <c r="AZ454" i="3"/>
  <c r="B44" i="1"/>
  <c r="F32" i="15" s="1"/>
  <c r="F59" i="15" s="1"/>
  <c r="J42" i="40"/>
  <c r="AC42" i="40" s="1"/>
  <c r="J40" i="40"/>
  <c r="J34" i="40"/>
  <c r="AC34" i="40" s="1"/>
  <c r="J29" i="40"/>
  <c r="H16" i="40"/>
  <c r="AB16" i="40" s="1"/>
  <c r="H14" i="40"/>
  <c r="F32" i="40"/>
  <c r="AA32" i="40" s="1"/>
  <c r="AZ401" i="3"/>
  <c r="AZ428" i="3"/>
  <c r="AZ433" i="3"/>
  <c r="AZ436" i="3"/>
  <c r="AZ441" i="3"/>
  <c r="AZ444" i="3"/>
  <c r="AZ449" i="3"/>
  <c r="AZ452" i="3"/>
  <c r="M1" i="46"/>
  <c r="M10"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AZ164" i="3"/>
  <c r="AZ167" i="3"/>
  <c r="AZ177" i="3"/>
  <c r="AZ180" i="3"/>
  <c r="AZ48" i="3"/>
  <c r="AZ63" i="3"/>
  <c r="AZ79" i="3"/>
  <c r="AZ91" i="3"/>
  <c r="AZ99" i="3"/>
  <c r="AZ107" i="3"/>
  <c r="AZ112" i="3"/>
  <c r="M19" i="44"/>
  <c r="H47" i="46"/>
  <c r="AB14" i="40"/>
  <c r="U14" i="40"/>
  <c r="AC29" i="40"/>
  <c r="W29" i="40"/>
  <c r="AC40" i="40"/>
  <c r="W40" i="40"/>
  <c r="F34" i="44"/>
  <c r="F30" i="44"/>
  <c r="C30" i="44" s="1"/>
  <c r="F27" i="43"/>
  <c r="C27" i="43" s="1"/>
  <c r="F31" i="43"/>
  <c r="C31" i="43" s="1"/>
  <c r="F66" i="9"/>
  <c r="P72" i="9" s="1"/>
  <c r="M20" i="44"/>
  <c r="F71" i="9"/>
  <c r="D86" i="9"/>
  <c r="F72" i="9"/>
  <c r="F70" i="9"/>
  <c r="AB29" i="40"/>
  <c r="AB40" i="40"/>
  <c r="AC14" i="40"/>
  <c r="AB38" i="39"/>
  <c r="AC35" i="40"/>
  <c r="W35" i="40"/>
  <c r="AB35" i="40"/>
  <c r="U35" i="40"/>
  <c r="AA33" i="40"/>
  <c r="S33" i="40"/>
  <c r="AB32" i="40"/>
  <c r="U32" i="40"/>
  <c r="W25" i="40"/>
  <c r="AB19" i="40"/>
  <c r="U19" i="40"/>
  <c r="AB41" i="39"/>
  <c r="AC47" i="39"/>
  <c r="W47" i="39"/>
  <c r="AA47" i="39"/>
  <c r="U45" i="39"/>
  <c r="U25" i="39"/>
  <c r="AC41" i="40"/>
  <c r="W41" i="40"/>
  <c r="AB41" i="40"/>
  <c r="U41" i="40"/>
  <c r="H39" i="40"/>
  <c r="U39" i="40" s="1"/>
  <c r="J23" i="40"/>
  <c r="W23" i="40" s="1"/>
  <c r="AC15" i="40"/>
  <c r="W15" i="40"/>
  <c r="AB16" i="39"/>
  <c r="AA14" i="39"/>
  <c r="U23" i="35"/>
  <c r="H20" i="35"/>
  <c r="U20" i="35" s="1"/>
  <c r="H15" i="34"/>
  <c r="AB15" i="34" s="1"/>
  <c r="J15" i="34"/>
  <c r="W15" i="34" s="1"/>
  <c r="H41" i="33"/>
  <c r="U41" i="33" s="1"/>
  <c r="F121" i="33"/>
  <c r="G121" i="33" s="1"/>
  <c r="H121" i="33" s="1"/>
  <c r="I121" i="33" s="1"/>
  <c r="J121" i="33" s="1"/>
  <c r="K121" i="33" s="1"/>
  <c r="L121" i="33" s="1"/>
  <c r="M121" i="33" s="1"/>
  <c r="AZ497" i="3"/>
  <c r="AZ515" i="3"/>
  <c r="AZ530" i="3"/>
  <c r="AZ547" i="3"/>
  <c r="AZ549" i="3"/>
  <c r="U37" i="39"/>
  <c r="U39" i="39"/>
  <c r="F103" i="39"/>
  <c r="G103" i="39" s="1"/>
  <c r="J29" i="39"/>
  <c r="AC29" i="39" s="1"/>
  <c r="AC44" i="39"/>
  <c r="AB17" i="39"/>
  <c r="H19" i="37"/>
  <c r="AB19" i="37" s="1"/>
  <c r="U27" i="36"/>
  <c r="AA11" i="36"/>
  <c r="S14" i="35"/>
  <c r="U32" i="37"/>
  <c r="AC46" i="34"/>
  <c r="AB46" i="34"/>
  <c r="U46" i="34"/>
  <c r="S32" i="34"/>
  <c r="AC30" i="34"/>
  <c r="U30" i="34"/>
  <c r="AA14" i="34"/>
  <c r="S14" i="34"/>
  <c r="AA12" i="34"/>
  <c r="S12" i="34"/>
  <c r="AC12" i="34"/>
  <c r="AB29" i="33"/>
  <c r="AC13" i="33"/>
  <c r="W13" i="33"/>
  <c r="S10" i="33"/>
  <c r="S40" i="21"/>
  <c r="U17" i="21"/>
  <c r="AB17" i="21"/>
  <c r="AA17" i="21"/>
  <c r="AB32" i="21"/>
  <c r="U32" i="21"/>
  <c r="S16" i="35"/>
  <c r="U16" i="40"/>
  <c r="W42" i="40"/>
  <c r="U34" i="40"/>
  <c r="U42" i="40"/>
  <c r="W16" i="40"/>
  <c r="S35" i="40"/>
  <c r="U33" i="40"/>
  <c r="H25" i="40"/>
  <c r="AB25" i="40" s="1"/>
  <c r="U47" i="39"/>
  <c r="AB23" i="40"/>
  <c r="U23" i="40"/>
  <c r="S15" i="40"/>
  <c r="J23" i="39"/>
  <c r="AC23" i="39" s="1"/>
  <c r="F97" i="39"/>
  <c r="H23" i="39" s="1"/>
  <c r="U23" i="39" s="1"/>
  <c r="G97" i="39"/>
  <c r="S16" i="39"/>
  <c r="AA38" i="40"/>
  <c r="S38" i="40"/>
  <c r="W39" i="39"/>
  <c r="S39" i="39"/>
  <c r="S29" i="39"/>
  <c r="AB46" i="39"/>
  <c r="U46" i="39"/>
  <c r="AB44" i="39"/>
  <c r="AC33" i="39"/>
  <c r="AA33" i="39"/>
  <c r="AC17" i="39"/>
  <c r="W17" i="39"/>
  <c r="AA17" i="39"/>
  <c r="S17" i="39"/>
  <c r="F19" i="37"/>
  <c r="AA19" i="37" s="1"/>
  <c r="S33" i="36"/>
  <c r="AA26" i="36"/>
  <c r="U11" i="36"/>
  <c r="F90" i="34"/>
  <c r="G90" i="34" s="1"/>
  <c r="H90" i="34" s="1"/>
  <c r="I90" i="34" s="1"/>
  <c r="J90" i="34" s="1"/>
  <c r="K90" i="34" s="1"/>
  <c r="L90" i="34" s="1"/>
  <c r="M90" i="34" s="1"/>
  <c r="F27" i="34"/>
  <c r="S27" i="34" s="1"/>
  <c r="S43" i="39"/>
  <c r="G96" i="37"/>
  <c r="H96" i="37"/>
  <c r="I96" i="37" s="1"/>
  <c r="J96" i="37" s="1"/>
  <c r="K96" i="37" s="1"/>
  <c r="L96" i="37" s="1"/>
  <c r="M96" i="37" s="1"/>
  <c r="F32" i="37"/>
  <c r="S32" i="37" s="1"/>
  <c r="U11" i="35"/>
  <c r="AB11" i="35"/>
  <c r="S46" i="34"/>
  <c r="AC32" i="34"/>
  <c r="U32" i="34"/>
  <c r="AA30" i="34"/>
  <c r="AB14" i="34"/>
  <c r="U14" i="34"/>
  <c r="W14" i="34"/>
  <c r="AC14" i="34"/>
  <c r="AB12" i="34"/>
  <c r="U12" i="34"/>
  <c r="S29" i="33"/>
  <c r="AB13" i="33"/>
  <c r="F17" i="34"/>
  <c r="AA17" i="34" s="1"/>
  <c r="J17" i="34"/>
  <c r="W17" i="34" s="1"/>
  <c r="J35" i="33"/>
  <c r="W35" i="33" s="1"/>
  <c r="F17" i="33"/>
  <c r="S17" i="33" s="1"/>
  <c r="H10" i="33"/>
  <c r="U10" i="33" s="1"/>
  <c r="I66" i="33"/>
  <c r="J10" i="33"/>
  <c r="AC10" i="33" s="1"/>
  <c r="W17" i="21"/>
  <c r="W17" i="37"/>
  <c r="AC17" i="37"/>
  <c r="U11" i="37"/>
  <c r="U19" i="37"/>
  <c r="F39" i="40"/>
  <c r="S39" i="40" s="1"/>
  <c r="S19" i="37"/>
  <c r="U25" i="40"/>
  <c r="AC23" i="40"/>
  <c r="AB39" i="40"/>
  <c r="D73" i="9"/>
  <c r="N73" i="9" s="1"/>
  <c r="J51" i="15"/>
  <c r="B11" i="1"/>
  <c r="E11" i="1" s="1"/>
  <c r="B9" i="1"/>
  <c r="E9" i="1" s="1"/>
  <c r="B7" i="1"/>
  <c r="E7" i="1" s="1"/>
  <c r="C20" i="43"/>
  <c r="E2" i="65"/>
  <c r="AC17" i="33" l="1"/>
  <c r="AC41" i="34"/>
  <c r="BI5" i="3"/>
  <c r="BA19" i="3"/>
  <c r="AZ19" i="3" s="1"/>
  <c r="BH5" i="3"/>
  <c r="BA18" i="3"/>
  <c r="AC5" i="3"/>
  <c r="G13" i="3"/>
  <c r="G19" i="3"/>
  <c r="AZ20" i="3"/>
  <c r="H15" i="39"/>
  <c r="AB15" i="39" s="1"/>
  <c r="J15" i="39"/>
  <c r="AC15" i="39" s="1"/>
  <c r="D101" i="46"/>
  <c r="D102" i="46" s="1"/>
  <c r="I101" i="46"/>
  <c r="I105" i="46" s="1"/>
  <c r="E22" i="46"/>
  <c r="G22" i="46"/>
  <c r="N104" i="45"/>
  <c r="L101" i="46"/>
  <c r="L106" i="46" s="1"/>
  <c r="M101" i="46"/>
  <c r="M107" i="46" s="1"/>
  <c r="E101" i="46"/>
  <c r="E104" i="46" s="1"/>
  <c r="H101" i="46"/>
  <c r="H104" i="46" s="1"/>
  <c r="AC35" i="33"/>
  <c r="F25" i="40"/>
  <c r="G94" i="40"/>
  <c r="G117" i="40"/>
  <c r="H117" i="40" s="1"/>
  <c r="I117" i="40" s="1"/>
  <c r="J117" i="40" s="1"/>
  <c r="K117" i="40" s="1"/>
  <c r="L117" i="40" s="1"/>
  <c r="M117" i="40" s="1"/>
  <c r="J39" i="40"/>
  <c r="S15" i="34"/>
  <c r="AA15" i="34"/>
  <c r="S25" i="34"/>
  <c r="AA25" i="34"/>
  <c r="AC9" i="33"/>
  <c r="W9" i="33"/>
  <c r="W26" i="33"/>
  <c r="AC26" i="33"/>
  <c r="AA31" i="33"/>
  <c r="S31" i="33"/>
  <c r="AC23" i="35"/>
  <c r="W23" i="35"/>
  <c r="AC12" i="36"/>
  <c r="W12" i="36"/>
  <c r="G62" i="36"/>
  <c r="J14" i="36" s="1"/>
  <c r="H14" i="36"/>
  <c r="F68" i="36"/>
  <c r="J20" i="36"/>
  <c r="H20" i="36"/>
  <c r="AC26" i="36"/>
  <c r="W26" i="36"/>
  <c r="AB34" i="36"/>
  <c r="U34" i="36"/>
  <c r="S23" i="40"/>
  <c r="AA23" i="40"/>
  <c r="AC19" i="37"/>
  <c r="W19" i="37"/>
  <c r="H37" i="40"/>
  <c r="G113" i="40"/>
  <c r="H113" i="40" s="1"/>
  <c r="I113" i="40" s="1"/>
  <c r="J113" i="40" s="1"/>
  <c r="K113" i="40" s="1"/>
  <c r="L113" i="40" s="1"/>
  <c r="M113" i="40" s="1"/>
  <c r="J37" i="40"/>
  <c r="AC37" i="40" s="1"/>
  <c r="F37" i="40"/>
  <c r="G78" i="40"/>
  <c r="H78" i="40" s="1"/>
  <c r="I78" i="40" s="1"/>
  <c r="J78" i="40" s="1"/>
  <c r="K78" i="40" s="1"/>
  <c r="L78" i="40" s="1"/>
  <c r="M78" i="40" s="1"/>
  <c r="J13" i="40"/>
  <c r="AC20" i="35"/>
  <c r="W20" i="35"/>
  <c r="AZ482" i="3"/>
  <c r="H33" i="37"/>
  <c r="AB33" i="37" s="1"/>
  <c r="F33" i="37"/>
  <c r="H99" i="37"/>
  <c r="I99" i="37" s="1"/>
  <c r="J99" i="37" s="1"/>
  <c r="K99" i="37" s="1"/>
  <c r="L99" i="37" s="1"/>
  <c r="M99" i="37" s="1"/>
  <c r="J33" i="37"/>
  <c r="W33" i="37" s="1"/>
  <c r="AC21" i="40"/>
  <c r="W21" i="40"/>
  <c r="W10" i="37"/>
  <c r="AC10" i="37"/>
  <c r="AZ484" i="3"/>
  <c r="W19" i="40"/>
  <c r="AC19" i="40"/>
  <c r="G103" i="37"/>
  <c r="H103" i="37" s="1"/>
  <c r="I103" i="37" s="1"/>
  <c r="J103" i="37" s="1"/>
  <c r="K103" i="37" s="1"/>
  <c r="L103" i="37" s="1"/>
  <c r="M103" i="37" s="1"/>
  <c r="H35" i="37"/>
  <c r="H23" i="21"/>
  <c r="U23" i="21" s="1"/>
  <c r="F85" i="21"/>
  <c r="G85" i="21" s="1"/>
  <c r="J23" i="21"/>
  <c r="F23" i="21"/>
  <c r="H42" i="21"/>
  <c r="G123" i="21"/>
  <c r="H123" i="21" s="1"/>
  <c r="I123" i="21" s="1"/>
  <c r="J123" i="21" s="1"/>
  <c r="K123" i="21" s="1"/>
  <c r="L123" i="21" s="1"/>
  <c r="M123" i="21" s="1"/>
  <c r="F42" i="21"/>
  <c r="AA42" i="21" s="1"/>
  <c r="J27" i="33"/>
  <c r="F91" i="33"/>
  <c r="G91" i="33" s="1"/>
  <c r="H91" i="33" s="1"/>
  <c r="I91" i="33" s="1"/>
  <c r="J91" i="33" s="1"/>
  <c r="K91" i="33" s="1"/>
  <c r="L91" i="33" s="1"/>
  <c r="M91" i="33" s="1"/>
  <c r="F27" i="33"/>
  <c r="S27" i="33" s="1"/>
  <c r="J14" i="35"/>
  <c r="AC14" i="35" s="1"/>
  <c r="F64" i="35"/>
  <c r="G64" i="35" s="1"/>
  <c r="H14" i="35"/>
  <c r="U14" i="35" s="1"/>
  <c r="W12" i="33"/>
  <c r="AC12" i="33"/>
  <c r="AC24" i="35"/>
  <c r="W24" i="35"/>
  <c r="AB34" i="35"/>
  <c r="U34" i="35"/>
  <c r="I54" i="36"/>
  <c r="J10" i="36"/>
  <c r="F16" i="36"/>
  <c r="F64" i="36"/>
  <c r="AB22" i="36"/>
  <c r="U22" i="36"/>
  <c r="F83" i="36"/>
  <c r="G83" i="36" s="1"/>
  <c r="H83" i="36" s="1"/>
  <c r="I83" i="36" s="1"/>
  <c r="J83" i="36" s="1"/>
  <c r="K83" i="36" s="1"/>
  <c r="L83" i="36" s="1"/>
  <c r="M83" i="36" s="1"/>
  <c r="F28" i="36"/>
  <c r="AA39" i="40"/>
  <c r="C58" i="21"/>
  <c r="D58" i="21" s="1"/>
  <c r="E58" i="21" s="1"/>
  <c r="F58" i="21" s="1"/>
  <c r="G58" i="21" s="1"/>
  <c r="H58" i="21" s="1"/>
  <c r="I58" i="21" s="1"/>
  <c r="J58" i="21" s="1"/>
  <c r="K58" i="21" s="1"/>
  <c r="L58" i="21" s="1"/>
  <c r="M58" i="21" s="1"/>
  <c r="N58" i="21" s="1"/>
  <c r="O58" i="21" s="1"/>
  <c r="E7" i="21"/>
  <c r="U25" i="37"/>
  <c r="AB25" i="37"/>
  <c r="AZ392" i="3"/>
  <c r="AZ397" i="3"/>
  <c r="AZ408" i="3"/>
  <c r="AZ413" i="3"/>
  <c r="AZ424" i="3"/>
  <c r="AZ437" i="3"/>
  <c r="AZ448" i="3"/>
  <c r="AZ387" i="3"/>
  <c r="AZ219" i="3"/>
  <c r="AZ235" i="3"/>
  <c r="AZ251" i="3"/>
  <c r="AZ258" i="3"/>
  <c r="AA32" i="37"/>
  <c r="U15" i="40"/>
  <c r="S41" i="40"/>
  <c r="W32" i="40"/>
  <c r="W33" i="40"/>
  <c r="W38" i="39"/>
  <c r="W34" i="40"/>
  <c r="S35" i="33"/>
  <c r="AB33" i="36"/>
  <c r="G75" i="37"/>
  <c r="F78" i="34"/>
  <c r="G78" i="34" s="1"/>
  <c r="F20" i="35"/>
  <c r="F70" i="35"/>
  <c r="G70" i="35" s="1"/>
  <c r="AA23" i="39"/>
  <c r="AC33" i="35"/>
  <c r="S40" i="37"/>
  <c r="S25" i="35"/>
  <c r="AC11" i="36"/>
  <c r="AC29" i="33"/>
  <c r="AB17" i="37"/>
  <c r="S29" i="37"/>
  <c r="AB15" i="37"/>
  <c r="J11" i="37"/>
  <c r="I60" i="37"/>
  <c r="AA31" i="37"/>
  <c r="AC45" i="33"/>
  <c r="S27" i="37"/>
  <c r="AC13" i="36"/>
  <c r="U46" i="21"/>
  <c r="U30" i="33"/>
  <c r="AA13" i="35"/>
  <c r="J25" i="34"/>
  <c r="G88" i="40"/>
  <c r="F19" i="40" s="1"/>
  <c r="H25" i="34"/>
  <c r="AA39" i="37"/>
  <c r="F35" i="37"/>
  <c r="U9" i="21"/>
  <c r="C29" i="39"/>
  <c r="AC35" i="21"/>
  <c r="W39" i="33"/>
  <c r="S33" i="33"/>
  <c r="F26" i="33"/>
  <c r="AA26" i="33" s="1"/>
  <c r="W9" i="34"/>
  <c r="J19" i="21"/>
  <c r="F19" i="21"/>
  <c r="K13" i="1"/>
  <c r="M13" i="1" s="1"/>
  <c r="O13" i="1" s="1"/>
  <c r="P13" i="1" s="1"/>
  <c r="J9" i="12"/>
  <c r="J10" i="12" s="1"/>
  <c r="F22" i="6"/>
  <c r="B24" i="31"/>
  <c r="BF5" i="3"/>
  <c r="C58" i="33"/>
  <c r="D58" i="33" s="1"/>
  <c r="E58" i="33" s="1"/>
  <c r="F58" i="33" s="1"/>
  <c r="G58" i="33" s="1"/>
  <c r="H58" i="33" s="1"/>
  <c r="I58" i="33" s="1"/>
  <c r="J58" i="33" s="1"/>
  <c r="K58" i="33" s="1"/>
  <c r="L58" i="33" s="1"/>
  <c r="M58" i="33" s="1"/>
  <c r="N58" i="33" s="1"/>
  <c r="O58" i="33" s="1"/>
  <c r="E7" i="33"/>
  <c r="G7" i="33" s="1"/>
  <c r="F9" i="33"/>
  <c r="AA9" i="33" s="1"/>
  <c r="F12" i="33"/>
  <c r="H38" i="33"/>
  <c r="AB38" i="33" s="1"/>
  <c r="H33" i="34"/>
  <c r="E100" i="40"/>
  <c r="F100" i="40" s="1"/>
  <c r="G569" i="3"/>
  <c r="G564" i="3"/>
  <c r="G535" i="3"/>
  <c r="G528" i="3"/>
  <c r="G520" i="3"/>
  <c r="G511" i="3"/>
  <c r="G500" i="3"/>
  <c r="G490" i="3"/>
  <c r="G482" i="3"/>
  <c r="AZ432" i="3"/>
  <c r="AZ443" i="3"/>
  <c r="AZ460" i="3"/>
  <c r="AZ464" i="3"/>
  <c r="AZ334" i="3"/>
  <c r="AZ350" i="3"/>
  <c r="AZ211" i="3"/>
  <c r="AZ227" i="3"/>
  <c r="AZ243" i="3"/>
  <c r="K16" i="1"/>
  <c r="M16" i="1" s="1"/>
  <c r="O16" i="1" s="1"/>
  <c r="P16" i="1" s="1"/>
  <c r="M9" i="12"/>
  <c r="AZ176" i="3"/>
  <c r="AZ182" i="3"/>
  <c r="AZ190" i="3"/>
  <c r="F16" i="1"/>
  <c r="F13" i="1"/>
  <c r="G13" i="1" s="1"/>
  <c r="F14" i="1"/>
  <c r="G14" i="1" s="1"/>
  <c r="AZ272" i="3"/>
  <c r="AZ277" i="3"/>
  <c r="AZ285" i="3"/>
  <c r="AZ288" i="3"/>
  <c r="AZ296" i="3"/>
  <c r="AZ125" i="3"/>
  <c r="AZ128" i="3"/>
  <c r="AZ141" i="3"/>
  <c r="AZ144" i="3"/>
  <c r="AZ155" i="3"/>
  <c r="AZ168" i="3"/>
  <c r="AZ171" i="3"/>
  <c r="AZ38" i="3"/>
  <c r="AZ40" i="3"/>
  <c r="AZ36" i="3"/>
  <c r="AZ46" i="3"/>
  <c r="AZ57" i="3"/>
  <c r="BL39" i="3"/>
  <c r="AZ39" i="3" s="1"/>
  <c r="BL43" i="3"/>
  <c r="AZ43" i="3" s="1"/>
  <c r="BL45" i="3"/>
  <c r="AZ45" i="3" s="1"/>
  <c r="BL49" i="3"/>
  <c r="AZ49" i="3" s="1"/>
  <c r="BL52" i="3"/>
  <c r="AZ52" i="3" s="1"/>
  <c r="BL54" i="3"/>
  <c r="AZ54" i="3" s="1"/>
  <c r="BL56" i="3"/>
  <c r="AZ56" i="3" s="1"/>
  <c r="BL58" i="3"/>
  <c r="AZ58" i="3" s="1"/>
  <c r="BL70" i="3"/>
  <c r="AZ70" i="3" s="1"/>
  <c r="BL74" i="3"/>
  <c r="AZ74" i="3" s="1"/>
  <c r="AZ42" i="3"/>
  <c r="AZ55" i="3"/>
  <c r="AZ59" i="3"/>
  <c r="AZ61" i="3"/>
  <c r="AZ64" i="3"/>
  <c r="AZ67" i="3"/>
  <c r="AZ69" i="3"/>
  <c r="AZ71" i="3"/>
  <c r="AZ73" i="3"/>
  <c r="AZ83" i="3"/>
  <c r="AZ87" i="3"/>
  <c r="AZ93" i="3"/>
  <c r="AZ96" i="3"/>
  <c r="AZ103" i="3"/>
  <c r="AZ109" i="3"/>
  <c r="I21" i="57"/>
  <c r="D1" i="57"/>
  <c r="E10" i="57" s="1"/>
  <c r="D58" i="68"/>
  <c r="E58" i="68" s="1"/>
  <c r="F58" i="68" s="1"/>
  <c r="G58" i="68" s="1"/>
  <c r="H58" i="68" s="1"/>
  <c r="I58" i="68" s="1"/>
  <c r="J58" i="68" s="1"/>
  <c r="K58" i="68" s="1"/>
  <c r="L58" i="68" s="1"/>
  <c r="M58" i="68" s="1"/>
  <c r="N58" i="68" s="1"/>
  <c r="O58" i="68" s="1"/>
  <c r="J7" i="68"/>
  <c r="F7" i="68"/>
  <c r="H7" i="68"/>
  <c r="AB27" i="40"/>
  <c r="U27" i="40"/>
  <c r="AC21" i="37"/>
  <c r="W21" i="37"/>
  <c r="AB21" i="37"/>
  <c r="U21" i="37"/>
  <c r="AB41" i="34"/>
  <c r="F22" i="46"/>
  <c r="C101" i="46"/>
  <c r="C104" i="46" s="1"/>
  <c r="K101" i="46"/>
  <c r="K104" i="46" s="1"/>
  <c r="G101" i="46"/>
  <c r="G105" i="46" s="1"/>
  <c r="N101" i="46"/>
  <c r="N106" i="46" s="1"/>
  <c r="J101" i="46"/>
  <c r="J106" i="46" s="1"/>
  <c r="F101" i="46"/>
  <c r="F106" i="46" s="1"/>
  <c r="B113" i="46"/>
  <c r="D117" i="46" s="1"/>
  <c r="E117" i="46" s="1"/>
  <c r="F117" i="46" s="1"/>
  <c r="G117" i="46" s="1"/>
  <c r="H117" i="46" s="1"/>
  <c r="F28" i="35"/>
  <c r="F35" i="34"/>
  <c r="F19" i="33"/>
  <c r="S19" i="33" s="1"/>
  <c r="S10" i="34"/>
  <c r="W39" i="34"/>
  <c r="H28" i="35"/>
  <c r="J43" i="34"/>
  <c r="F43" i="34"/>
  <c r="H43" i="34"/>
  <c r="G124" i="34"/>
  <c r="H124" i="34" s="1"/>
  <c r="I124" i="34" s="1"/>
  <c r="J124" i="34" s="1"/>
  <c r="K124" i="34" s="1"/>
  <c r="L124" i="34" s="1"/>
  <c r="M124" i="34" s="1"/>
  <c r="H40" i="34"/>
  <c r="F118" i="34"/>
  <c r="G118" i="34" s="1"/>
  <c r="F40" i="34"/>
  <c r="J40" i="34"/>
  <c r="W40" i="34" s="1"/>
  <c r="H37" i="34"/>
  <c r="H112" i="34"/>
  <c r="I112" i="34" s="1"/>
  <c r="J112" i="34" s="1"/>
  <c r="K112" i="34" s="1"/>
  <c r="L112" i="34" s="1"/>
  <c r="M112" i="34" s="1"/>
  <c r="J37" i="34"/>
  <c r="F37" i="34"/>
  <c r="AB38" i="34"/>
  <c r="AA28" i="34"/>
  <c r="J23" i="34"/>
  <c r="H23" i="34"/>
  <c r="F86" i="34"/>
  <c r="G86" i="34" s="1"/>
  <c r="F23" i="34"/>
  <c r="AB17" i="34"/>
  <c r="AC15" i="34"/>
  <c r="F70" i="34"/>
  <c r="AC17" i="34"/>
  <c r="W33" i="34"/>
  <c r="AC40" i="34"/>
  <c r="W35" i="34"/>
  <c r="W44" i="34"/>
  <c r="AC28" i="34"/>
  <c r="AC21" i="34"/>
  <c r="W21" i="34"/>
  <c r="U15" i="34"/>
  <c r="AB21" i="34"/>
  <c r="U21" i="34"/>
  <c r="AA27" i="34"/>
  <c r="S34" i="34"/>
  <c r="U27" i="34"/>
  <c r="AA41" i="34"/>
  <c r="W29" i="34"/>
  <c r="U34" i="34"/>
  <c r="S17" i="34"/>
  <c r="J28" i="35"/>
  <c r="G16" i="1"/>
  <c r="E19" i="6"/>
  <c r="K6" i="1" s="1"/>
  <c r="M6" i="1" s="1"/>
  <c r="F42" i="33"/>
  <c r="AA42" i="33" s="1"/>
  <c r="H42" i="33"/>
  <c r="U42" i="33" s="1"/>
  <c r="K15" i="1"/>
  <c r="AH15" i="1" s="1"/>
  <c r="L9" i="12"/>
  <c r="D3" i="35"/>
  <c r="AB43" i="33"/>
  <c r="E27" i="6"/>
  <c r="AC16" i="35"/>
  <c r="W14" i="35"/>
  <c r="G87" i="35"/>
  <c r="F29" i="35" s="1"/>
  <c r="AB20" i="35"/>
  <c r="AC10" i="35"/>
  <c r="U33" i="35"/>
  <c r="AC18" i="35"/>
  <c r="W18" i="35"/>
  <c r="AB14" i="35"/>
  <c r="AB13" i="35"/>
  <c r="U18" i="35"/>
  <c r="AB18" i="35"/>
  <c r="S10" i="35"/>
  <c r="S23" i="35"/>
  <c r="AA36" i="35"/>
  <c r="S34" i="35"/>
  <c r="AC27" i="35"/>
  <c r="U22" i="35"/>
  <c r="S22" i="35"/>
  <c r="AC41" i="33"/>
  <c r="W41" i="33"/>
  <c r="J42" i="33"/>
  <c r="G123" i="33"/>
  <c r="H123" i="33" s="1"/>
  <c r="I123" i="33" s="1"/>
  <c r="J123" i="33" s="1"/>
  <c r="K123" i="33" s="1"/>
  <c r="L123" i="33" s="1"/>
  <c r="M123" i="33" s="1"/>
  <c r="F36" i="33"/>
  <c r="H36" i="33"/>
  <c r="AB36" i="33" s="1"/>
  <c r="J36" i="33"/>
  <c r="H111" i="33"/>
  <c r="I111" i="33" s="1"/>
  <c r="J111" i="33" s="1"/>
  <c r="K111" i="33" s="1"/>
  <c r="L111" i="33" s="1"/>
  <c r="M111" i="33" s="1"/>
  <c r="U34" i="33"/>
  <c r="J34" i="33"/>
  <c r="F34" i="33"/>
  <c r="F39" i="33"/>
  <c r="J37" i="33"/>
  <c r="H37" i="33"/>
  <c r="AB37" i="33" s="1"/>
  <c r="U38" i="33"/>
  <c r="H39" i="33"/>
  <c r="AB39" i="33" s="1"/>
  <c r="F38" i="33"/>
  <c r="J38" i="33"/>
  <c r="H32" i="33"/>
  <c r="F101" i="33"/>
  <c r="G101" i="33" s="1"/>
  <c r="H101" i="33" s="1"/>
  <c r="I101" i="33" s="1"/>
  <c r="J101" i="33" s="1"/>
  <c r="K101" i="33" s="1"/>
  <c r="L101" i="33" s="1"/>
  <c r="M101" i="33" s="1"/>
  <c r="F32" i="33"/>
  <c r="AA32" i="33" s="1"/>
  <c r="J32" i="33"/>
  <c r="H25" i="33"/>
  <c r="AB25" i="33" s="1"/>
  <c r="F87" i="33"/>
  <c r="G87" i="33" s="1"/>
  <c r="H87" i="33" s="1"/>
  <c r="I87" i="33" s="1"/>
  <c r="J87" i="33" s="1"/>
  <c r="K87" i="33" s="1"/>
  <c r="L87" i="33" s="1"/>
  <c r="M87" i="33" s="1"/>
  <c r="F25" i="33"/>
  <c r="J25" i="33"/>
  <c r="W25" i="33" s="1"/>
  <c r="F23" i="33"/>
  <c r="J23" i="33"/>
  <c r="F85" i="33"/>
  <c r="G85" i="33" s="1"/>
  <c r="H23" i="33"/>
  <c r="F79" i="33"/>
  <c r="G79" i="33" s="1"/>
  <c r="H17" i="33"/>
  <c r="F15" i="33"/>
  <c r="AA15" i="33" s="1"/>
  <c r="G77" i="33"/>
  <c r="H15" i="33"/>
  <c r="U15" i="33" s="1"/>
  <c r="J15" i="33"/>
  <c r="J11" i="33"/>
  <c r="F69" i="33"/>
  <c r="G69" i="33" s="1"/>
  <c r="H69" i="33" s="1"/>
  <c r="I69" i="33" s="1"/>
  <c r="J69" i="33" s="1"/>
  <c r="K69" i="33" s="1"/>
  <c r="L69" i="33" s="1"/>
  <c r="M69" i="33" s="1"/>
  <c r="F11" i="33"/>
  <c r="H11" i="33"/>
  <c r="W10" i="33"/>
  <c r="AB10" i="33"/>
  <c r="W13" i="35"/>
  <c r="AC28" i="33"/>
  <c r="W43" i="33"/>
  <c r="AC21" i="33"/>
  <c r="W21" i="33"/>
  <c r="W46" i="33"/>
  <c r="U19" i="33"/>
  <c r="AB44" i="33"/>
  <c r="AB21" i="33"/>
  <c r="U21" i="33"/>
  <c r="S42" i="33"/>
  <c r="AA27" i="33"/>
  <c r="S14" i="33"/>
  <c r="S21" i="33"/>
  <c r="AA21" i="33"/>
  <c r="AA41" i="33"/>
  <c r="U36" i="33"/>
  <c r="U35" i="33"/>
  <c r="AB41" i="33"/>
  <c r="AB26" i="33"/>
  <c r="AA17" i="33"/>
  <c r="AB23" i="21"/>
  <c r="AC40" i="21"/>
  <c r="F37" i="21"/>
  <c r="H113" i="21"/>
  <c r="J37" i="21"/>
  <c r="W37" i="21" s="1"/>
  <c r="H37" i="21"/>
  <c r="AC26" i="21"/>
  <c r="F77" i="21"/>
  <c r="G77" i="21" s="1"/>
  <c r="J15" i="21"/>
  <c r="F69" i="21"/>
  <c r="G69" i="21" s="1"/>
  <c r="H11" i="21" s="1"/>
  <c r="U11" i="21" s="1"/>
  <c r="S10" i="21"/>
  <c r="W21" i="21"/>
  <c r="AC21" i="21"/>
  <c r="U28" i="21"/>
  <c r="U19" i="21"/>
  <c r="W32" i="21"/>
  <c r="AB30" i="21"/>
  <c r="AB13" i="21"/>
  <c r="AB36" i="21"/>
  <c r="AB21" i="21"/>
  <c r="U21" i="21"/>
  <c r="U40" i="21"/>
  <c r="S42" i="21"/>
  <c r="AA31" i="21"/>
  <c r="W10" i="21"/>
  <c r="W44" i="21"/>
  <c r="AB44" i="21"/>
  <c r="AA44" i="21"/>
  <c r="AC46" i="21"/>
  <c r="U26" i="21"/>
  <c r="AA26" i="21"/>
  <c r="AB15" i="21"/>
  <c r="H26" i="35"/>
  <c r="J26" i="35"/>
  <c r="F26" i="35"/>
  <c r="U15" i="39"/>
  <c r="W15" i="39"/>
  <c r="AC14" i="39"/>
  <c r="D115" i="46"/>
  <c r="E115" i="46" s="1"/>
  <c r="F115" i="46" s="1"/>
  <c r="G115" i="46" s="1"/>
  <c r="H115" i="46" s="1"/>
  <c r="G21" i="3"/>
  <c r="G24" i="3"/>
  <c r="BL25" i="3"/>
  <c r="G26" i="3"/>
  <c r="G34" i="3"/>
  <c r="BA24" i="3"/>
  <c r="BL32" i="3"/>
  <c r="BL23" i="3"/>
  <c r="BA27" i="3"/>
  <c r="BA29" i="3"/>
  <c r="BL31" i="3"/>
  <c r="G28" i="3"/>
  <c r="G30" i="3"/>
  <c r="G32" i="3"/>
  <c r="BA22" i="3"/>
  <c r="BA21" i="3"/>
  <c r="AZ21" i="3" s="1"/>
  <c r="BA23" i="3"/>
  <c r="AZ23" i="3" s="1"/>
  <c r="G27" i="3"/>
  <c r="BL28" i="3"/>
  <c r="G29" i="3"/>
  <c r="BA32" i="3"/>
  <c r="BA33" i="3"/>
  <c r="BL33" i="3"/>
  <c r="A30" i="64"/>
  <c r="A30" i="51"/>
  <c r="B22" i="63" s="1"/>
  <c r="F9" i="1"/>
  <c r="AP16" i="1"/>
  <c r="F6" i="1"/>
  <c r="C12" i="39"/>
  <c r="F12" i="1"/>
  <c r="F10" i="1"/>
  <c r="F11" i="1"/>
  <c r="W29" i="39"/>
  <c r="AB29" i="39"/>
  <c r="H126" i="39"/>
  <c r="I126" i="39" s="1"/>
  <c r="J126" i="39" s="1"/>
  <c r="K126" i="39" s="1"/>
  <c r="L126" i="39" s="1"/>
  <c r="M126" i="39" s="1"/>
  <c r="J43" i="39"/>
  <c r="AA42" i="39"/>
  <c r="S42" i="39"/>
  <c r="H42" i="39"/>
  <c r="AB42" i="39" s="1"/>
  <c r="J42" i="39"/>
  <c r="AC42" i="39" s="1"/>
  <c r="H34" i="39"/>
  <c r="H109" i="39"/>
  <c r="I109" i="39" s="1"/>
  <c r="J109" i="39" s="1"/>
  <c r="K109" i="39" s="1"/>
  <c r="L109" i="39" s="1"/>
  <c r="M109" i="39" s="1"/>
  <c r="F34" i="39"/>
  <c r="AA34" i="39" s="1"/>
  <c r="J34" i="39"/>
  <c r="AC34" i="39" s="1"/>
  <c r="F101" i="39"/>
  <c r="G101" i="39" s="1"/>
  <c r="H27" i="39"/>
  <c r="F27" i="39"/>
  <c r="J27" i="39"/>
  <c r="F95" i="39"/>
  <c r="F21" i="39"/>
  <c r="J21" i="39"/>
  <c r="F93" i="39"/>
  <c r="J19" i="39" s="1"/>
  <c r="U31" i="39"/>
  <c r="AB31" i="39"/>
  <c r="AA25" i="39"/>
  <c r="AA37" i="39"/>
  <c r="AB23" i="39"/>
  <c r="M20" i="15"/>
  <c r="D96" i="9"/>
  <c r="F28" i="15"/>
  <c r="C28" i="15" s="1"/>
  <c r="M18" i="15"/>
  <c r="F29" i="12"/>
  <c r="G22" i="3"/>
  <c r="BL22" i="3"/>
  <c r="AZ22" i="3" s="1"/>
  <c r="G23" i="3"/>
  <c r="BL24" i="3"/>
  <c r="G25" i="3"/>
  <c r="AZ26" i="3"/>
  <c r="BL27" i="3"/>
  <c r="AZ28" i="3"/>
  <c r="BL29" i="3"/>
  <c r="AZ30" i="3"/>
  <c r="G33" i="3"/>
  <c r="AZ24" i="3"/>
  <c r="BA25" i="3"/>
  <c r="BA31" i="3"/>
  <c r="AZ31" i="3" s="1"/>
  <c r="G15" i="3"/>
  <c r="AZ27" i="3"/>
  <c r="AZ29" i="3"/>
  <c r="AZ33" i="3"/>
  <c r="N6" i="46"/>
  <c r="M11" i="46"/>
  <c r="N2" i="46"/>
  <c r="M6" i="46"/>
  <c r="H22" i="46"/>
  <c r="H8" i="48"/>
  <c r="H16" i="48"/>
  <c r="F35" i="46"/>
  <c r="H17" i="46"/>
  <c r="H7" i="48"/>
  <c r="A18" i="64"/>
  <c r="B74" i="63" s="1"/>
  <c r="C53" i="10"/>
  <c r="A25" i="64" s="1"/>
  <c r="A18" i="51"/>
  <c r="B14" i="63" s="1"/>
  <c r="A11" i="55"/>
  <c r="B62" i="63" s="1"/>
  <c r="M20" i="46"/>
  <c r="C19" i="46"/>
  <c r="BA16" i="3"/>
  <c r="BA17" i="3"/>
  <c r="K1" i="43"/>
  <c r="K1" i="12"/>
  <c r="G1" i="44"/>
  <c r="AZ15" i="3"/>
  <c r="AZ17" i="3"/>
  <c r="BK5" i="3"/>
  <c r="BO5" i="3"/>
  <c r="BP5" i="3"/>
  <c r="BN5" i="3"/>
  <c r="BL18" i="3"/>
  <c r="BD5" i="3"/>
  <c r="BR5" i="3"/>
  <c r="G31" i="6" s="1"/>
  <c r="BS5" i="3"/>
  <c r="BQ5" i="3"/>
  <c r="BL16" i="3"/>
  <c r="BL5" i="3" s="1"/>
  <c r="BM5" i="3"/>
  <c r="BA13" i="3"/>
  <c r="H48" i="46"/>
  <c r="H52" i="46"/>
  <c r="H53" i="46"/>
  <c r="B43"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B56" i="46" s="1"/>
  <c r="C24" i="46" s="1"/>
  <c r="C10" i="15"/>
  <c r="C52" i="15"/>
  <c r="A4" i="64"/>
  <c r="A4" i="51"/>
  <c r="B6" i="63" s="1"/>
  <c r="C51" i="10"/>
  <c r="H58" i="46"/>
  <c r="H61" i="46"/>
  <c r="H62" i="46"/>
  <c r="H75" i="46"/>
  <c r="I100" i="46"/>
  <c r="N100" i="46"/>
  <c r="H100" i="46"/>
  <c r="F108" i="46"/>
  <c r="H80" i="46"/>
  <c r="B45" i="46"/>
  <c r="AA11" i="46"/>
  <c r="AA13" i="46" s="1"/>
  <c r="AC11" i="46"/>
  <c r="AC13" i="46" s="1"/>
  <c r="AE11" i="46"/>
  <c r="AE13" i="46" s="1"/>
  <c r="AG11" i="46"/>
  <c r="AG13" i="46" s="1"/>
  <c r="AI11" i="46"/>
  <c r="AI13" i="46" s="1"/>
  <c r="Y11" i="46"/>
  <c r="Y13" i="46" s="1"/>
  <c r="S6" i="46"/>
  <c r="S4" i="46"/>
  <c r="S2" i="46"/>
  <c r="Z11" i="46"/>
  <c r="Z13" i="46" s="1"/>
  <c r="AB11" i="46"/>
  <c r="AB13" i="46" s="1"/>
  <c r="AD11" i="46"/>
  <c r="AD13" i="46" s="1"/>
  <c r="AF11" i="46"/>
  <c r="AF13" i="46" s="1"/>
  <c r="AH11" i="46"/>
  <c r="AH13" i="46" s="1"/>
  <c r="AJ11" i="46"/>
  <c r="AJ13" i="46" s="1"/>
  <c r="S7" i="46"/>
  <c r="S5" i="46"/>
  <c r="S3"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B6" i="1"/>
  <c r="E6" i="1" s="1"/>
  <c r="B10" i="1"/>
  <c r="E10" i="1" s="1"/>
  <c r="B8" i="1"/>
  <c r="E8" i="1" s="1"/>
  <c r="E12" i="1"/>
  <c r="G1" i="15"/>
  <c r="F66" i="36"/>
  <c r="H18"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42" i="33"/>
  <c r="AB14" i="33"/>
  <c r="S26" i="33"/>
  <c r="AB12" i="33"/>
  <c r="S9" i="33"/>
  <c r="S39" i="21"/>
  <c r="AB25" i="21"/>
  <c r="AB45" i="21"/>
  <c r="W25" i="21"/>
  <c r="AA25" i="21"/>
  <c r="AC37" i="21"/>
  <c r="AA29" i="21"/>
  <c r="U27" i="21"/>
  <c r="W31" i="21"/>
  <c r="S27" i="21"/>
  <c r="AA15" i="21"/>
  <c r="AC27" i="21"/>
  <c r="W29" i="21"/>
  <c r="G96" i="40"/>
  <c r="J27" i="40"/>
  <c r="W37" i="40"/>
  <c r="S17" i="40"/>
  <c r="S34" i="40"/>
  <c r="U17" i="40"/>
  <c r="U38" i="40"/>
  <c r="S40" i="40"/>
  <c r="S42" i="40"/>
  <c r="G105" i="39"/>
  <c r="J31" i="39"/>
  <c r="S45" i="39"/>
  <c r="W41" i="39"/>
  <c r="AB43" i="39"/>
  <c r="AB33" i="39"/>
  <c r="AC46" i="39"/>
  <c r="S34"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C35" i="44"/>
  <c r="M6" i="15"/>
  <c r="F10" i="44"/>
  <c r="M27" i="15"/>
  <c r="F40" i="15"/>
  <c r="J36" i="15"/>
  <c r="F43" i="15"/>
  <c r="M26" i="44"/>
  <c r="M25" i="44"/>
  <c r="M28" i="44"/>
  <c r="J17" i="44"/>
  <c r="M29" i="15"/>
  <c r="F38" i="15"/>
  <c r="L48" i="15"/>
  <c r="F39" i="44"/>
  <c r="F11" i="44"/>
  <c r="F16" i="15"/>
  <c r="F7" i="15"/>
  <c r="F8" i="44"/>
  <c r="M8" i="44"/>
  <c r="F6" i="15"/>
  <c r="F9" i="44"/>
  <c r="F9" i="15"/>
  <c r="F42" i="15"/>
  <c r="M22" i="15"/>
  <c r="F28" i="44"/>
  <c r="J15" i="15"/>
  <c r="L47" i="15"/>
  <c r="F18" i="44"/>
  <c r="F26" i="15"/>
  <c r="M11" i="44"/>
  <c r="M23" i="15"/>
  <c r="M28" i="15"/>
  <c r="F38" i="44"/>
  <c r="F45" i="44"/>
  <c r="F8" i="15"/>
  <c r="M10" i="44"/>
  <c r="F43" i="44"/>
  <c r="M29" i="44"/>
  <c r="M24" i="15"/>
  <c r="F40" i="44"/>
  <c r="M24" i="44"/>
  <c r="M9" i="15"/>
  <c r="M8" i="15"/>
  <c r="M31" i="44"/>
  <c r="M26" i="15"/>
  <c r="F15" i="44"/>
  <c r="F13" i="15"/>
  <c r="F36" i="15"/>
  <c r="M30" i="44"/>
  <c r="F37" i="15"/>
  <c r="C16" i="46" l="1"/>
  <c r="C5" i="46" s="1"/>
  <c r="T6" i="46" s="1"/>
  <c r="V6" i="46" s="1"/>
  <c r="C109" i="46"/>
  <c r="D105" i="46"/>
  <c r="AZ18" i="3"/>
  <c r="I109" i="46"/>
  <c r="M109" i="46"/>
  <c r="M102" i="46"/>
  <c r="D104" i="46"/>
  <c r="L105" i="46"/>
  <c r="I107" i="46"/>
  <c r="H109" i="46"/>
  <c r="D107" i="46"/>
  <c r="L102" i="46"/>
  <c r="C103" i="46"/>
  <c r="J109" i="46"/>
  <c r="I104" i="46"/>
  <c r="L107" i="46"/>
  <c r="J103" i="46"/>
  <c r="H105" i="46"/>
  <c r="D109" i="46"/>
  <c r="M103" i="46"/>
  <c r="D103" i="46"/>
  <c r="H102" i="46"/>
  <c r="D106" i="46"/>
  <c r="H107" i="46"/>
  <c r="M105" i="46"/>
  <c r="E109" i="46"/>
  <c r="I106" i="46"/>
  <c r="E106" i="46"/>
  <c r="I102" i="46"/>
  <c r="E103" i="46"/>
  <c r="I103" i="46"/>
  <c r="G103" i="46"/>
  <c r="B115" i="46"/>
  <c r="C115" i="46" s="1"/>
  <c r="D22" i="46"/>
  <c r="M106" i="46"/>
  <c r="H103" i="46"/>
  <c r="H106" i="46"/>
  <c r="M104" i="46"/>
  <c r="E102" i="46"/>
  <c r="L103" i="46"/>
  <c r="E105" i="46"/>
  <c r="L104" i="46"/>
  <c r="L109" i="46"/>
  <c r="E107" i="46"/>
  <c r="N109" i="46"/>
  <c r="G109" i="46"/>
  <c r="D118" i="46"/>
  <c r="E118" i="46" s="1"/>
  <c r="F118" i="46" s="1"/>
  <c r="B118" i="46"/>
  <c r="C118" i="46" s="1"/>
  <c r="S15" i="33"/>
  <c r="AA19" i="33"/>
  <c r="U37" i="33"/>
  <c r="AB18" i="36"/>
  <c r="U18" i="36"/>
  <c r="H76" i="46"/>
  <c r="AZ25" i="3"/>
  <c r="AZ32" i="3"/>
  <c r="U25" i="33"/>
  <c r="AA7" i="68"/>
  <c r="R48" i="68" s="1"/>
  <c r="S7" i="68"/>
  <c r="U33" i="34"/>
  <c r="AB33" i="34"/>
  <c r="S12" i="33"/>
  <c r="AA12" i="33"/>
  <c r="AA19" i="21"/>
  <c r="S19" i="21"/>
  <c r="AA19" i="40"/>
  <c r="S19" i="40"/>
  <c r="AC11" i="37"/>
  <c r="W11" i="37"/>
  <c r="G7" i="21"/>
  <c r="I7" i="21"/>
  <c r="AA16" i="36"/>
  <c r="S16" i="36"/>
  <c r="W27" i="33"/>
  <c r="AC27" i="33"/>
  <c r="U42" i="21"/>
  <c r="AB42" i="21"/>
  <c r="W23" i="21"/>
  <c r="AC23" i="21"/>
  <c r="AA33" i="37"/>
  <c r="S33" i="37"/>
  <c r="AB37" i="40"/>
  <c r="U37" i="40"/>
  <c r="AC20" i="36"/>
  <c r="W20" i="36"/>
  <c r="U14" i="36"/>
  <c r="AB14" i="36"/>
  <c r="AC39" i="40"/>
  <c r="W39" i="40"/>
  <c r="AC27" i="40"/>
  <c r="W27" i="40"/>
  <c r="C23" i="46"/>
  <c r="C21" i="46" s="1"/>
  <c r="C29" i="46" s="1"/>
  <c r="E29" i="46" s="1"/>
  <c r="U7" i="68"/>
  <c r="AB7" i="68"/>
  <c r="T48" i="68" s="1"/>
  <c r="G48" i="68" s="1"/>
  <c r="AC7" i="68"/>
  <c r="V48" i="68" s="1"/>
  <c r="I48" i="68" s="1"/>
  <c r="W7" i="68"/>
  <c r="H30" i="40"/>
  <c r="G100" i="40"/>
  <c r="G24" i="6"/>
  <c r="E59" i="39"/>
  <c r="B26" i="31"/>
  <c r="W19" i="21"/>
  <c r="AC19" i="21"/>
  <c r="AA35" i="37"/>
  <c r="S35" i="37"/>
  <c r="U25" i="34"/>
  <c r="AB25" i="34"/>
  <c r="W25" i="34"/>
  <c r="AC25" i="34"/>
  <c r="S20" i="35"/>
  <c r="AA20" i="35"/>
  <c r="S28" i="36"/>
  <c r="AA28" i="36"/>
  <c r="G64" i="36"/>
  <c r="H16" i="36"/>
  <c r="W10" i="36"/>
  <c r="AC10" i="36"/>
  <c r="H27" i="33"/>
  <c r="S23" i="21"/>
  <c r="AA23" i="21"/>
  <c r="AB35" i="37"/>
  <c r="U35" i="37"/>
  <c r="W13" i="40"/>
  <c r="AC13" i="40"/>
  <c r="AA37" i="40"/>
  <c r="S37" i="40"/>
  <c r="U20" i="36"/>
  <c r="AB20" i="36"/>
  <c r="G68" i="36"/>
  <c r="F20" i="36"/>
  <c r="AC14" i="36"/>
  <c r="W14" i="36"/>
  <c r="AA25" i="40"/>
  <c r="S25" i="40"/>
  <c r="F102" i="46"/>
  <c r="F105" i="46"/>
  <c r="F107" i="46"/>
  <c r="F103" i="46"/>
  <c r="N102" i="46"/>
  <c r="N103" i="46"/>
  <c r="N107" i="46"/>
  <c r="N104" i="46"/>
  <c r="K106" i="46"/>
  <c r="K102" i="46"/>
  <c r="K107" i="46"/>
  <c r="K105" i="46"/>
  <c r="K109" i="46"/>
  <c r="F109" i="46"/>
  <c r="K103" i="46"/>
  <c r="N105" i="46"/>
  <c r="F104" i="46"/>
  <c r="I116" i="46"/>
  <c r="J116" i="46" s="1"/>
  <c r="K116" i="46" s="1"/>
  <c r="L116" i="46" s="1"/>
  <c r="M116" i="46" s="1"/>
  <c r="I118" i="46"/>
  <c r="J118" i="46" s="1"/>
  <c r="K118" i="46" s="1"/>
  <c r="L118" i="46" s="1"/>
  <c r="M118" i="46" s="1"/>
  <c r="I115" i="46"/>
  <c r="J115" i="46" s="1"/>
  <c r="K115" i="46" s="1"/>
  <c r="L115" i="46" s="1"/>
  <c r="M115" i="46" s="1"/>
  <c r="I117" i="46"/>
  <c r="J117" i="46" s="1"/>
  <c r="K117" i="46" s="1"/>
  <c r="L117" i="46" s="1"/>
  <c r="M117" i="46" s="1"/>
  <c r="B117" i="46"/>
  <c r="C117" i="46" s="1"/>
  <c r="G118" i="46"/>
  <c r="H118" i="46" s="1"/>
  <c r="B116" i="46"/>
  <c r="C116" i="46" s="1"/>
  <c r="D116" i="46"/>
  <c r="J104" i="46"/>
  <c r="J107" i="46"/>
  <c r="J105" i="46"/>
  <c r="J102" i="46"/>
  <c r="G104" i="46"/>
  <c r="G102" i="46"/>
  <c r="G107" i="46"/>
  <c r="G106" i="46"/>
  <c r="C106" i="46"/>
  <c r="C105" i="46"/>
  <c r="C107" i="46"/>
  <c r="C102" i="46"/>
  <c r="AA28" i="35"/>
  <c r="S28" i="35"/>
  <c r="S35" i="34"/>
  <c r="AA35" i="34"/>
  <c r="U28" i="35"/>
  <c r="AB28" i="35"/>
  <c r="AA43" i="34"/>
  <c r="S43" i="34"/>
  <c r="U43" i="34"/>
  <c r="AB43" i="34"/>
  <c r="AC43" i="34"/>
  <c r="W43" i="34"/>
  <c r="AA37" i="34"/>
  <c r="S37" i="34"/>
  <c r="AC37" i="34"/>
  <c r="W37" i="34"/>
  <c r="AB37" i="34"/>
  <c r="U37" i="34"/>
  <c r="S40" i="34"/>
  <c r="AA40" i="34"/>
  <c r="U40" i="34"/>
  <c r="AB40" i="34"/>
  <c r="AA23" i="34"/>
  <c r="S23" i="34"/>
  <c r="AB23" i="34"/>
  <c r="U23" i="34"/>
  <c r="AC23" i="34"/>
  <c r="W23" i="34"/>
  <c r="G70" i="34"/>
  <c r="J11" i="34" s="1"/>
  <c r="W28" i="35"/>
  <c r="AC28" i="35"/>
  <c r="E24" i="6"/>
  <c r="E21" i="6"/>
  <c r="E35" i="6"/>
  <c r="D3" i="21"/>
  <c r="C9" i="12"/>
  <c r="K14" i="1"/>
  <c r="M14" i="1" s="1"/>
  <c r="O14" i="1" s="1"/>
  <c r="P14" i="1" s="1"/>
  <c r="K9" i="12"/>
  <c r="M15" i="12" s="1"/>
  <c r="M15" i="1"/>
  <c r="O15" i="1" s="1"/>
  <c r="P15" i="1" s="1"/>
  <c r="F3" i="35"/>
  <c r="AA29" i="35"/>
  <c r="S29" i="35"/>
  <c r="H29" i="35"/>
  <c r="H87" i="35"/>
  <c r="I87" i="35" s="1"/>
  <c r="J87" i="35" s="1"/>
  <c r="K87" i="35" s="1"/>
  <c r="L87" i="35" s="1"/>
  <c r="M87" i="35" s="1"/>
  <c r="J29" i="35"/>
  <c r="AC42" i="33"/>
  <c r="W42" i="33"/>
  <c r="AC38" i="33"/>
  <c r="W38" i="33"/>
  <c r="AA39" i="33"/>
  <c r="S39" i="33"/>
  <c r="AC34" i="33"/>
  <c r="W34" i="33"/>
  <c r="U39" i="33"/>
  <c r="AA38" i="33"/>
  <c r="S38" i="33"/>
  <c r="W37" i="33"/>
  <c r="AC37" i="33"/>
  <c r="S34" i="33"/>
  <c r="AA34" i="33"/>
  <c r="W36" i="33"/>
  <c r="AC36" i="33"/>
  <c r="S36" i="33"/>
  <c r="AA36" i="33"/>
  <c r="S32" i="33"/>
  <c r="W32" i="33"/>
  <c r="AC32" i="33"/>
  <c r="AB32" i="33"/>
  <c r="U32" i="33"/>
  <c r="AA25" i="33"/>
  <c r="S25" i="33"/>
  <c r="U23" i="33"/>
  <c r="AB23" i="33"/>
  <c r="AC23" i="33"/>
  <c r="W23" i="33"/>
  <c r="S23" i="33"/>
  <c r="AA23" i="33"/>
  <c r="U17" i="33"/>
  <c r="AB17" i="33"/>
  <c r="AB15" i="33"/>
  <c r="AC15" i="33"/>
  <c r="W15" i="33"/>
  <c r="U11" i="33"/>
  <c r="AB11" i="33"/>
  <c r="S11" i="33"/>
  <c r="AA11" i="33"/>
  <c r="AC11" i="33"/>
  <c r="W11" i="33"/>
  <c r="U37" i="21"/>
  <c r="AB37" i="21"/>
  <c r="S37" i="21"/>
  <c r="AA37" i="21"/>
  <c r="W15" i="21"/>
  <c r="AC15" i="21"/>
  <c r="AB11" i="21"/>
  <c r="F11" i="21"/>
  <c r="J11" i="21"/>
  <c r="H69" i="21"/>
  <c r="I69" i="21" s="1"/>
  <c r="J69" i="21" s="1"/>
  <c r="K69" i="21" s="1"/>
  <c r="L69" i="21" s="1"/>
  <c r="M69" i="21" s="1"/>
  <c r="W26" i="35"/>
  <c r="AC26" i="35"/>
  <c r="AA26" i="35"/>
  <c r="S26" i="35"/>
  <c r="U26" i="35"/>
  <c r="AB26" i="35"/>
  <c r="H13" i="39"/>
  <c r="J13" i="39"/>
  <c r="F13" i="39"/>
  <c r="AP10" i="1"/>
  <c r="G10" i="1"/>
  <c r="B73" i="39"/>
  <c r="G11" i="1"/>
  <c r="AP11" i="1"/>
  <c r="AP12" i="1"/>
  <c r="G12" i="1"/>
  <c r="AC43" i="39"/>
  <c r="W43" i="39"/>
  <c r="W42" i="39"/>
  <c r="AB34" i="39"/>
  <c r="U34" i="39"/>
  <c r="AC27" i="39"/>
  <c r="W27" i="39"/>
  <c r="AB27" i="39"/>
  <c r="U27" i="39"/>
  <c r="S27" i="39"/>
  <c r="AA27" i="39"/>
  <c r="S21" i="39"/>
  <c r="AA21" i="39"/>
  <c r="W21" i="39"/>
  <c r="AC21" i="39"/>
  <c r="H21" i="39"/>
  <c r="G95" i="39"/>
  <c r="AC19" i="39"/>
  <c r="W19" i="39"/>
  <c r="G93" i="39"/>
  <c r="H19" i="39"/>
  <c r="F19" i="39"/>
  <c r="AC31" i="39"/>
  <c r="W31" i="39"/>
  <c r="F32" i="6"/>
  <c r="F31" i="6"/>
  <c r="A17" i="51"/>
  <c r="B13" i="63" s="1"/>
  <c r="O6" i="1"/>
  <c r="P6" i="1" s="1"/>
  <c r="C8" i="44"/>
  <c r="C7" i="44" s="1"/>
  <c r="M9" i="44"/>
  <c r="J8" i="44" s="1"/>
  <c r="C29" i="44"/>
  <c r="AZ13" i="3"/>
  <c r="G32" i="6"/>
  <c r="G33" i="6" s="1"/>
  <c r="AZ16" i="3"/>
  <c r="F33" i="6"/>
  <c r="E31" i="6"/>
  <c r="H70" i="46"/>
  <c r="H72" i="46"/>
  <c r="F24" i="15"/>
  <c r="C24" i="15" s="1"/>
  <c r="F26" i="44"/>
  <c r="C26" i="44" s="1"/>
  <c r="F26" i="12"/>
  <c r="F21" i="43"/>
  <c r="C23" i="43" s="1"/>
  <c r="D21" i="43" s="1"/>
  <c r="A9" i="64"/>
  <c r="A9" i="51"/>
  <c r="B9" i="63" s="1"/>
  <c r="T4" i="46"/>
  <c r="V4" i="46" s="1"/>
  <c r="T8" i="46"/>
  <c r="V8" i="46" s="1"/>
  <c r="T12" i="46"/>
  <c r="V12" i="46" s="1"/>
  <c r="T16" i="46"/>
  <c r="V16" i="46" s="1"/>
  <c r="T5" i="46"/>
  <c r="V5" i="46" s="1"/>
  <c r="T9" i="46"/>
  <c r="V9" i="46" s="1"/>
  <c r="T13" i="46"/>
  <c r="V13" i="46" s="1"/>
  <c r="T2" i="46"/>
  <c r="V2" i="46" s="1"/>
  <c r="C35" i="46"/>
  <c r="E35"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W7" i="35" s="1"/>
  <c r="H7" i="35"/>
  <c r="AB7" i="35" s="1"/>
  <c r="E46" i="36"/>
  <c r="F46" i="36" s="1"/>
  <c r="G46" i="36" s="1"/>
  <c r="H46" i="36" s="1"/>
  <c r="I46" i="36" s="1"/>
  <c r="J46" i="36" s="1"/>
  <c r="K46" i="36" s="1"/>
  <c r="L46" i="36" s="1"/>
  <c r="M46" i="36" s="1"/>
  <c r="N46" i="36" s="1"/>
  <c r="O46" i="36" s="1"/>
  <c r="F7" i="36"/>
  <c r="H7" i="36"/>
  <c r="AB7" i="36" s="1"/>
  <c r="T36" i="36" s="1"/>
  <c r="G36" i="36" s="1"/>
  <c r="J7" i="36"/>
  <c r="W7" i="36" s="1"/>
  <c r="U7" i="36"/>
  <c r="U7" i="34"/>
  <c r="D72" i="39"/>
  <c r="E70" i="39"/>
  <c r="U7" i="37"/>
  <c r="AB7" i="37"/>
  <c r="T42" i="37" s="1"/>
  <c r="G42" i="37" s="1"/>
  <c r="AA7" i="37"/>
  <c r="R42" i="37" s="1"/>
  <c r="S7" i="37"/>
  <c r="W7" i="33"/>
  <c r="AC7" i="33"/>
  <c r="U7" i="33"/>
  <c r="AB7" i="33"/>
  <c r="D67" i="40"/>
  <c r="E65" i="40"/>
  <c r="S7" i="33"/>
  <c r="AA7" i="33"/>
  <c r="C39" i="46"/>
  <c r="G39" i="46" s="1"/>
  <c r="I39" i="46" s="1"/>
  <c r="C33" i="46"/>
  <c r="G33" i="46" s="1"/>
  <c r="I33" i="46" s="1"/>
  <c r="E4" i="4"/>
  <c r="C4" i="4"/>
  <c r="F64" i="15"/>
  <c r="C27" i="15"/>
  <c r="L58" i="15"/>
  <c r="Q74" i="15" s="1"/>
  <c r="L59" i="15"/>
  <c r="Q75" i="15" s="1"/>
  <c r="Q72" i="15"/>
  <c r="F50" i="15"/>
  <c r="F63" i="15"/>
  <c r="F67" i="15"/>
  <c r="M7" i="15"/>
  <c r="J6" i="15" s="1"/>
  <c r="F49" i="15"/>
  <c r="F70" i="15"/>
  <c r="C6" i="15"/>
  <c r="J60" i="15"/>
  <c r="Q49" i="15" s="1"/>
  <c r="K53" i="15"/>
  <c r="J59" i="15"/>
  <c r="L56" i="15"/>
  <c r="J53" i="15"/>
  <c r="F1" i="15" s="1"/>
  <c r="J57" i="15"/>
  <c r="F65" i="15"/>
  <c r="G66" i="36"/>
  <c r="J18" i="36"/>
  <c r="G40" i="36"/>
  <c r="H40" i="36" s="1"/>
  <c r="E42" i="37"/>
  <c r="AE8" i="1"/>
  <c r="AE6" i="1"/>
  <c r="F41" i="15"/>
  <c r="F46" i="44"/>
  <c r="C18" i="44"/>
  <c r="C16" i="15"/>
  <c r="C37" i="46" l="1"/>
  <c r="G37" i="46" s="1"/>
  <c r="I37" i="46" s="1"/>
  <c r="C36" i="46"/>
  <c r="E36" i="46" s="1"/>
  <c r="C38" i="46"/>
  <c r="G38" i="46" s="1"/>
  <c r="I38" i="46" s="1"/>
  <c r="C34" i="46"/>
  <c r="E34" i="46" s="1"/>
  <c r="T15" i="46"/>
  <c r="V15" i="46" s="1"/>
  <c r="T11" i="46"/>
  <c r="V11" i="46" s="1"/>
  <c r="T7" i="46"/>
  <c r="V7" i="46" s="1"/>
  <c r="T3" i="46"/>
  <c r="V3" i="46" s="1"/>
  <c r="T14" i="46"/>
  <c r="V14" i="46" s="1"/>
  <c r="T10" i="46"/>
  <c r="V10" i="46" s="1"/>
  <c r="E116" i="46"/>
  <c r="F116" i="46" s="1"/>
  <c r="G116" i="46" s="1"/>
  <c r="H116" i="46" s="1"/>
  <c r="J12" i="44"/>
  <c r="J7" i="44" s="1"/>
  <c r="K10" i="12"/>
  <c r="R48" i="33"/>
  <c r="E48" i="33" s="1"/>
  <c r="V48" i="33"/>
  <c r="I48" i="33" s="1"/>
  <c r="I52" i="33" s="1"/>
  <c r="J52" i="33" s="1"/>
  <c r="AC18" i="36"/>
  <c r="W18" i="36"/>
  <c r="AC7" i="36"/>
  <c r="V36" i="36" s="1"/>
  <c r="I36" i="36" s="1"/>
  <c r="S20" i="36"/>
  <c r="AA20" i="36"/>
  <c r="U27" i="33"/>
  <c r="AB27" i="33"/>
  <c r="H100" i="40"/>
  <c r="I100" i="40" s="1"/>
  <c r="J100" i="40" s="1"/>
  <c r="K100" i="40" s="1"/>
  <c r="L100" i="40" s="1"/>
  <c r="M100" i="40" s="1"/>
  <c r="F30" i="40"/>
  <c r="J30" i="40"/>
  <c r="G53" i="68"/>
  <c r="H53" i="68" s="1"/>
  <c r="G52" i="68"/>
  <c r="H52" i="68" s="1"/>
  <c r="R49" i="68"/>
  <c r="E48" i="68"/>
  <c r="I53" i="68" s="1"/>
  <c r="J53" i="68" s="1"/>
  <c r="T48" i="33"/>
  <c r="G48" i="33" s="1"/>
  <c r="AB16" i="36"/>
  <c r="U16" i="36"/>
  <c r="E60" i="39"/>
  <c r="B27" i="31"/>
  <c r="AB30" i="40"/>
  <c r="U30" i="40"/>
  <c r="I52" i="68"/>
  <c r="J52" i="68" s="1"/>
  <c r="G25" i="6"/>
  <c r="G30" i="6" s="1"/>
  <c r="G34" i="6" s="1"/>
  <c r="H70" i="34"/>
  <c r="I70" i="34" s="1"/>
  <c r="J70" i="34" s="1"/>
  <c r="K70" i="34" s="1"/>
  <c r="L70" i="34" s="1"/>
  <c r="M70" i="34" s="1"/>
  <c r="H11" i="34"/>
  <c r="F11" i="34"/>
  <c r="AC11" i="34"/>
  <c r="W11" i="34"/>
  <c r="C27" i="31"/>
  <c r="K8" i="1"/>
  <c r="D3" i="33"/>
  <c r="E9" i="12"/>
  <c r="B25" i="31"/>
  <c r="C25" i="31" s="1"/>
  <c r="E22" i="6"/>
  <c r="AC29" i="35"/>
  <c r="W29" i="35"/>
  <c r="AB29" i="35"/>
  <c r="T38" i="35" s="1"/>
  <c r="G38" i="35" s="1"/>
  <c r="U29" i="35"/>
  <c r="AC7" i="35"/>
  <c r="V38" i="35" s="1"/>
  <c r="I38" i="35" s="1"/>
  <c r="U7" i="35"/>
  <c r="S11" i="21"/>
  <c r="AA11" i="21"/>
  <c r="W11" i="21"/>
  <c r="AC11" i="21"/>
  <c r="W13" i="39"/>
  <c r="AC13" i="39"/>
  <c r="S13" i="39"/>
  <c r="AA13" i="39"/>
  <c r="U13" i="39"/>
  <c r="AB13" i="39"/>
  <c r="AB21" i="39"/>
  <c r="U21" i="39"/>
  <c r="U19" i="39"/>
  <c r="AB19" i="39"/>
  <c r="S19" i="39"/>
  <c r="AA19" i="39"/>
  <c r="AG6" i="1"/>
  <c r="F68" i="15"/>
  <c r="C27" i="12"/>
  <c r="D26" i="12" s="1"/>
  <c r="E32" i="6"/>
  <c r="L20" i="6" s="1"/>
  <c r="K17" i="1"/>
  <c r="E33" i="6"/>
  <c r="K18" i="1"/>
  <c r="E37" i="46"/>
  <c r="G35" i="46"/>
  <c r="I35" i="46" s="1"/>
  <c r="E38" i="46"/>
  <c r="G36" i="46"/>
  <c r="I36" i="46" s="1"/>
  <c r="E33" i="46"/>
  <c r="C30" i="46"/>
  <c r="E30" i="46" s="1"/>
  <c r="B21" i="55"/>
  <c r="B72" i="63" s="1"/>
  <c r="B20" i="55"/>
  <c r="B70" i="63" s="1"/>
  <c r="S7" i="36"/>
  <c r="AA7" i="36"/>
  <c r="R36" i="36" s="1"/>
  <c r="E36" i="36" s="1"/>
  <c r="S7" i="35"/>
  <c r="AA7" i="35"/>
  <c r="R38" i="35" s="1"/>
  <c r="W7" i="34"/>
  <c r="AC7" i="34"/>
  <c r="V49" i="34" s="1"/>
  <c r="I49" i="34" s="1"/>
  <c r="I53" i="34" s="1"/>
  <c r="J53" i="34" s="1"/>
  <c r="S7" i="34"/>
  <c r="AA7" i="34"/>
  <c r="AC7" i="37"/>
  <c r="V42" i="37" s="1"/>
  <c r="I42" i="37" s="1"/>
  <c r="I46" i="37" s="1"/>
  <c r="J46" i="37" s="1"/>
  <c r="W7" i="37"/>
  <c r="F7" i="21"/>
  <c r="J7" i="21"/>
  <c r="H7" i="21"/>
  <c r="I42" i="35"/>
  <c r="J42" i="35" s="1"/>
  <c r="G52" i="33"/>
  <c r="H52" i="33" s="1"/>
  <c r="G53" i="33"/>
  <c r="H53" i="33" s="1"/>
  <c r="G47" i="37"/>
  <c r="H47" i="37" s="1"/>
  <c r="G46" i="37"/>
  <c r="H46" i="37" s="1"/>
  <c r="E67" i="40"/>
  <c r="F65" i="40"/>
  <c r="E72" i="39"/>
  <c r="F70" i="39"/>
  <c r="E39" i="46"/>
  <c r="C5" i="15"/>
  <c r="C34" i="44"/>
  <c r="C40" i="44"/>
  <c r="Q61" i="15"/>
  <c r="J5" i="15"/>
  <c r="J18" i="15" s="1"/>
  <c r="Q62" i="15"/>
  <c r="Q53" i="15"/>
  <c r="C48" i="15"/>
  <c r="E40" i="36"/>
  <c r="F40" i="36" s="1"/>
  <c r="E41" i="36"/>
  <c r="F41" i="36" s="1"/>
  <c r="I41" i="36"/>
  <c r="J41" i="36" s="1"/>
  <c r="E46" i="37"/>
  <c r="F46" i="37" s="1"/>
  <c r="E47" i="37"/>
  <c r="F47" i="37" s="1"/>
  <c r="I47" i="37"/>
  <c r="J47" i="37" s="1"/>
  <c r="E52" i="33"/>
  <c r="F52" i="33" s="1"/>
  <c r="E53" i="33"/>
  <c r="F53" i="33" s="1"/>
  <c r="I53" i="33"/>
  <c r="J53" i="33" s="1"/>
  <c r="G34" i="46" l="1"/>
  <c r="I34" i="46" s="1"/>
  <c r="D113" i="46"/>
  <c r="J22" i="46" s="1"/>
  <c r="R49" i="33"/>
  <c r="R37" i="36"/>
  <c r="B28" i="31"/>
  <c r="C28" i="31" s="1"/>
  <c r="E61" i="39"/>
  <c r="E25" i="6"/>
  <c r="C49" i="68"/>
  <c r="B3" i="68" s="1"/>
  <c r="C48" i="68"/>
  <c r="S30" i="40"/>
  <c r="AA30" i="40"/>
  <c r="E53" i="68"/>
  <c r="F53" i="68" s="1"/>
  <c r="E52" i="68"/>
  <c r="F52" i="68" s="1"/>
  <c r="AC30" i="40"/>
  <c r="W30" i="40"/>
  <c r="G41" i="36"/>
  <c r="H41" i="36" s="1"/>
  <c r="I40" i="36"/>
  <c r="J40" i="36" s="1"/>
  <c r="AB11" i="34"/>
  <c r="T49" i="34" s="1"/>
  <c r="G49" i="34" s="1"/>
  <c r="G53" i="34" s="1"/>
  <c r="H53" i="34" s="1"/>
  <c r="U11" i="34"/>
  <c r="AA11" i="34"/>
  <c r="R49" i="34" s="1"/>
  <c r="E49" i="34" s="1"/>
  <c r="S11" i="34"/>
  <c r="F9" i="12"/>
  <c r="K9" i="1"/>
  <c r="M9" i="1" s="1"/>
  <c r="O9" i="1" s="1"/>
  <c r="P9" i="1" s="1"/>
  <c r="M8" i="1"/>
  <c r="O8" i="1" s="1"/>
  <c r="P8" i="1" s="1"/>
  <c r="C26" i="31"/>
  <c r="E23" i="6"/>
  <c r="B22" i="31"/>
  <c r="G42" i="35"/>
  <c r="H42" i="35" s="1"/>
  <c r="G43" i="35"/>
  <c r="H43" i="35" s="1"/>
  <c r="R39" i="35"/>
  <c r="C38" i="35" s="1"/>
  <c r="L8" i="12" s="1"/>
  <c r="E38" i="35"/>
  <c r="I43" i="35" s="1"/>
  <c r="J43" i="35" s="1"/>
  <c r="L19" i="6"/>
  <c r="L30" i="6" s="1"/>
  <c r="C26" i="46"/>
  <c r="B2" i="46" s="1"/>
  <c r="B4" i="46" s="1"/>
  <c r="C32" i="12"/>
  <c r="D30" i="12" s="1"/>
  <c r="M17" i="1"/>
  <c r="R43" i="37"/>
  <c r="C27" i="46"/>
  <c r="C39" i="35"/>
  <c r="AC7" i="21"/>
  <c r="V48" i="21" s="1"/>
  <c r="I48" i="21" s="1"/>
  <c r="W7" i="21"/>
  <c r="U7" i="21"/>
  <c r="AB7" i="21"/>
  <c r="T48" i="21" s="1"/>
  <c r="G48" i="21" s="1"/>
  <c r="S7" i="21"/>
  <c r="AA7" i="21"/>
  <c r="R48" i="21" s="1"/>
  <c r="F72" i="39"/>
  <c r="G70" i="39"/>
  <c r="F67" i="40"/>
  <c r="G65" i="40"/>
  <c r="J24" i="15"/>
  <c r="C32" i="15"/>
  <c r="C38" i="15"/>
  <c r="J20" i="44"/>
  <c r="J26" i="44"/>
  <c r="E42" i="35"/>
  <c r="F42" i="35" s="1"/>
  <c r="C17" i="15"/>
  <c r="C19" i="44"/>
  <c r="C48" i="33" l="1"/>
  <c r="R24" i="31" s="1"/>
  <c r="C49" i="33"/>
  <c r="B3" i="33" s="1"/>
  <c r="B2" i="33" s="1"/>
  <c r="R26" i="31"/>
  <c r="G8" i="12" s="1"/>
  <c r="C37" i="36"/>
  <c r="B3" i="36" s="1"/>
  <c r="B2" i="36" s="1"/>
  <c r="C36" i="36"/>
  <c r="I9" i="12"/>
  <c r="K12" i="1"/>
  <c r="M12" i="1" s="1"/>
  <c r="O12" i="1" s="1"/>
  <c r="P12" i="1" s="1"/>
  <c r="K11" i="1"/>
  <c r="M11" i="1" s="1"/>
  <c r="O11" i="1" s="1"/>
  <c r="P11" i="1" s="1"/>
  <c r="H9" i="12"/>
  <c r="R50" i="34"/>
  <c r="C50" i="34" s="1"/>
  <c r="B3" i="34" s="1"/>
  <c r="B2" i="34" s="1"/>
  <c r="M10" i="12" s="1"/>
  <c r="G54" i="34"/>
  <c r="H54" i="34" s="1"/>
  <c r="G9" i="12"/>
  <c r="K10" i="1"/>
  <c r="E43" i="35"/>
  <c r="F43" i="35" s="1"/>
  <c r="S26" i="31"/>
  <c r="B3" i="46"/>
  <c r="D4" i="46"/>
  <c r="O17" i="1"/>
  <c r="C43" i="37"/>
  <c r="B3" i="37" s="1"/>
  <c r="B2" i="37" s="1"/>
  <c r="C42" i="37"/>
  <c r="C49" i="34"/>
  <c r="M8" i="12" s="1"/>
  <c r="E54" i="34"/>
  <c r="F54" i="34" s="1"/>
  <c r="I54" i="34"/>
  <c r="J54" i="34" s="1"/>
  <c r="E53" i="34"/>
  <c r="F53" i="34" s="1"/>
  <c r="I52" i="21"/>
  <c r="J52" i="21" s="1"/>
  <c r="E48" i="21"/>
  <c r="R49" i="21"/>
  <c r="G52" i="21"/>
  <c r="H52" i="21" s="1"/>
  <c r="G53" i="21"/>
  <c r="H53" i="21" s="1"/>
  <c r="G67" i="40"/>
  <c r="H65" i="40"/>
  <c r="G72" i="39"/>
  <c r="H70" i="39"/>
  <c r="C14" i="15"/>
  <c r="C16" i="44"/>
  <c r="S24" i="31" l="1"/>
  <c r="E10" i="12" s="1"/>
  <c r="R28" i="31"/>
  <c r="E8" i="12"/>
  <c r="R25" i="31"/>
  <c r="R27" i="31"/>
  <c r="M10" i="1"/>
  <c r="P17" i="1"/>
  <c r="C18" i="15"/>
  <c r="C15" i="15"/>
  <c r="C20" i="44"/>
  <c r="C17" i="44"/>
  <c r="E53" i="21"/>
  <c r="F53" i="21" s="1"/>
  <c r="E52" i="21"/>
  <c r="F52" i="21" s="1"/>
  <c r="C48" i="21"/>
  <c r="C49" i="21"/>
  <c r="B3" i="21" s="1"/>
  <c r="I53" i="21"/>
  <c r="J53" i="21" s="1"/>
  <c r="I70" i="39"/>
  <c r="H72" i="39"/>
  <c r="I65" i="40"/>
  <c r="H67" i="40"/>
  <c r="S27" i="31" l="1"/>
  <c r="H8" i="12"/>
  <c r="S25" i="31"/>
  <c r="F10" i="12" s="1"/>
  <c r="F8" i="12"/>
  <c r="I8" i="12"/>
  <c r="S28" i="31"/>
  <c r="I10" i="12" s="1"/>
  <c r="O10" i="1"/>
  <c r="B2" i="21"/>
  <c r="R24" i="69"/>
  <c r="C21" i="44"/>
  <c r="C22" i="44" s="1"/>
  <c r="C25" i="44" s="1"/>
  <c r="C19" i="15"/>
  <c r="J65" i="40"/>
  <c r="I67" i="40"/>
  <c r="J70" i="39"/>
  <c r="I72" i="39"/>
  <c r="C47" i="15"/>
  <c r="F35" i="15"/>
  <c r="M21" i="15"/>
  <c r="F37" i="44"/>
  <c r="M23" i="44"/>
  <c r="S22" i="31" l="1"/>
  <c r="H10" i="12"/>
  <c r="G10" i="12"/>
  <c r="P10" i="1"/>
  <c r="D8" i="12"/>
  <c r="J20" i="15"/>
  <c r="C36" i="44"/>
  <c r="C33" i="44" s="1"/>
  <c r="C34" i="15"/>
  <c r="F62" i="15"/>
  <c r="C61" i="15" s="1"/>
  <c r="J22" i="44"/>
  <c r="C20" i="15"/>
  <c r="C23" i="15" s="1"/>
  <c r="C28" i="44"/>
  <c r="C31" i="44" s="1"/>
  <c r="K70" i="39"/>
  <c r="J72" i="39"/>
  <c r="K65" i="40"/>
  <c r="J67" i="40"/>
  <c r="C65" i="15"/>
  <c r="C59" i="15"/>
  <c r="B20" i="31" l="1"/>
  <c r="R22" i="31"/>
  <c r="B21" i="31" s="1"/>
  <c r="C26" i="15"/>
  <c r="C29" i="15" s="1"/>
  <c r="J21" i="44"/>
  <c r="J19" i="44" s="1"/>
  <c r="C38" i="44"/>
  <c r="J16" i="44"/>
  <c r="C15" i="44"/>
  <c r="K67" i="40"/>
  <c r="L65" i="40"/>
  <c r="K72" i="39"/>
  <c r="L70" i="39"/>
  <c r="J19" i="15" l="1"/>
  <c r="J17" i="15" s="1"/>
  <c r="C33" i="15"/>
  <c r="C31" i="15" s="1"/>
  <c r="J14" i="15"/>
  <c r="J22" i="15" s="1"/>
  <c r="C56" i="15"/>
  <c r="C63" i="15" s="1"/>
  <c r="Q50" i="15"/>
  <c r="C13" i="15"/>
  <c r="J35" i="15" s="1"/>
  <c r="C36" i="15"/>
  <c r="J24" i="44"/>
  <c r="J15" i="44"/>
  <c r="J25" i="44" s="1"/>
  <c r="C43" i="44"/>
  <c r="C39" i="44"/>
  <c r="C32" i="44" s="1"/>
  <c r="C42" i="44" s="1"/>
  <c r="L72" i="39"/>
  <c r="M70" i="39"/>
  <c r="M65" i="40"/>
  <c r="L67" i="40"/>
  <c r="C55" i="15" l="1"/>
  <c r="C64" i="15" s="1"/>
  <c r="C60" i="15"/>
  <c r="C58" i="15" s="1"/>
  <c r="C37" i="15"/>
  <c r="C30" i="15" s="1"/>
  <c r="C39" i="15" s="1"/>
  <c r="C40" i="15" s="1"/>
  <c r="J13" i="15"/>
  <c r="J23" i="15" s="1"/>
  <c r="J16" i="15" s="1"/>
  <c r="J25" i="15" s="1"/>
  <c r="J26" i="15" s="1"/>
  <c r="J29" i="15" s="1"/>
  <c r="Q71" i="15"/>
  <c r="C44" i="44"/>
  <c r="C45" i="44" s="1"/>
  <c r="J18" i="44"/>
  <c r="J27" i="44" s="1"/>
  <c r="J28" i="44" s="1"/>
  <c r="J31" i="44" s="1"/>
  <c r="N70" i="39"/>
  <c r="N72" i="39" s="1"/>
  <c r="M72" i="39"/>
  <c r="N65" i="40"/>
  <c r="N67" i="40" s="1"/>
  <c r="M67" i="40"/>
  <c r="C57" i="15" l="1"/>
  <c r="C66" i="15" s="1"/>
  <c r="C67" i="15" s="1"/>
  <c r="C70" i="15" s="1"/>
  <c r="Q70" i="15"/>
  <c r="J39" i="15"/>
  <c r="J40" i="15" s="1"/>
  <c r="L57" i="15"/>
  <c r="L60" i="15" s="1"/>
  <c r="Q67" i="15" s="1"/>
  <c r="B2" i="44"/>
  <c r="Q69" i="15"/>
  <c r="L46" i="15"/>
  <c r="B2" i="15" s="1"/>
  <c r="B3" i="15" s="1"/>
  <c r="Q57" i="15"/>
  <c r="C43" i="15"/>
  <c r="Q66" i="15"/>
  <c r="Q48" i="15"/>
  <c r="Q54" i="15" s="1"/>
  <c r="J42" i="15"/>
  <c r="J43" i="15" s="1"/>
  <c r="J9" i="40"/>
  <c r="F9" i="40"/>
  <c r="H9" i="40"/>
  <c r="J9" i="39"/>
  <c r="H9" i="39"/>
  <c r="F9" i="39"/>
  <c r="L51" i="15"/>
  <c r="C46" i="15" l="1"/>
  <c r="Q68" i="15"/>
  <c r="Q76" i="15"/>
  <c r="Q58" i="15"/>
  <c r="Q63" i="15" s="1"/>
  <c r="S9" i="39"/>
  <c r="AA9" i="39"/>
  <c r="W9" i="39"/>
  <c r="AC9" i="39"/>
  <c r="AA9" i="40"/>
  <c r="S9" i="40"/>
  <c r="U9" i="39"/>
  <c r="AB9" i="39"/>
  <c r="AB9" i="40"/>
  <c r="T44" i="40" s="1"/>
  <c r="G44" i="40" s="1"/>
  <c r="U9" i="40"/>
  <c r="AC9" i="40"/>
  <c r="W9" i="40"/>
  <c r="G48" i="40" l="1"/>
  <c r="H48" i="40" s="1"/>
  <c r="C19" i="9"/>
  <c r="L43" i="9" l="1"/>
  <c r="C21" i="9"/>
  <c r="C20" i="9"/>
  <c r="C45" i="9" l="1"/>
  <c r="H14" i="66" s="1"/>
  <c r="B7" i="66" s="1"/>
  <c r="O40" i="9" l="1"/>
  <c r="K31" i="9" l="1"/>
  <c r="K32" i="9" s="1"/>
  <c r="R7" i="54"/>
  <c r="B52" i="63" s="1"/>
  <c r="N76" i="9" l="1"/>
  <c r="K33" i="9" l="1"/>
  <c r="K34" i="9" l="1"/>
  <c r="C46" i="9" l="1"/>
  <c r="I14" i="66" l="1"/>
  <c r="B8" i="66" s="1"/>
  <c r="O41" i="9"/>
  <c r="R8" i="54" s="1"/>
  <c r="B54" i="63" s="1"/>
  <c r="B2" i="35"/>
  <c r="L10" i="12" s="1"/>
  <c r="B3" i="35" l="1"/>
  <c r="C6" i="21" l="1"/>
  <c r="C6" i="33" l="1"/>
  <c r="C6" i="34" l="1"/>
  <c r="C11" i="11" l="1"/>
  <c r="C10" i="11" s="1"/>
  <c r="C17" i="11" l="1"/>
  <c r="BC14" i="3" l="1"/>
  <c r="BC5" i="3" s="1"/>
  <c r="BA14" i="3" l="1"/>
  <c r="BA5" i="3" s="1"/>
  <c r="E10" i="6"/>
  <c r="E14" i="6"/>
  <c r="E12" i="6"/>
  <c r="E13" i="6"/>
  <c r="E11" i="6"/>
  <c r="AZ14" i="3"/>
  <c r="AZ5" i="3" s="1"/>
  <c r="E3" i="6" s="1"/>
  <c r="E5" i="6"/>
  <c r="E8" i="6"/>
  <c r="E15" i="6"/>
  <c r="E16" i="6" l="1"/>
  <c r="E53" i="40"/>
  <c r="E58" i="39"/>
  <c r="D10" i="11"/>
  <c r="D46" i="9"/>
  <c r="D45" i="9"/>
  <c r="C21" i="4"/>
  <c r="O5" i="54" s="1"/>
  <c r="B45" i="63" s="1"/>
  <c r="L38" i="9"/>
  <c r="D16" i="12"/>
  <c r="B3" i="44"/>
  <c r="D16" i="43"/>
  <c r="C16" i="43" s="1"/>
  <c r="B14" i="66"/>
  <c r="B1" i="66" s="1"/>
  <c r="E6" i="6"/>
  <c r="E60" i="40"/>
  <c r="E65" i="39"/>
  <c r="E66" i="39"/>
  <c r="E61" i="40"/>
  <c r="E62" i="40"/>
  <c r="E67" i="39"/>
  <c r="D12" i="11"/>
  <c r="C12" i="11" s="1"/>
  <c r="D21" i="12"/>
  <c r="C21" i="12" s="1"/>
  <c r="E58" i="40"/>
  <c r="E63" i="39"/>
  <c r="E64" i="39"/>
  <c r="E59" i="40"/>
  <c r="C8" i="66" l="1"/>
  <c r="C7" i="66"/>
  <c r="E63" i="40"/>
  <c r="D13" i="11"/>
  <c r="C13" i="11" s="1"/>
  <c r="D22" i="12"/>
  <c r="C22" i="12" s="1"/>
  <c r="C20" i="12" s="1"/>
  <c r="C16" i="12"/>
  <c r="D19" i="12"/>
  <c r="C19" i="12" s="1"/>
  <c r="E68" i="39"/>
  <c r="H14" i="3"/>
  <c r="K5" i="3"/>
  <c r="F20" i="6" s="1"/>
  <c r="F30" i="6" l="1"/>
  <c r="F34" i="6" s="1"/>
  <c r="E20" i="6"/>
  <c r="H5" i="3"/>
  <c r="G14" i="3"/>
  <c r="B24" i="69"/>
  <c r="I4" i="6"/>
  <c r="B22" i="69" l="1"/>
  <c r="S24" i="69"/>
  <c r="C25" i="69"/>
  <c r="R25" i="69" s="1"/>
  <c r="G5" i="3"/>
  <c r="B3" i="3" s="1"/>
  <c r="E14" i="3" s="1"/>
  <c r="D3" i="68"/>
  <c r="B2" i="68" s="1"/>
  <c r="E30" i="6"/>
  <c r="K20" i="6" s="1"/>
  <c r="D9" i="12"/>
  <c r="M25" i="12" s="1"/>
  <c r="N15" i="12" s="1"/>
  <c r="K7" i="1"/>
  <c r="M20" i="6" l="1"/>
  <c r="I20" i="6" s="1"/>
  <c r="S20" i="6" s="1"/>
  <c r="S7" i="1"/>
  <c r="C8" i="12"/>
  <c r="S25" i="69"/>
  <c r="C10" i="12" s="1"/>
  <c r="AP19" i="1"/>
  <c r="F22" i="11" s="1"/>
  <c r="H19" i="1"/>
  <c r="Q19" i="1"/>
  <c r="G19" i="1"/>
  <c r="K19" i="1"/>
  <c r="M7" i="1"/>
  <c r="K26" i="6"/>
  <c r="K29" i="6"/>
  <c r="K21" i="6"/>
  <c r="K19" i="6"/>
  <c r="K24" i="6"/>
  <c r="K23" i="6"/>
  <c r="K22" i="6"/>
  <c r="K27" i="6"/>
  <c r="K25" i="6"/>
  <c r="K28" i="6"/>
  <c r="E34" i="6"/>
  <c r="E413" i="3"/>
  <c r="E561" i="3"/>
  <c r="E192" i="3"/>
  <c r="E147" i="3"/>
  <c r="E22" i="3"/>
  <c r="E439" i="3"/>
  <c r="E464" i="3"/>
  <c r="E157" i="3"/>
  <c r="E209" i="3"/>
  <c r="E161" i="3"/>
  <c r="E450" i="3"/>
  <c r="E492" i="3"/>
  <c r="E186" i="3"/>
  <c r="E266" i="3"/>
  <c r="E215" i="3"/>
  <c r="E430" i="3"/>
  <c r="E146" i="3"/>
  <c r="E77" i="3"/>
  <c r="E434" i="3"/>
  <c r="E552" i="3"/>
  <c r="E241" i="3"/>
  <c r="E475" i="3"/>
  <c r="E471" i="3"/>
  <c r="E333" i="3"/>
  <c r="E115" i="3"/>
  <c r="E195" i="3"/>
  <c r="E376" i="3"/>
  <c r="E294" i="3"/>
  <c r="E21" i="3"/>
  <c r="E64" i="3"/>
  <c r="E140" i="3"/>
  <c r="E213" i="3"/>
  <c r="E536" i="3"/>
  <c r="E397" i="3"/>
  <c r="E462" i="3"/>
  <c r="E47" i="3"/>
  <c r="E545" i="3"/>
  <c r="E184" i="3"/>
  <c r="E482" i="3"/>
  <c r="E473" i="3"/>
  <c r="N6" i="3"/>
  <c r="E247" i="3"/>
  <c r="E86" i="3"/>
  <c r="E206" i="3"/>
  <c r="AM6" i="3"/>
  <c r="E337" i="3"/>
  <c r="E158" i="3"/>
  <c r="E472" i="3"/>
  <c r="E222" i="3"/>
  <c r="E103" i="3"/>
  <c r="E62" i="3"/>
  <c r="E230" i="3"/>
  <c r="AN6" i="3"/>
  <c r="E437" i="3"/>
  <c r="E31" i="3"/>
  <c r="E225" i="3"/>
  <c r="E423" i="3"/>
  <c r="E343" i="3"/>
  <c r="E410" i="3"/>
  <c r="E109" i="3"/>
  <c r="E148" i="3"/>
  <c r="E412" i="3"/>
  <c r="E363" i="3"/>
  <c r="E79" i="3"/>
  <c r="E401" i="3"/>
  <c r="E272" i="3"/>
  <c r="E102" i="3"/>
  <c r="E25" i="3"/>
  <c r="E258" i="3"/>
  <c r="E479" i="3"/>
  <c r="E43" i="3"/>
  <c r="E276" i="3"/>
  <c r="E370" i="3"/>
  <c r="E526" i="3"/>
  <c r="E477" i="3"/>
  <c r="E540" i="3"/>
  <c r="E134" i="3"/>
  <c r="AI6" i="3"/>
  <c r="E239" i="3"/>
  <c r="E234" i="3"/>
  <c r="E128" i="3"/>
  <c r="E176" i="3"/>
  <c r="E554" i="3"/>
  <c r="E381" i="3"/>
  <c r="E476" i="3"/>
  <c r="AO6" i="3"/>
  <c r="E114" i="3"/>
  <c r="E348" i="3"/>
  <c r="E93" i="3"/>
  <c r="E408" i="3"/>
  <c r="E92" i="3"/>
  <c r="E238" i="3"/>
  <c r="E414" i="3"/>
  <c r="E44" i="3"/>
  <c r="E202" i="3"/>
  <c r="E83" i="3"/>
  <c r="E124" i="3"/>
  <c r="E299" i="3"/>
  <c r="E327" i="3"/>
  <c r="E82" i="3"/>
  <c r="E164" i="3"/>
  <c r="E99" i="3"/>
  <c r="E262" i="3"/>
  <c r="E101" i="3"/>
  <c r="M6" i="3"/>
  <c r="E41" i="3"/>
  <c r="E418" i="3"/>
  <c r="E91" i="3"/>
  <c r="E359" i="3"/>
  <c r="E391" i="3"/>
  <c r="E387" i="3"/>
  <c r="R6" i="3"/>
  <c r="E125" i="3"/>
  <c r="AH6" i="3"/>
  <c r="E30" i="3"/>
  <c r="E490" i="3"/>
  <c r="E218" i="3"/>
  <c r="E442" i="3"/>
  <c r="E110" i="3"/>
  <c r="E63" i="3"/>
  <c r="E174" i="3"/>
  <c r="E129" i="3"/>
  <c r="E98" i="3"/>
  <c r="E422" i="3"/>
  <c r="E398" i="3"/>
  <c r="E23" i="3"/>
  <c r="E421" i="3"/>
  <c r="E132" i="3"/>
  <c r="E78" i="3"/>
  <c r="E390" i="3"/>
  <c r="E296" i="3"/>
  <c r="E127" i="3"/>
  <c r="E388" i="3"/>
  <c r="E200" i="3"/>
  <c r="E389" i="3"/>
  <c r="E68" i="3"/>
  <c r="E59" i="3"/>
  <c r="E221" i="3"/>
  <c r="E187" i="3"/>
  <c r="E199" i="3"/>
  <c r="E435" i="3"/>
  <c r="E142" i="3"/>
  <c r="E468" i="3"/>
  <c r="E185" i="3"/>
  <c r="E27" i="3"/>
  <c r="E469" i="3"/>
  <c r="E113" i="3"/>
  <c r="E425" i="3"/>
  <c r="E257" i="3"/>
  <c r="E166" i="3"/>
  <c r="E204" i="3"/>
  <c r="E449" i="3"/>
  <c r="E259" i="3"/>
  <c r="E416" i="3"/>
  <c r="E160" i="3"/>
  <c r="E133" i="3"/>
  <c r="E458" i="3"/>
  <c r="E256" i="3"/>
  <c r="E394" i="3"/>
  <c r="E375" i="3"/>
  <c r="E131" i="3"/>
  <c r="E165" i="3"/>
  <c r="E57" i="3"/>
  <c r="E292" i="3"/>
  <c r="E60" i="3"/>
  <c r="E178" i="3"/>
  <c r="E48" i="3"/>
  <c r="E455" i="3"/>
  <c r="E37" i="3"/>
  <c r="AT6" i="3"/>
  <c r="E67" i="3"/>
  <c r="E486" i="3"/>
  <c r="E264" i="3"/>
  <c r="V6" i="3"/>
  <c r="AG6" i="3"/>
  <c r="E419" i="3"/>
  <c r="E386" i="3"/>
  <c r="E188" i="3"/>
  <c r="E508" i="3"/>
  <c r="E493" i="3"/>
  <c r="E108" i="3"/>
  <c r="E81" i="3"/>
  <c r="E277" i="3"/>
  <c r="E524" i="3"/>
  <c r="E19" i="3"/>
  <c r="E212" i="3"/>
  <c r="E35" i="3"/>
  <c r="E118" i="3"/>
  <c r="E378" i="3"/>
  <c r="E364" i="3"/>
  <c r="E342" i="3"/>
  <c r="E522" i="3"/>
  <c r="E572" i="3"/>
  <c r="E516" i="3"/>
  <c r="E227" i="3"/>
  <c r="E488" i="3"/>
  <c r="E71" i="3"/>
  <c r="E240" i="3"/>
  <c r="E382" i="3"/>
  <c r="E326" i="3"/>
  <c r="E481" i="3"/>
  <c r="E69" i="3"/>
  <c r="E193" i="3"/>
  <c r="E534" i="3"/>
  <c r="E424" i="3"/>
  <c r="E520" i="3"/>
  <c r="E270" i="3"/>
  <c r="E253" i="3"/>
  <c r="P6" i="3"/>
  <c r="E70" i="3"/>
  <c r="E53" i="3"/>
  <c r="E568" i="3"/>
  <c r="E245" i="3"/>
  <c r="E451" i="3"/>
  <c r="E305" i="3"/>
  <c r="E126" i="3"/>
  <c r="Y6" i="3"/>
  <c r="E51" i="3"/>
  <c r="E281" i="3"/>
  <c r="AF6" i="3"/>
  <c r="E559" i="3"/>
  <c r="E156" i="3"/>
  <c r="E409" i="3"/>
  <c r="E100" i="3"/>
  <c r="E547" i="3"/>
  <c r="E119" i="3"/>
  <c r="E232" i="3"/>
  <c r="L6" i="3"/>
  <c r="E465" i="3"/>
  <c r="E448" i="3"/>
  <c r="E123" i="3"/>
  <c r="E271" i="3"/>
  <c r="E558" i="3"/>
  <c r="E436" i="3"/>
  <c r="E432" i="3"/>
  <c r="O6" i="3"/>
  <c r="E207" i="3"/>
  <c r="E196" i="3"/>
  <c r="E308" i="3"/>
  <c r="E96" i="3"/>
  <c r="E242" i="3"/>
  <c r="E87" i="3"/>
  <c r="E29" i="3"/>
  <c r="E411" i="3"/>
  <c r="E282" i="3"/>
  <c r="E321" i="3"/>
  <c r="E304" i="3"/>
  <c r="E404" i="3"/>
  <c r="E463" i="3"/>
  <c r="E426" i="3"/>
  <c r="E75" i="3"/>
  <c r="J6" i="3"/>
  <c r="E438" i="3"/>
  <c r="E533" i="3"/>
  <c r="E303" i="3"/>
  <c r="E467" i="3"/>
  <c r="E214" i="3"/>
  <c r="E543" i="3"/>
  <c r="E369" i="3"/>
  <c r="E105" i="3"/>
  <c r="E505" i="3"/>
  <c r="E302" i="3"/>
  <c r="E287" i="3"/>
  <c r="E306" i="3"/>
  <c r="E180" i="3"/>
  <c r="E551" i="3"/>
  <c r="E246" i="3"/>
  <c r="E16" i="3"/>
  <c r="E385" i="3"/>
  <c r="E95" i="3"/>
  <c r="E498" i="3"/>
  <c r="E298" i="3"/>
  <c r="E169" i="3"/>
  <c r="E226" i="3"/>
  <c r="E163" i="3"/>
  <c r="E351" i="3"/>
  <c r="AL6" i="3"/>
  <c r="E368" i="3"/>
  <c r="E510" i="3"/>
  <c r="E504" i="3"/>
  <c r="E406" i="3"/>
  <c r="E244" i="3"/>
  <c r="E137" i="3"/>
  <c r="E301" i="3"/>
  <c r="E484" i="3"/>
  <c r="E356" i="3"/>
  <c r="E297" i="3"/>
  <c r="E152" i="3"/>
  <c r="E104" i="3"/>
  <c r="E311" i="3"/>
  <c r="Z6" i="3"/>
  <c r="E135" i="3"/>
  <c r="E457" i="3"/>
  <c r="E54" i="3"/>
  <c r="AP6" i="3"/>
  <c r="E151" i="3"/>
  <c r="E289" i="3"/>
  <c r="E539" i="3"/>
  <c r="E52" i="3"/>
  <c r="U6" i="3"/>
  <c r="E73" i="3"/>
  <c r="E211" i="3"/>
  <c r="E466" i="3"/>
  <c r="E198" i="3"/>
  <c r="E290" i="3"/>
  <c r="E40" i="3"/>
  <c r="E228" i="3"/>
  <c r="E55" i="3"/>
  <c r="E237" i="3"/>
  <c r="E274" i="3"/>
  <c r="E33" i="3"/>
  <c r="E97" i="3"/>
  <c r="E507" i="3"/>
  <c r="E116" i="3"/>
  <c r="E243" i="3"/>
  <c r="E121" i="3"/>
  <c r="E76" i="3"/>
  <c r="E499" i="3"/>
  <c r="E173" i="3"/>
  <c r="E260" i="3"/>
  <c r="E339" i="3"/>
  <c r="E315" i="3"/>
  <c r="E159" i="3"/>
  <c r="E384" i="3"/>
  <c r="E487" i="3"/>
  <c r="S6" i="3"/>
  <c r="E377" i="3"/>
  <c r="E20" i="3"/>
  <c r="E446" i="3"/>
  <c r="E278" i="3"/>
  <c r="AA6" i="3"/>
  <c r="E548" i="3"/>
  <c r="AK6" i="3"/>
  <c r="E46" i="3"/>
  <c r="E537" i="3"/>
  <c r="E84" i="3"/>
  <c r="E38" i="3"/>
  <c r="E405" i="3"/>
  <c r="E85" i="3"/>
  <c r="E139" i="3"/>
  <c r="E556" i="3"/>
  <c r="E527" i="3"/>
  <c r="E248" i="3"/>
  <c r="AR6" i="3"/>
  <c r="E513" i="3"/>
  <c r="E72" i="3"/>
  <c r="E331" i="3"/>
  <c r="E150" i="3"/>
  <c r="E49" i="3"/>
  <c r="E36" i="3"/>
  <c r="E374" i="3"/>
  <c r="E447" i="3"/>
  <c r="E500" i="3"/>
  <c r="E189" i="3"/>
  <c r="E429" i="3"/>
  <c r="E154" i="3"/>
  <c r="E74" i="3"/>
  <c r="E66" i="3"/>
  <c r="E530" i="3"/>
  <c r="E403" i="3"/>
  <c r="E177" i="3"/>
  <c r="E90" i="3"/>
  <c r="E106" i="3"/>
  <c r="E267" i="3"/>
  <c r="E514" i="3"/>
  <c r="E371" i="3"/>
  <c r="E329" i="3"/>
  <c r="E322" i="3"/>
  <c r="E18" i="3"/>
  <c r="E564" i="3"/>
  <c r="E265" i="3"/>
  <c r="E231" i="3"/>
  <c r="E149" i="3"/>
  <c r="E549" i="3"/>
  <c r="I3" i="6"/>
  <c r="E205" i="3"/>
  <c r="E478" i="3"/>
  <c r="E357" i="3"/>
  <c r="AS6" i="3"/>
  <c r="E383" i="3"/>
  <c r="E190" i="3"/>
  <c r="E233" i="3"/>
  <c r="E402" i="3"/>
  <c r="E255" i="3"/>
  <c r="E145" i="3"/>
  <c r="E347" i="3"/>
  <c r="E58" i="3"/>
  <c r="E285" i="3"/>
  <c r="E433" i="3"/>
  <c r="E300" i="3"/>
  <c r="E314" i="3"/>
  <c r="E502" i="3"/>
  <c r="E456" i="3"/>
  <c r="E569" i="3"/>
  <c r="AJ6" i="3"/>
  <c r="E546" i="3"/>
  <c r="E15" i="3"/>
  <c r="E251" i="3"/>
  <c r="E56" i="3"/>
  <c r="E122" i="3"/>
  <c r="E208" i="3"/>
  <c r="E485" i="3"/>
  <c r="E483" i="3"/>
  <c r="E532" i="3"/>
  <c r="E340" i="3"/>
  <c r="E521" i="3"/>
  <c r="E130" i="3"/>
  <c r="E461" i="3"/>
  <c r="E328" i="3"/>
  <c r="E155" i="3"/>
  <c r="E541" i="3"/>
  <c r="E268" i="3"/>
  <c r="E565" i="3"/>
  <c r="E283" i="3"/>
  <c r="E528" i="3"/>
  <c r="E201" i="3"/>
  <c r="E367" i="3"/>
  <c r="E141" i="3"/>
  <c r="E550" i="3"/>
  <c r="E261" i="3"/>
  <c r="E393" i="3"/>
  <c r="E517" i="3"/>
  <c r="E235" i="3"/>
  <c r="E555" i="3"/>
  <c r="E319" i="3"/>
  <c r="E396" i="3"/>
  <c r="E392" i="3"/>
  <c r="E360" i="3"/>
  <c r="E144" i="3"/>
  <c r="E506" i="3"/>
  <c r="E497" i="3"/>
  <c r="E553" i="3"/>
  <c r="E563" i="3"/>
  <c r="E252" i="3"/>
  <c r="E316" i="3"/>
  <c r="E443" i="3"/>
  <c r="E170" i="3"/>
  <c r="E168" i="3"/>
  <c r="E39" i="3"/>
  <c r="E453" i="3"/>
  <c r="E355" i="3"/>
  <c r="E183" i="3"/>
  <c r="E42" i="3"/>
  <c r="E562" i="3"/>
  <c r="E494" i="3"/>
  <c r="E544" i="3"/>
  <c r="E117" i="3"/>
  <c r="E407" i="3"/>
  <c r="E162" i="3"/>
  <c r="E320" i="3"/>
  <c r="E518" i="3"/>
  <c r="E13" i="3"/>
  <c r="E28" i="3"/>
  <c r="E220" i="3"/>
  <c r="E286" i="3"/>
  <c r="E338" i="3"/>
  <c r="E341" i="3"/>
  <c r="E153" i="3"/>
  <c r="E361" i="3"/>
  <c r="E323" i="3"/>
  <c r="E501" i="3"/>
  <c r="E310" i="3"/>
  <c r="AB6" i="3"/>
  <c r="E511" i="3"/>
  <c r="E358" i="3"/>
  <c r="E535" i="3"/>
  <c r="E427" i="3"/>
  <c r="E94" i="3"/>
  <c r="E263" i="3"/>
  <c r="E454" i="3"/>
  <c r="E280" i="3"/>
  <c r="E349" i="3"/>
  <c r="E452" i="3"/>
  <c r="E431" i="3"/>
  <c r="E313" i="3"/>
  <c r="E136" i="3"/>
  <c r="E332" i="3"/>
  <c r="E445" i="3"/>
  <c r="E291" i="3"/>
  <c r="E365" i="3"/>
  <c r="E336" i="3"/>
  <c r="E65" i="3"/>
  <c r="E345" i="3"/>
  <c r="E440" i="3"/>
  <c r="E362" i="3"/>
  <c r="E395" i="3"/>
  <c r="E570" i="3"/>
  <c r="E428" i="3"/>
  <c r="E32" i="3"/>
  <c r="Q6" i="3"/>
  <c r="AE6" i="3"/>
  <c r="E275" i="3"/>
  <c r="E372" i="3"/>
  <c r="E309" i="3"/>
  <c r="E224" i="3"/>
  <c r="E24" i="3"/>
  <c r="E538" i="3"/>
  <c r="E217" i="3"/>
  <c r="E307" i="3"/>
  <c r="E210" i="3"/>
  <c r="E182" i="3"/>
  <c r="E312" i="3"/>
  <c r="E512" i="3"/>
  <c r="E567" i="3"/>
  <c r="E26" i="3"/>
  <c r="E17" i="3"/>
  <c r="E509" i="3"/>
  <c r="E250" i="3"/>
  <c r="E459" i="3"/>
  <c r="E470" i="3"/>
  <c r="E249" i="3"/>
  <c r="E460" i="3"/>
  <c r="E223" i="3"/>
  <c r="E399" i="3"/>
  <c r="E317" i="3"/>
  <c r="E179" i="3"/>
  <c r="E444" i="3"/>
  <c r="W6" i="3"/>
  <c r="E420" i="3"/>
  <c r="E203" i="3"/>
  <c r="E172" i="3"/>
  <c r="E417" i="3"/>
  <c r="E279" i="3"/>
  <c r="E400" i="3"/>
  <c r="E197" i="3"/>
  <c r="E61" i="3"/>
  <c r="E529" i="3"/>
  <c r="E379" i="3"/>
  <c r="E324" i="3"/>
  <c r="E334" i="3"/>
  <c r="E353" i="3"/>
  <c r="E50" i="3"/>
  <c r="E236" i="3"/>
  <c r="E474" i="3"/>
  <c r="E171" i="3"/>
  <c r="E354" i="3"/>
  <c r="E531" i="3"/>
  <c r="E495" i="3"/>
  <c r="E344" i="3"/>
  <c r="E335" i="3"/>
  <c r="E366" i="3"/>
  <c r="E330" i="3"/>
  <c r="E350" i="3"/>
  <c r="E496" i="3"/>
  <c r="E352" i="3"/>
  <c r="E138" i="3"/>
  <c r="E519" i="3"/>
  <c r="E346" i="3"/>
  <c r="E557" i="3"/>
  <c r="E175" i="3"/>
  <c r="E503" i="3"/>
  <c r="E194" i="3"/>
  <c r="E295" i="3"/>
  <c r="E143" i="3"/>
  <c r="E80" i="3"/>
  <c r="E34" i="3"/>
  <c r="E560" i="3"/>
  <c r="E107" i="3"/>
  <c r="E480" i="3"/>
  <c r="AQ6" i="3"/>
  <c r="E120" i="3"/>
  <c r="E491" i="3"/>
  <c r="E325" i="3"/>
  <c r="E216" i="3"/>
  <c r="E373" i="3"/>
  <c r="T6" i="3"/>
  <c r="E219" i="3"/>
  <c r="E571" i="3"/>
  <c r="E566" i="3"/>
  <c r="E273" i="3"/>
  <c r="E112" i="3"/>
  <c r="E523" i="3"/>
  <c r="E380" i="3"/>
  <c r="X6" i="3"/>
  <c r="E415" i="3"/>
  <c r="E293" i="3"/>
  <c r="E88" i="3"/>
  <c r="E229" i="3"/>
  <c r="E489" i="3"/>
  <c r="E45" i="3"/>
  <c r="E269" i="3"/>
  <c r="E167" i="3"/>
  <c r="E254" i="3"/>
  <c r="E318" i="3"/>
  <c r="E441" i="3"/>
  <c r="E288" i="3"/>
  <c r="E525" i="3"/>
  <c r="E181" i="3"/>
  <c r="E542" i="3"/>
  <c r="E89" i="3"/>
  <c r="E111" i="3"/>
  <c r="E191" i="3"/>
  <c r="E284" i="3"/>
  <c r="E515" i="3"/>
  <c r="I6" i="3"/>
  <c r="AY3" i="3"/>
  <c r="AY6" i="3" s="1"/>
  <c r="AD6" i="3"/>
  <c r="K6" i="3"/>
  <c r="D10" i="12"/>
  <c r="S22" i="69" l="1"/>
  <c r="R22" i="69" s="1"/>
  <c r="B21" i="69" s="1"/>
  <c r="AY504" i="3"/>
  <c r="AY100" i="3"/>
  <c r="AY83" i="3"/>
  <c r="AY47" i="3"/>
  <c r="AY182" i="3"/>
  <c r="AY126" i="3"/>
  <c r="AY45" i="3"/>
  <c r="AY106" i="3"/>
  <c r="AY217" i="3"/>
  <c r="AY291" i="3"/>
  <c r="AY383" i="3"/>
  <c r="AY361" i="3"/>
  <c r="AY427" i="3"/>
  <c r="AY479" i="3"/>
  <c r="AY202" i="3"/>
  <c r="AY214" i="3"/>
  <c r="AY476" i="3"/>
  <c r="AY169" i="3"/>
  <c r="AY348" i="3"/>
  <c r="AY72" i="3"/>
  <c r="AY376" i="3"/>
  <c r="AY486" i="3"/>
  <c r="AY80" i="3"/>
  <c r="AY537" i="3"/>
  <c r="AY73" i="3"/>
  <c r="AY144" i="3"/>
  <c r="AY57" i="3"/>
  <c r="AY262" i="3"/>
  <c r="AY349" i="3"/>
  <c r="AY397" i="3"/>
  <c r="AY146" i="3"/>
  <c r="AY39" i="3"/>
  <c r="AY550" i="3"/>
  <c r="AY389" i="3"/>
  <c r="AY37" i="3"/>
  <c r="AY41" i="3"/>
  <c r="AY203" i="3"/>
  <c r="AY128"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64" i="3"/>
  <c r="AY42" i="3"/>
  <c r="AY515" i="3"/>
  <c r="AY175" i="3"/>
  <c r="AY264" i="3"/>
  <c r="AY467" i="3"/>
  <c r="AY49" i="3"/>
  <c r="AY286" i="3"/>
  <c r="AY258" i="3"/>
  <c r="AY50" i="3"/>
  <c r="AY549" i="3"/>
  <c r="AY88" i="3"/>
  <c r="AY129" i="3"/>
  <c r="AY104" i="3"/>
  <c r="AY259" i="3"/>
  <c r="AY368" i="3"/>
  <c r="AY409" i="3"/>
  <c r="AY171" i="3"/>
  <c r="AY365" i="3"/>
  <c r="AY471" i="3"/>
  <c r="AY138" i="3"/>
  <c r="AY316" i="3"/>
  <c r="AY29" i="3"/>
  <c r="AY367" i="3"/>
  <c r="AY166" i="3"/>
  <c r="AY413" i="3"/>
  <c r="AY319"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68" i="3"/>
  <c r="AY357" i="3"/>
  <c r="AY133" i="3"/>
  <c r="AY84" i="3"/>
  <c r="AY468" i="3"/>
  <c r="AY377" i="3"/>
  <c r="BI6" i="3"/>
  <c r="AY164" i="3"/>
  <c r="AY469" i="3"/>
  <c r="AY177" i="3"/>
  <c r="AY263" i="3"/>
  <c r="AY524" i="3"/>
  <c r="AY231" i="3"/>
  <c r="AY300" i="3"/>
  <c r="AY250" i="3"/>
  <c r="AY560" i="3"/>
  <c r="AY178" i="3"/>
  <c r="AY294" i="3"/>
  <c r="BK6" i="3"/>
  <c r="AY269" i="3"/>
  <c r="AY435" i="3"/>
  <c r="AY230" i="3"/>
  <c r="AY132" i="3"/>
  <c r="AY420" i="3"/>
  <c r="AY188" i="3"/>
  <c r="AY157" i="3"/>
  <c r="AY528" i="3"/>
  <c r="AY516" i="3"/>
  <c r="AY567" i="3"/>
  <c r="AY538" i="3"/>
  <c r="AY534" i="3"/>
  <c r="AY557" i="3"/>
  <c r="AY478" i="3"/>
  <c r="AY418" i="3"/>
  <c r="AY434" i="3"/>
  <c r="AY289" i="3"/>
  <c r="AY93" i="3"/>
  <c r="AY130" i="3"/>
  <c r="AY473" i="3"/>
  <c r="AY541" i="3"/>
  <c r="AY439" i="3"/>
  <c r="AY477" i="3"/>
  <c r="AY452" i="3"/>
  <c r="AY295" i="3"/>
  <c r="AY194" i="3"/>
  <c r="AY16" i="3"/>
  <c r="AY278" i="3"/>
  <c r="AY253" i="3"/>
  <c r="AY35" i="3"/>
  <c r="AY525" i="3"/>
  <c r="AY526" i="3"/>
  <c r="AY19" i="3"/>
  <c r="AY513" i="3"/>
  <c r="AY347" i="3"/>
  <c r="AY345" i="3"/>
  <c r="AY470" i="3"/>
  <c r="AY119" i="3"/>
  <c r="AY533" i="3"/>
  <c r="AY89" i="3"/>
  <c r="AY102" i="3"/>
  <c r="BG6" i="3"/>
  <c r="AY165" i="3"/>
  <c r="AY255" i="3"/>
  <c r="AY354" i="3"/>
  <c r="AY121" i="3"/>
  <c r="AY103" i="3"/>
  <c r="AY204" i="3"/>
  <c r="AY234" i="3"/>
  <c r="AY422" i="3"/>
  <c r="AY141" i="3"/>
  <c r="AY530" i="3"/>
  <c r="AY198" i="3"/>
  <c r="AY158" i="3"/>
  <c r="AY443" i="3"/>
  <c r="AY219" i="3"/>
  <c r="AY148" i="3"/>
  <c r="BA6" i="3"/>
  <c r="AY446" i="3"/>
  <c r="AY211" i="3"/>
  <c r="AY406" i="3"/>
  <c r="AY303" i="3"/>
  <c r="AY127" i="3"/>
  <c r="AY498" i="3"/>
  <c r="AY518" i="3"/>
  <c r="AY415" i="3"/>
  <c r="AY503" i="3"/>
  <c r="AY208" i="3"/>
  <c r="AY299" i="3"/>
  <c r="AY447" i="3"/>
  <c r="AY185" i="3"/>
  <c r="AY483" i="3"/>
  <c r="AY108" i="3"/>
  <c r="AY60" i="3"/>
  <c r="AY334" i="3"/>
  <c r="AY270" i="3"/>
  <c r="AY571" i="3"/>
  <c r="AY554" i="3"/>
  <c r="AY532" i="3"/>
  <c r="AY139" i="3"/>
  <c r="AY70" i="3"/>
  <c r="AY315" i="3"/>
  <c r="AY346" i="3"/>
  <c r="AY101" i="3"/>
  <c r="AY429" i="3"/>
  <c r="AY501" i="3"/>
  <c r="AY510" i="3"/>
  <c r="AY495" i="3"/>
  <c r="AY363" i="3"/>
  <c r="AY339" i="3"/>
  <c r="AY547" i="3"/>
  <c r="AY332" i="3"/>
  <c r="AY511" i="3"/>
  <c r="AY535" i="3"/>
  <c r="AY450" i="3"/>
  <c r="AY412" i="3"/>
  <c r="AY330" i="3"/>
  <c r="AY494" i="3"/>
  <c r="BB6" i="3"/>
  <c r="AY296" i="3"/>
  <c r="AY338" i="3"/>
  <c r="AY79" i="3"/>
  <c r="AY243" i="3"/>
  <c r="AY466" i="3"/>
  <c r="AY441" i="3"/>
  <c r="AY218" i="3"/>
  <c r="AY356" i="3"/>
  <c r="AY561" i="3"/>
  <c r="AY562" i="3"/>
  <c r="AY360" i="3"/>
  <c r="AY137" i="3"/>
  <c r="AY244" i="3"/>
  <c r="AY199" i="3"/>
  <c r="AY351" i="3"/>
  <c r="AY344" i="3"/>
  <c r="AY71" i="3"/>
  <c r="AY195" i="3"/>
  <c r="AY252" i="3"/>
  <c r="AY228" i="3"/>
  <c r="AY379" i="3"/>
  <c r="AY548" i="3"/>
  <c r="AY272" i="3"/>
  <c r="AY99" i="3"/>
  <c r="AY322" i="3"/>
  <c r="BO6" i="3"/>
  <c r="AY297" i="3"/>
  <c r="AY517" i="3"/>
  <c r="AY457" i="3"/>
  <c r="AY273" i="3"/>
  <c r="AY54" i="3"/>
  <c r="AY134" i="3"/>
  <c r="AY496" i="3"/>
  <c r="AY13" i="3"/>
  <c r="AY191" i="3"/>
  <c r="AY118" i="3"/>
  <c r="AY416" i="3"/>
  <c r="AY364" i="3"/>
  <c r="AY256" i="3"/>
  <c r="AY142" i="3"/>
  <c r="AY309" i="3"/>
  <c r="AY44" i="3"/>
  <c r="AY147" i="3"/>
  <c r="BT6" i="3"/>
  <c r="AY370" i="3"/>
  <c r="AY485" i="3"/>
  <c r="AY553" i="3"/>
  <c r="AY90" i="3"/>
  <c r="AY63" i="3"/>
  <c r="AY235" i="3"/>
  <c r="AY205" i="3"/>
  <c r="AY423" i="3"/>
  <c r="AY398" i="3"/>
  <c r="AY226" i="3"/>
  <c r="AY405" i="3"/>
  <c r="AY207" i="3"/>
  <c r="AY395" i="3"/>
  <c r="AY210" i="3"/>
  <c r="AY536" i="3"/>
  <c r="AY122" i="3"/>
  <c r="AY91" i="3"/>
  <c r="AY488" i="3"/>
  <c r="AY460" i="3"/>
  <c r="AY261" i="3"/>
  <c r="AY482" i="3"/>
  <c r="AY74" i="3"/>
  <c r="AY136" i="3"/>
  <c r="AY448" i="3"/>
  <c r="AY343" i="3"/>
  <c r="AY115" i="3"/>
  <c r="AY67" i="3"/>
  <c r="AY159" i="3"/>
  <c r="AY105" i="3"/>
  <c r="AY293" i="3"/>
  <c r="AY386" i="3"/>
  <c r="AY411" i="3"/>
  <c r="AY187" i="3"/>
  <c r="AY271" i="3"/>
  <c r="AY445" i="3"/>
  <c r="AY200" i="3"/>
  <c r="AY335" i="3"/>
  <c r="AY111" i="3"/>
  <c r="AY224" i="3"/>
  <c r="AY85" i="3"/>
  <c r="AY369" i="3"/>
  <c r="AY229" i="3"/>
  <c r="BL6" i="3"/>
  <c r="AY160" i="3"/>
  <c r="AY277" i="3"/>
  <c r="AY425" i="3"/>
  <c r="AY65" i="3"/>
  <c r="AY464" i="3"/>
  <c r="AY26" i="3"/>
  <c r="AY145" i="3"/>
  <c r="AY472" i="3"/>
  <c r="AY233" i="3"/>
  <c r="AY131" i="3"/>
  <c r="AY520" i="3"/>
  <c r="AY453" i="3"/>
  <c r="AY184" i="3"/>
  <c r="AY465" i="3"/>
  <c r="BH6" i="3"/>
  <c r="AY86" i="3"/>
  <c r="AY431" i="3"/>
  <c r="AY500" i="3"/>
  <c r="AY458" i="3"/>
  <c r="AY489" i="3"/>
  <c r="AY242" i="3"/>
  <c r="AY287" i="3"/>
  <c r="AY385" i="3"/>
  <c r="AY15" i="3"/>
  <c r="AY220" i="3"/>
  <c r="AY497" i="3"/>
  <c r="AY404" i="3"/>
  <c r="AY213" i="3"/>
  <c r="AY110" i="3"/>
  <c r="AY403" i="3"/>
  <c r="AY454" i="3"/>
  <c r="AY391" i="3"/>
  <c r="AY181" i="3"/>
  <c r="AY463" i="3"/>
  <c r="AY372" i="3"/>
  <c r="AY241" i="3"/>
  <c r="AY542" i="3"/>
  <c r="AY555" i="3"/>
  <c r="AY308" i="3"/>
  <c r="BD6" i="3"/>
  <c r="AY436" i="3"/>
  <c r="AY192" i="3"/>
  <c r="AY410" i="3"/>
  <c r="AY512" i="3"/>
  <c r="AY125" i="3"/>
  <c r="AY167" i="3"/>
  <c r="AY292" i="3"/>
  <c r="AY342" i="3"/>
  <c r="AY438" i="3"/>
  <c r="AY352" i="3"/>
  <c r="AY428" i="3"/>
  <c r="AY215" i="3"/>
  <c r="AY23" i="3"/>
  <c r="AY173" i="3"/>
  <c r="AY522" i="3"/>
  <c r="AY33" i="3"/>
  <c r="AY570" i="3"/>
  <c r="BE6" i="3"/>
  <c r="AY52" i="3"/>
  <c r="AY317" i="3"/>
  <c r="AY459" i="3"/>
  <c r="AY77" i="3"/>
  <c r="AY46" i="3"/>
  <c r="AY371" i="3"/>
  <c r="AY380" i="3"/>
  <c r="AY221" i="3"/>
  <c r="AY32" i="3"/>
  <c r="AY112" i="3"/>
  <c r="AY20" i="3"/>
  <c r="AY153" i="3"/>
  <c r="AY559" i="3"/>
  <c r="AY240" i="3"/>
  <c r="AY331" i="3"/>
  <c r="AY509" i="3"/>
  <c r="AY564" i="3"/>
  <c r="AY265" i="3"/>
  <c r="AY161" i="3"/>
  <c r="AY43" i="3"/>
  <c r="AY401" i="3"/>
  <c r="AY545" i="3"/>
  <c r="AY455" i="3"/>
  <c r="BJ6" i="3"/>
  <c r="AY307" i="3"/>
  <c r="AY449" i="3"/>
  <c r="AY251" i="3"/>
  <c r="AY284" i="3"/>
  <c r="AY373" i="3"/>
  <c r="AY109" i="3"/>
  <c r="AY318" i="3"/>
  <c r="AY151" i="3"/>
  <c r="AY565" i="3"/>
  <c r="AY174" i="3"/>
  <c r="AY223" i="3"/>
  <c r="AY362" i="3"/>
  <c r="AY402" i="3"/>
  <c r="AY400" i="3"/>
  <c r="AY40" i="3"/>
  <c r="AY490" i="3"/>
  <c r="AY302" i="3"/>
  <c r="AY568" i="3"/>
  <c r="AY426" i="3"/>
  <c r="AY21" i="3"/>
  <c r="AY209" i="3"/>
  <c r="AY310" i="3"/>
  <c r="AY34" i="3"/>
  <c r="AY288" i="3"/>
  <c r="AY323" i="3"/>
  <c r="BP6" i="3"/>
  <c r="AY328" i="3"/>
  <c r="AY421" i="3"/>
  <c r="AY18" i="3"/>
  <c r="AY340" i="3"/>
  <c r="AY281" i="3"/>
  <c r="AY462" i="3"/>
  <c r="BC6" i="3"/>
  <c r="AY451" i="3"/>
  <c r="AY301" i="3"/>
  <c r="D3" i="6"/>
  <c r="AY53" i="3"/>
  <c r="AY98" i="3"/>
  <c r="AY232" i="3"/>
  <c r="AY55" i="3"/>
  <c r="AY238" i="3"/>
  <c r="AY82" i="3"/>
  <c r="AY58" i="3"/>
  <c r="AY179" i="3"/>
  <c r="AY274" i="3"/>
  <c r="AY275" i="3"/>
  <c r="AY556" i="3"/>
  <c r="AY414" i="3"/>
  <c r="AY114" i="3"/>
  <c r="AY304" i="3"/>
  <c r="AY38" i="3"/>
  <c r="AY227" i="3"/>
  <c r="AY558" i="3"/>
  <c r="AY120" i="3"/>
  <c r="AY424" i="3"/>
  <c r="AY266" i="3"/>
  <c r="AY156" i="3"/>
  <c r="AY14" i="3"/>
  <c r="AY154" i="3"/>
  <c r="AY75" i="3"/>
  <c r="AY384" i="3"/>
  <c r="AY149" i="3"/>
  <c r="AY350" i="3"/>
  <c r="AY69" i="3"/>
  <c r="AY529" i="3"/>
  <c r="AY248" i="3"/>
  <c r="AY96" i="3"/>
  <c r="AY329" i="3"/>
  <c r="AY206" i="3"/>
  <c r="AY249" i="3"/>
  <c r="AY225" i="3"/>
  <c r="BQ6" i="3"/>
  <c r="AY544" i="3"/>
  <c r="AY493" i="3"/>
  <c r="AY24" i="3"/>
  <c r="AY239" i="3"/>
  <c r="AY107" i="3"/>
  <c r="AY152" i="3"/>
  <c r="AY546" i="3"/>
  <c r="AY417" i="3"/>
  <c r="AY163" i="3"/>
  <c r="AY492" i="3"/>
  <c r="AY355" i="3"/>
  <c r="BR6" i="3"/>
  <c r="AY285" i="3"/>
  <c r="AY327" i="3"/>
  <c r="AY502" i="3"/>
  <c r="AY298" i="3"/>
  <c r="AY514" i="3"/>
  <c r="AY499" i="3"/>
  <c r="AY507" i="3"/>
  <c r="AY324" i="3"/>
  <c r="AY135" i="3"/>
  <c r="AY62" i="3"/>
  <c r="AY30" i="3"/>
  <c r="AY382" i="3"/>
  <c r="AY143" i="3"/>
  <c r="AY236" i="3"/>
  <c r="AY276" i="3"/>
  <c r="AY113" i="3"/>
  <c r="AY387" i="3"/>
  <c r="AY56" i="3"/>
  <c r="AY313" i="3"/>
  <c r="AY551" i="3"/>
  <c r="AY180" i="3"/>
  <c r="AY81" i="3"/>
  <c r="AY279" i="3"/>
  <c r="AY336" i="3"/>
  <c r="AY124" i="3"/>
  <c r="AY48" i="3"/>
  <c r="AY61" i="3"/>
  <c r="AY237" i="3"/>
  <c r="AY59" i="3"/>
  <c r="AY306" i="3"/>
  <c r="AY196" i="3"/>
  <c r="AY521" i="3"/>
  <c r="AY508" i="3"/>
  <c r="AY31" i="3"/>
  <c r="AY381" i="3"/>
  <c r="AY97" i="3"/>
  <c r="AY290" i="3"/>
  <c r="AY569" i="3"/>
  <c r="AY283" i="3"/>
  <c r="AY396" i="3"/>
  <c r="AY245" i="3"/>
  <c r="AY456" i="3"/>
  <c r="AY247" i="3"/>
  <c r="AY78" i="3"/>
  <c r="AY375" i="3"/>
  <c r="AY506" i="3"/>
  <c r="AY475" i="3"/>
  <c r="AY487" i="3"/>
  <c r="AY539" i="3"/>
  <c r="AY326" i="3"/>
  <c r="AY168" i="3"/>
  <c r="AY305" i="3"/>
  <c r="AY481" i="3"/>
  <c r="AY267" i="3"/>
  <c r="AY433" i="3"/>
  <c r="AY51" i="3"/>
  <c r="AY155" i="3"/>
  <c r="AY201" i="3"/>
  <c r="AY212" i="3"/>
  <c r="AY353" i="3"/>
  <c r="AY419" i="3"/>
  <c r="AY474" i="3"/>
  <c r="AY392" i="3"/>
  <c r="AY22" i="3"/>
  <c r="AY531" i="3"/>
  <c r="AY399" i="3"/>
  <c r="AY358" i="3"/>
  <c r="AY440" i="3"/>
  <c r="AY260" i="3"/>
  <c r="AY116" i="3"/>
  <c r="AY442" i="3"/>
  <c r="AY189" i="3"/>
  <c r="AY94" i="3"/>
  <c r="AY543" i="3"/>
  <c r="AY312" i="3"/>
  <c r="AY491" i="3"/>
  <c r="AY92" i="3"/>
  <c r="AY170" i="3"/>
  <c r="AY87" i="3"/>
  <c r="AY176" i="3"/>
  <c r="AY162" i="3"/>
  <c r="AY388" i="3"/>
  <c r="AY480" i="3"/>
  <c r="AY190" i="3"/>
  <c r="BM6" i="3"/>
  <c r="AY366" i="3"/>
  <c r="AY572" i="3"/>
  <c r="AY393" i="3"/>
  <c r="AY523" i="3"/>
  <c r="AY566" i="3"/>
  <c r="AY444" i="3"/>
  <c r="S12" i="1"/>
  <c r="M25" i="6"/>
  <c r="I25" i="6" s="1"/>
  <c r="S25" i="6" s="1"/>
  <c r="M22" i="6"/>
  <c r="I22" i="6" s="1"/>
  <c r="S22" i="6" s="1"/>
  <c r="S9" i="1"/>
  <c r="M24" i="6"/>
  <c r="I24" i="6" s="1"/>
  <c r="S24" i="6" s="1"/>
  <c r="S11" i="1"/>
  <c r="S8" i="1"/>
  <c r="M21" i="6"/>
  <c r="I21" i="6" s="1"/>
  <c r="S21" i="6" s="1"/>
  <c r="S13" i="1"/>
  <c r="M26" i="6"/>
  <c r="I26" i="6" s="1"/>
  <c r="S26" i="6" s="1"/>
  <c r="F18" i="11"/>
  <c r="C18" i="11" s="1"/>
  <c r="C19" i="11" s="1"/>
  <c r="F24" i="43"/>
  <c r="C26" i="43" s="1"/>
  <c r="D24" i="43" s="1"/>
  <c r="F33" i="12"/>
  <c r="C34" i="12" s="1"/>
  <c r="D33" i="12" s="1"/>
  <c r="AC6" i="3"/>
  <c r="H6" i="3"/>
  <c r="S15" i="1"/>
  <c r="M28" i="6"/>
  <c r="I28" i="6" s="1"/>
  <c r="S28" i="6" s="1"/>
  <c r="M27" i="6"/>
  <c r="I27" i="6" s="1"/>
  <c r="S27" i="6" s="1"/>
  <c r="S14" i="1"/>
  <c r="S10" i="1"/>
  <c r="M23" i="6"/>
  <c r="I23" i="6" s="1"/>
  <c r="S23" i="6" s="1"/>
  <c r="K30" i="6"/>
  <c r="M19" i="6"/>
  <c r="S6" i="1"/>
  <c r="S16" i="1"/>
  <c r="M29" i="6"/>
  <c r="I29" i="6" s="1"/>
  <c r="S29" i="6" s="1"/>
  <c r="C15" i="43"/>
  <c r="O7" i="1"/>
  <c r="O19" i="1" s="1"/>
  <c r="M19" i="1"/>
  <c r="P7" i="1"/>
  <c r="H12" i="40"/>
  <c r="J12" i="40"/>
  <c r="H12" i="39"/>
  <c r="F12" i="40"/>
  <c r="J12" i="39"/>
  <c r="F12" i="39"/>
  <c r="C6" i="12"/>
  <c r="B20" i="69" l="1"/>
  <c r="E6" i="3"/>
  <c r="S12" i="39"/>
  <c r="AA12" i="39"/>
  <c r="R49" i="39" s="1"/>
  <c r="S12" i="40"/>
  <c r="AA12" i="40"/>
  <c r="R44" i="40" s="1"/>
  <c r="W12" i="40"/>
  <c r="AC12" i="40"/>
  <c r="V44" i="40" s="1"/>
  <c r="I44" i="40" s="1"/>
  <c r="P19" i="1"/>
  <c r="C13" i="12" s="1"/>
  <c r="C15" i="12"/>
  <c r="I19" i="6"/>
  <c r="M30" i="6"/>
  <c r="C20" i="11"/>
  <c r="C21" i="11" s="1"/>
  <c r="C22" i="11" s="1"/>
  <c r="C23" i="11" s="1"/>
  <c r="B2" i="11" s="1"/>
  <c r="C24" i="12"/>
  <c r="C29" i="12"/>
  <c r="W12" i="39"/>
  <c r="AC12" i="39"/>
  <c r="V49" i="39" s="1"/>
  <c r="I49" i="39" s="1"/>
  <c r="U12" i="39"/>
  <c r="AB12" i="39"/>
  <c r="T49" i="39" s="1"/>
  <c r="G49" i="39" s="1"/>
  <c r="U12" i="40"/>
  <c r="AB12" i="40"/>
  <c r="L19" i="1"/>
  <c r="C13" i="43"/>
  <c r="N19" i="1"/>
  <c r="C29" i="43" s="1"/>
  <c r="S19" i="1"/>
  <c r="T15" i="1" s="1"/>
  <c r="K38" i="9"/>
  <c r="D5" i="6"/>
  <c r="D6" i="6"/>
  <c r="H28" i="6"/>
  <c r="H27" i="6"/>
  <c r="H21" i="6"/>
  <c r="H20" i="6"/>
  <c r="F45" i="9"/>
  <c r="D11" i="6"/>
  <c r="D14" i="6"/>
  <c r="H25" i="6"/>
  <c r="H26" i="6"/>
  <c r="D13" i="6"/>
  <c r="F46" i="9"/>
  <c r="D25" i="6"/>
  <c r="R25" i="6" s="1"/>
  <c r="R12" i="1" s="1"/>
  <c r="D10" i="6"/>
  <c r="H24" i="6"/>
  <c r="H22" i="6"/>
  <c r="E46" i="9"/>
  <c r="H23" i="6"/>
  <c r="D9" i="6"/>
  <c r="D23" i="6"/>
  <c r="R23" i="6" s="1"/>
  <c r="R10" i="1" s="1"/>
  <c r="D29" i="6"/>
  <c r="D20" i="6"/>
  <c r="D27" i="6"/>
  <c r="R27" i="6" s="1"/>
  <c r="R14" i="1" s="1"/>
  <c r="D26" i="6"/>
  <c r="D21" i="6"/>
  <c r="D8" i="6"/>
  <c r="D12" i="6"/>
  <c r="D15" i="6"/>
  <c r="H29" i="6"/>
  <c r="B4" i="44"/>
  <c r="D32" i="6"/>
  <c r="E45" i="9"/>
  <c r="B5" i="44"/>
  <c r="D31" i="6"/>
  <c r="D24" i="6"/>
  <c r="R24" i="6" s="1"/>
  <c r="R11" i="1" s="1"/>
  <c r="D22" i="6"/>
  <c r="C14" i="66"/>
  <c r="B2" i="66" s="1"/>
  <c r="D28" i="6"/>
  <c r="C22" i="4"/>
  <c r="D19" i="6"/>
  <c r="T12" i="1" l="1"/>
  <c r="T9" i="1"/>
  <c r="T14" i="1"/>
  <c r="R21" i="6"/>
  <c r="R8" i="1" s="1"/>
  <c r="R20" i="6"/>
  <c r="R7" i="1" s="1"/>
  <c r="B3" i="11"/>
  <c r="B4" i="11"/>
  <c r="B5" i="11"/>
  <c r="A6" i="64"/>
  <c r="A6" i="51"/>
  <c r="B7" i="63" s="1"/>
  <c r="A20" i="64"/>
  <c r="A20" i="51"/>
  <c r="B15" i="63" s="1"/>
  <c r="N5" i="54"/>
  <c r="B43" i="63" s="1"/>
  <c r="D8" i="66"/>
  <c r="D7" i="66"/>
  <c r="R29" i="6"/>
  <c r="R16" i="1" s="1"/>
  <c r="T17" i="1"/>
  <c r="T7" i="1"/>
  <c r="T8" i="1"/>
  <c r="I30" i="6"/>
  <c r="S19" i="6"/>
  <c r="S30" i="6" s="1"/>
  <c r="I48" i="40"/>
  <c r="J48" i="40" s="1"/>
  <c r="G49" i="40"/>
  <c r="H49" i="40" s="1"/>
  <c r="E44" i="40"/>
  <c r="R45" i="40"/>
  <c r="E49" i="39"/>
  <c r="R50" i="39"/>
  <c r="T13" i="1"/>
  <c r="D30" i="6"/>
  <c r="R28" i="6"/>
  <c r="R15" i="1" s="1"/>
  <c r="R22" i="6"/>
  <c r="R9" i="1" s="1"/>
  <c r="D33" i="6"/>
  <c r="D16" i="6"/>
  <c r="R26" i="6"/>
  <c r="R13" i="1" s="1"/>
  <c r="H19" i="6"/>
  <c r="H30" i="6" s="1"/>
  <c r="T11" i="1"/>
  <c r="T10" i="1"/>
  <c r="T6" i="1"/>
  <c r="C14" i="43"/>
  <c r="C17" i="43"/>
  <c r="G54" i="39"/>
  <c r="H54" i="39" s="1"/>
  <c r="G53" i="39"/>
  <c r="H53" i="39" s="1"/>
  <c r="I53" i="39"/>
  <c r="J53" i="39" s="1"/>
  <c r="I54" i="39"/>
  <c r="J54" i="39" s="1"/>
  <c r="T16" i="1"/>
  <c r="C14" i="12"/>
  <c r="C17" i="12"/>
  <c r="C18" i="43" l="1"/>
  <c r="C18" i="12"/>
  <c r="C23" i="12" s="1"/>
  <c r="C28" i="12" s="1"/>
  <c r="C26" i="12" s="1"/>
  <c r="C19" i="43"/>
  <c r="C22" i="43" s="1"/>
  <c r="C21" i="43" s="1"/>
  <c r="R19" i="6"/>
  <c r="E53" i="39"/>
  <c r="F53" i="39" s="1"/>
  <c r="E54" i="39"/>
  <c r="F54" i="39" s="1"/>
  <c r="E49" i="40"/>
  <c r="F49" i="40" s="1"/>
  <c r="E48" i="40"/>
  <c r="F48" i="40" s="1"/>
  <c r="T19" i="1"/>
  <c r="D34" i="6"/>
  <c r="C49" i="39"/>
  <c r="C50" i="39"/>
  <c r="C45" i="40"/>
  <c r="C44" i="40"/>
  <c r="I49" i="40"/>
  <c r="J49" i="40" s="1"/>
  <c r="C25" i="43" l="1"/>
  <c r="C24" i="43" s="1"/>
  <c r="C28" i="43" s="1"/>
  <c r="C30" i="43" s="1"/>
  <c r="C32" i="43" s="1"/>
  <c r="B2" i="43" s="1"/>
  <c r="C35" i="12"/>
  <c r="C33" i="12" s="1"/>
  <c r="C31" i="12"/>
  <c r="C30" i="12" s="1"/>
  <c r="B55" i="40"/>
  <c r="F55" i="40" s="1"/>
  <c r="B61" i="40"/>
  <c r="F61" i="40" s="1"/>
  <c r="B57" i="40"/>
  <c r="F57" i="40" s="1"/>
  <c r="B62" i="40"/>
  <c r="F62" i="40" s="1"/>
  <c r="B58" i="40"/>
  <c r="F58" i="40" s="1"/>
  <c r="B59" i="40"/>
  <c r="F59" i="40" s="1"/>
  <c r="B54" i="40"/>
  <c r="F54" i="40" s="1"/>
  <c r="B60" i="40"/>
  <c r="F60" i="40" s="1"/>
  <c r="B56" i="40"/>
  <c r="F56" i="40" s="1"/>
  <c r="B53" i="40"/>
  <c r="F53" i="40" s="1"/>
  <c r="F63" i="40" s="1"/>
  <c r="B2" i="40" s="1"/>
  <c r="B63" i="39"/>
  <c r="F63" i="39" s="1"/>
  <c r="B65" i="39"/>
  <c r="F65" i="39" s="1"/>
  <c r="B61" i="39"/>
  <c r="F61" i="39" s="1"/>
  <c r="B60" i="39"/>
  <c r="F60" i="39" s="1"/>
  <c r="B58" i="39"/>
  <c r="F58" i="39" s="1"/>
  <c r="B66" i="39"/>
  <c r="F66" i="39" s="1"/>
  <c r="B64" i="39"/>
  <c r="F64" i="39" s="1"/>
  <c r="B67" i="39"/>
  <c r="F67" i="39" s="1"/>
  <c r="B59" i="39"/>
  <c r="F59" i="39" s="1"/>
  <c r="B62" i="39"/>
  <c r="F62" i="39" s="1"/>
  <c r="I6" i="6"/>
  <c r="I5" i="6"/>
  <c r="R30" i="6"/>
  <c r="R6" i="1"/>
  <c r="R19" i="1" s="1"/>
  <c r="B5" i="43" l="1"/>
  <c r="B4" i="43"/>
  <c r="C36" i="12"/>
  <c r="B2" i="12" s="1"/>
  <c r="N3" i="12" s="1"/>
  <c r="B3" i="43"/>
  <c r="F68" i="39"/>
  <c r="B2" i="39" s="1"/>
  <c r="B4" i="40"/>
  <c r="B3" i="40"/>
  <c r="B5" i="40"/>
  <c r="D19" i="9"/>
  <c r="B3" i="12" l="1"/>
  <c r="O16" i="12" s="1"/>
  <c r="O14" i="12" s="1"/>
  <c r="B4" i="12"/>
  <c r="D22" i="9"/>
  <c r="L44" i="9"/>
  <c r="G19" i="9"/>
  <c r="B5" i="12"/>
  <c r="B5" i="39"/>
  <c r="B4" i="39"/>
  <c r="B3" i="39"/>
  <c r="D20" i="9"/>
  <c r="D21" i="9"/>
  <c r="G20" i="9" l="1"/>
  <c r="O24" i="12"/>
  <c r="G21" i="9"/>
  <c r="N43" i="9"/>
  <c r="C32" i="9"/>
  <c r="G22" i="9"/>
  <c r="C35" i="9" l="1"/>
  <c r="F42" i="9" s="1"/>
  <c r="O38" i="9"/>
  <c r="C42" i="9"/>
  <c r="O43" i="9"/>
  <c r="C34" i="9"/>
  <c r="C33" i="9"/>
  <c r="E42" i="9" l="1"/>
  <c r="P5" i="54" s="1"/>
  <c r="B46" i="63" s="1"/>
  <c r="M38" i="9"/>
  <c r="K27" i="9" s="1"/>
  <c r="N68" i="9"/>
  <c r="C44" i="9"/>
  <c r="D63" i="9"/>
  <c r="D14" i="66"/>
  <c r="R5" i="54"/>
  <c r="B48" i="63" s="1"/>
  <c r="N38" i="9"/>
  <c r="K28" i="9" s="1"/>
  <c r="D42" i="9"/>
  <c r="Q5" i="54" s="1"/>
  <c r="B47" i="63" s="1"/>
  <c r="K26" i="9"/>
  <c r="K25" i="9"/>
  <c r="C111" i="9" l="1"/>
  <c r="C104" i="9" s="1"/>
  <c r="C103" i="9"/>
  <c r="C82" i="9"/>
  <c r="C81" i="9" s="1"/>
  <c r="C85" i="9" s="1"/>
  <c r="C86" i="9" s="1"/>
  <c r="D72" i="9" s="1"/>
  <c r="D71" i="9"/>
  <c r="D66" i="9" s="1"/>
  <c r="N72" i="9" s="1"/>
  <c r="C96" i="9"/>
  <c r="C91" i="9" s="1"/>
  <c r="D77" i="9"/>
  <c r="N75" i="9" s="1"/>
  <c r="D70" i="9"/>
  <c r="C90" i="9"/>
  <c r="B5" i="66"/>
  <c r="F14" i="66"/>
  <c r="E14" i="66"/>
  <c r="E44" i="9"/>
  <c r="G14" i="66"/>
  <c r="B6" i="66" s="1"/>
  <c r="N69" i="9"/>
  <c r="D44" i="9"/>
  <c r="F44" i="9"/>
  <c r="O39" i="9"/>
  <c r="K29" i="9" l="1"/>
  <c r="K30" i="9" s="1"/>
  <c r="R6" i="54"/>
  <c r="B50" i="63" s="1"/>
  <c r="C6" i="66"/>
  <c r="D6" i="66"/>
  <c r="D5" i="66"/>
  <c r="C5" i="66"/>
  <c r="M88" i="9"/>
  <c r="N88" i="9" s="1"/>
  <c r="M87" i="9"/>
  <c r="N87" i="9" s="1"/>
  <c r="M84" i="9"/>
  <c r="N84" i="9" s="1"/>
  <c r="M85" i="9"/>
  <c r="N85" i="9" s="1"/>
  <c r="M86" i="9"/>
  <c r="N86" i="9" s="1"/>
  <c r="M83" i="9"/>
  <c r="N83" i="9" s="1"/>
  <c r="N89" i="9" s="1"/>
  <c r="O89" i="9" s="1"/>
  <c r="C97" i="9"/>
  <c r="C113" i="9"/>
  <c r="C98" i="9" l="1"/>
  <c r="E98" i="9" s="1"/>
  <c r="E99" i="9" s="1"/>
  <c r="C99" i="9"/>
  <c r="C114" i="9"/>
  <c r="E114" i="9" s="1"/>
  <c r="E115" i="9" s="1"/>
  <c r="C115" i="9"/>
  <c r="D76" i="9" s="1"/>
  <c r="D74" i="9" s="1"/>
  <c r="N74" i="9" s="1"/>
  <c r="O77" i="9" s="1"/>
  <c r="O78" i="9" l="1"/>
  <c r="O79"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<sst xmlns="http://schemas.openxmlformats.org/spreadsheetml/2006/main" count="9364" uniqueCount="3809">
  <si>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</si>
  <si>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</si>
  <si>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</si>
  <si>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</si>
  <si>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</si>
  <si>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</si>
  <si>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</si>
  <si>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</si>
  <si>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</si>
  <si>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</si>
  <si>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</si>
  <si>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</si>
  <si>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</si>
  <si>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</si>
  <si>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</si>
  <si>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</si>
  <si>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</si>
  <si>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</si>
  <si>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</si>
  <si>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</si>
  <si>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</si>
  <si>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</si>
  <si>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</si>
  <si>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200-300</t>
    <phoneticPr fontId="27" type="noConversion"/>
  </si>
  <si>
    <t>300-400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</si>
  <si>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</si>
  <si>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</si>
  <si>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</si>
  <si>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</si>
  <si>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</si>
  <si>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</si>
  <si>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</si>
  <si>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</si>
  <si>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</si>
  <si>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</si>
  <si>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</si>
  <si>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</si>
  <si>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</si>
  <si>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</si>
  <si>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</si>
  <si>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</si>
  <si>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</si>
  <si>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</si>
  <si>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</si>
  <si>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</si>
  <si>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</si>
  <si>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</si>
  <si>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</si>
  <si>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</si>
  <si>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</si>
  <si>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</si>
  <si>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</si>
  <si>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</si>
  <si>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</si>
  <si>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</si>
  <si>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</si>
  <si>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</si>
  <si>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</si>
  <si>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</si>
  <si>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</si>
  <si>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</si>
  <si>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</si>
  <si>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</si>
  <si>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</si>
  <si>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</si>
  <si>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</si>
  <si>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</si>
  <si>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</si>
  <si>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</si>
  <si>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</si>
  <si>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</si>
  <si>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</si>
  <si>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</si>
  <si>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</si>
  <si>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</si>
  <si>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</si>
  <si>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</si>
  <si>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</si>
  <si>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</si>
  <si>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</si>
  <si>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</si>
  <si>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</si>
  <si>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</si>
  <si>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</si>
  <si>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</si>
  <si>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</si>
  <si>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</si>
  <si>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</si>
  <si>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</si>
  <si>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</si>
  <si>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</si>
  <si>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</si>
  <si>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</si>
  <si>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</si>
  <si>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</si>
  <si>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</si>
  <si>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</si>
  <si>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</si>
  <si>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</si>
  <si>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</si>
  <si>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</si>
  <si>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</si>
  <si>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</si>
  <si>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</si>
  <si>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</si>
  <si>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</si>
  <si>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</si>
  <si>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</si>
  <si>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</si>
  <si>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</si>
  <si>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</si>
  <si>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</si>
  <si>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</si>
  <si>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</si>
  <si>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</si>
  <si>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</si>
  <si>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</si>
  <si>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</si>
  <si>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</si>
  <si>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</si>
  <si>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</si>
  <si>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</si>
  <si>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</si>
  <si>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</si>
  <si>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</si>
  <si>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</si>
  <si>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</si>
  <si>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</si>
  <si>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</si>
  <si>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</si>
  <si>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</si>
  <si>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</si>
  <si>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</si>
  <si>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</si>
  <si>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</si>
  <si>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</si>
  <si>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</si>
  <si>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</si>
  <si>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</si>
  <si>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</si>
  <si>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</si>
  <si>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</si>
  <si>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</si>
  <si>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</si>
  <si>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</si>
  <si>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</si>
  <si>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</si>
  <si>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</si>
  <si>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</si>
  <si>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</si>
  <si>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</si>
  <si>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</si>
  <si>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</si>
  <si>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</si>
  <si>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</si>
  <si>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</si>
  <si>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</si>
  <si>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</si>
  <si>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</si>
  <si>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</si>
  <si>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</si>
  <si>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</si>
  <si>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</si>
  <si>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</si>
  <si>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</si>
  <si>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</si>
  <si>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</si>
  <si>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</si>
  <si>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</si>
  <si>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</si>
  <si>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</si>
  <si>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</si>
  <si>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</si>
  <si>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</si>
  <si>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</si>
  <si>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</si>
  <si>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</si>
  <si>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</si>
  <si>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</si>
  <si>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</si>
  <si>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</si>
  <si>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</si>
  <si>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</si>
  <si>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</si>
  <si>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</si>
  <si>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</si>
  <si>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</si>
  <si>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</si>
  <si>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</si>
  <si>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</si>
  <si>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</si>
  <si>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</si>
  <si>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</si>
  <si>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</si>
  <si>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</si>
  <si>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</si>
  <si>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</si>
  <si>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</si>
  <si>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</si>
  <si>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</si>
  <si>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</si>
  <si>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</si>
  <si>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</si>
  <si>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</si>
  <si>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</si>
  <si>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</si>
  <si>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</si>
  <si>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</si>
  <si>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</si>
  <si>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</si>
  <si>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</si>
  <si>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</si>
  <si>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</si>
  <si>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</si>
  <si>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</si>
  <si>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</si>
  <si>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</si>
  <si>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</si>
  <si>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</si>
  <si>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</si>
  <si>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</si>
  <si>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</si>
  <si>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</si>
  <si>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</si>
  <si>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</si>
  <si>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</si>
  <si>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</si>
  <si>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</si>
  <si>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</si>
  <si>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</si>
  <si>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</si>
  <si>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</si>
  <si>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</si>
  <si>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</si>
  <si>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</si>
  <si>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</si>
  <si>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</si>
  <si>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</si>
  <si>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</si>
  <si>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</si>
  <si>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</si>
  <si>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</si>
  <si>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</si>
  <si>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</si>
  <si>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</si>
  <si>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</si>
  <si>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</si>
  <si>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</si>
  <si>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</si>
  <si>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</si>
  <si>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</si>
  <si>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</si>
  <si>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</si>
  <si>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</si>
  <si>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</si>
  <si>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</si>
  <si>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</si>
  <si>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</si>
  <si>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</si>
  <si>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</si>
  <si>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</si>
  <si>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</si>
  <si>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</si>
  <si>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</si>
  <si>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</si>
  <si>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</si>
  <si>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</si>
  <si>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</si>
  <si>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</si>
  <si>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</si>
  <si>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</si>
  <si>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</si>
  <si>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</si>
  <si>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</si>
  <si>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</si>
  <si>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</si>
  <si>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</si>
  <si>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</si>
  <si>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</si>
  <si>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</si>
  <si>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</si>
  <si>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</si>
  <si>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</si>
  <si>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</si>
  <si>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</si>
  <si>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</si>
  <si>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</si>
  <si>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</si>
  <si>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</si>
  <si>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</si>
  <si>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</si>
  <si>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</si>
  <si>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</si>
  <si>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</si>
  <si>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</si>
  <si>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</si>
  <si>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</si>
  <si>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</si>
  <si>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</si>
  <si>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</si>
  <si>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</si>
  <si>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</si>
  <si>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</si>
  <si>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</si>
  <si>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</si>
  <si>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</si>
  <si>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</si>
  <si>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</si>
  <si>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</si>
  <si>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</si>
  <si>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</si>
  <si>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</si>
  <si>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</si>
  <si>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</si>
  <si>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</si>
  <si>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</si>
  <si>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</si>
  <si>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</si>
  <si>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</si>
  <si>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</si>
  <si>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</si>
  <si>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</si>
  <si>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</si>
  <si>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</si>
  <si>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</si>
  <si>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</si>
  <si>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</si>
  <si>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</si>
  <si>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</si>
  <si>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</si>
  <si>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</si>
  <si>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</si>
  <si>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</si>
  <si>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</si>
  <si>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</si>
  <si>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</si>
  <si>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</si>
  <si>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</si>
  <si>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</si>
  <si>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</si>
  <si>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</si>
  <si>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</si>
  <si>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</si>
  <si>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</si>
  <si>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</si>
  <si>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</si>
  <si>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</si>
  <si>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</si>
  <si>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</si>
  <si>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</si>
  <si>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</si>
  <si>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</si>
  <si>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</si>
  <si>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</si>
  <si>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</si>
  <si>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</si>
  <si>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</si>
  <si>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</si>
  <si>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</si>
  <si>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</si>
  <si>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</si>
  <si>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</si>
  <si>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</si>
  <si>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</si>
  <si>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</si>
  <si>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</si>
  <si>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</si>
  <si>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</si>
  <si>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</si>
  <si>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</si>
  <si>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</si>
  <si>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</si>
  <si>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</si>
  <si>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</si>
  <si>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</si>
  <si>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</si>
  <si>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</si>
  <si>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</si>
  <si>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</si>
  <si>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</si>
  <si>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</si>
  <si>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</si>
  <si>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</si>
  <si>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</si>
  <si>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</si>
  <si>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</si>
  <si>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</si>
  <si>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</si>
  <si>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</si>
  <si>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</si>
  <si>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</si>
  <si>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</si>
  <si>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</si>
  <si>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</si>
  <si>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</si>
  <si>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</si>
  <si>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</si>
  <si>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</si>
  <si>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</si>
  <si>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</si>
  <si>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</si>
  <si>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</si>
  <si>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</si>
  <si>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</si>
  <si>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</si>
  <si>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</si>
  <si>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</si>
  <si>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</si>
  <si>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</si>
  <si>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</si>
  <si>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</si>
  <si>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</si>
  <si>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</si>
  <si>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</si>
  <si>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</si>
  <si>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</si>
  <si>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</si>
  <si>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</si>
  <si>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</si>
  <si>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</si>
  <si>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</si>
  <si>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</si>
  <si>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</si>
  <si>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</si>
  <si>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</si>
  <si>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</si>
  <si>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</si>
  <si>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</si>
  <si>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</si>
  <si>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</si>
  <si>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</si>
  <si>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</si>
  <si>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</si>
  <si>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</si>
  <si>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</si>
  <si>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</si>
  <si>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</si>
  <si>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</si>
  <si>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</si>
  <si>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</si>
  <si>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</si>
  <si>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</si>
  <si>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</si>
  <si>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</si>
  <si>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</si>
  <si>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</si>
  <si>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</si>
  <si>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</si>
  <si>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</si>
  <si>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</si>
  <si>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</si>
  <si>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</si>
  <si>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</si>
  <si>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</si>
  <si>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</si>
  <si>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</si>
  <si>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</si>
  <si>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</si>
  <si>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</si>
  <si>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</si>
  <si>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</si>
  <si>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</si>
  <si>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</si>
  <si>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</si>
  <si>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</si>
  <si>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</si>
  <si>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</si>
  <si>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</si>
  <si>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</si>
  <si>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</si>
  <si>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</si>
  <si>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</si>
  <si>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</si>
  <si>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</si>
  <si>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</si>
  <si>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</si>
  <si>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</si>
  <si>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</si>
  <si>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</si>
  <si>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</si>
  <si>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</si>
  <si>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</si>
  <si>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</si>
  <si>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</si>
  <si>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</si>
  <si>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</si>
  <si>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</si>
  <si>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</si>
  <si>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</si>
  <si>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</si>
  <si>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</si>
  <si>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</si>
  <si>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</si>
  <si>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</si>
  <si>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</si>
  <si>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</si>
  <si>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</si>
  <si>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</si>
  <si>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</si>
  <si>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</si>
  <si>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</si>
  <si>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</si>
  <si>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</si>
  <si>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</si>
  <si>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</si>
  <si>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</si>
  <si>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</si>
  <si>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</si>
  <si>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</si>
  <si>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</si>
  <si>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</si>
  <si>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</si>
  <si>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</si>
  <si>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</si>
  <si>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</si>
  <si>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</si>
  <si>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</si>
  <si>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</si>
  <si>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</si>
  <si>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</si>
  <si>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</si>
  <si>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</si>
  <si>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</si>
  <si>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</si>
  <si>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</si>
  <si>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</si>
  <si>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</si>
  <si>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</si>
  <si>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</si>
  <si>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</si>
  <si>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</si>
  <si>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</si>
  <si>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</si>
  <si>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</si>
  <si>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</si>
  <si>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</si>
  <si>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</si>
  <si>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</si>
  <si>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</si>
  <si>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</si>
  <si>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</si>
  <si>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</si>
  <si>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</si>
  <si>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</si>
  <si>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</si>
  <si>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</si>
  <si>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</si>
  <si>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</si>
  <si>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</si>
  <si>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</si>
  <si>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</si>
  <si>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</si>
  <si>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</si>
  <si>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</si>
  <si>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</si>
  <si>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</si>
  <si>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</si>
  <si>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</si>
  <si>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</si>
  <si>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</si>
  <si>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</si>
  <si>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</si>
  <si>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</si>
  <si>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</si>
  <si>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</si>
  <si>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</si>
  <si>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</si>
  <si>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</si>
  <si>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</si>
  <si>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</si>
  <si>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</si>
  <si>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</si>
  <si>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</si>
  <si>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</si>
  <si>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</si>
  <si>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</si>
  <si>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</si>
  <si>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</si>
  <si>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</si>
  <si>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</si>
  <si>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</si>
  <si>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</si>
  <si>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</si>
  <si>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</si>
  <si>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</si>
  <si>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</si>
  <si>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</si>
  <si>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</si>
  <si>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</si>
  <si>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</si>
  <si>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</si>
  <si>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</si>
  <si>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</si>
  <si>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</si>
  <si>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</si>
  <si>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</si>
  <si>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</si>
  <si>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</si>
  <si>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</si>
  <si>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</si>
  <si>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</si>
  <si>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</si>
  <si>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</si>
  <si>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</si>
  <si>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</si>
  <si>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</si>
  <si>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</si>
  <si>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</si>
  <si>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</si>
  <si>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</si>
  <si>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</si>
  <si>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</si>
  <si>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</si>
  <si>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</si>
  <si>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</si>
  <si>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</si>
  <si>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</si>
  <si>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</si>
  <si>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</si>
  <si>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</si>
  <si>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</si>
  <si>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</si>
  <si>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</si>
  <si>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</si>
  <si>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</si>
  <si>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</si>
  <si>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</si>
  <si>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</si>
  <si>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</si>
  <si>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</si>
  <si>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</si>
  <si>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</si>
  <si>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</si>
  <si>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</si>
  <si>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</si>
  <si>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</si>
  <si>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</si>
  <si>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</si>
  <si>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</si>
  <si>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</si>
  <si>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</si>
  <si>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</si>
  <si>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</si>
  <si>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</si>
  <si>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</si>
  <si>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</si>
  <si>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</si>
  <si>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</si>
  <si>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</si>
  <si>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</si>
  <si>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</si>
  <si>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</si>
  <si>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</si>
  <si>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</si>
  <si>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</si>
  <si>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</si>
  <si>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</si>
  <si>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</si>
  <si>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</si>
  <si>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</si>
  <si>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</si>
  <si>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</si>
  <si>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</si>
  <si>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</si>
  <si>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</si>
  <si>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</si>
  <si>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</si>
  <si>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</si>
  <si>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</si>
  <si>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</si>
  <si>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</si>
  <si>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</si>
  <si>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</si>
  <si>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</si>
  <si>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</si>
  <si>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</si>
  <si>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</si>
  <si>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</si>
  <si>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</si>
  <si>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</si>
  <si>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</si>
  <si>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</si>
  <si>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</si>
  <si>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</si>
  <si>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</si>
  <si>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</si>
  <si>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</si>
  <si>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</si>
  <si>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</si>
  <si>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</si>
  <si>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</si>
  <si>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</si>
  <si>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</si>
  <si>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</si>
  <si>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</si>
  <si>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</si>
  <si>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</si>
  <si>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</si>
  <si>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</si>
  <si>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</si>
  <si>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</si>
  <si>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</si>
  <si>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</si>
  <si>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</si>
  <si>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</si>
  <si>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</si>
  <si>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</si>
  <si>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</si>
  <si>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</si>
  <si>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</si>
  <si>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</si>
  <si>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</si>
  <si>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</si>
  <si>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</si>
  <si>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</si>
  <si>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</si>
  <si>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</si>
  <si>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</si>
  <si>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</si>
  <si>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</si>
  <si>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</si>
  <si>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</si>
  <si>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</si>
  <si>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</si>
  <si>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</si>
  <si>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</si>
  <si>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</si>
  <si>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</si>
  <si>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</si>
  <si>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</si>
  <si>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</si>
  <si>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</si>
  <si>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</si>
  <si>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</si>
  <si>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</si>
  <si>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</si>
  <si>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</si>
  <si>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</si>
  <si>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</si>
  <si>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</si>
  <si>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</si>
  <si>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</si>
  <si>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</si>
  <si>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</si>
  <si>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</si>
  <si>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</si>
  <si>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</si>
  <si>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</si>
  <si>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</si>
  <si>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</si>
  <si>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</si>
  <si>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</si>
  <si>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</si>
  <si>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</si>
  <si>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</si>
  <si>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</si>
  <si>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</si>
  <si>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</si>
  <si>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</si>
  <si>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</si>
  <si>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</si>
  <si>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</si>
  <si>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</si>
  <si>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</si>
  <si>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</si>
  <si>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</si>
  <si>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</si>
  <si>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</si>
  <si>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</si>
  <si>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</si>
  <si>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rFont val="仿宋_GB2312"/>
        <family val="3"/>
        <charset val="134"/>
      </rPr>
      <t>联排</t>
    </r>
  </si>
  <si>
    <r>
      <rPr>
        <sz val="11"/>
        <rFont val="仿宋_GB2312"/>
        <family val="3"/>
        <charset val="134"/>
      </rPr>
      <t>独栋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</si>
  <si>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</si>
  <si>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</si>
  <si>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</si>
  <si>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</si>
  <si>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</si>
  <si>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</si>
  <si>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</si>
  <si>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</si>
  <si>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</si>
  <si>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</si>
  <si>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</si>
  <si>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</si>
  <si>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</si>
  <si>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</si>
  <si>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</si>
  <si>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</si>
  <si>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</si>
  <si>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</si>
  <si>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</si>
  <si>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</si>
  <si>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</si>
  <si>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</si>
  <si>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</si>
  <si>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</si>
  <si>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</si>
  <si>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</si>
  <si>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</si>
  <si>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</si>
  <si>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</si>
  <si>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</si>
  <si>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</si>
  <si>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</si>
  <si>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</si>
  <si>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</si>
  <si>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</si>
  <si>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</si>
  <si>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</si>
  <si>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</si>
  <si>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</si>
  <si>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</si>
  <si>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</si>
  <si>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</si>
  <si>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</si>
  <si>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</si>
  <si>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</si>
  <si>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</si>
  <si>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</si>
  <si>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</si>
  <si>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</si>
  <si>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</si>
  <si>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</si>
  <si>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</si>
  <si>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</si>
  <si>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</si>
  <si>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</si>
  <si>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</si>
  <si>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</si>
  <si>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</si>
  <si>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</si>
  <si>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</si>
  <si>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</si>
  <si>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</si>
  <si>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</si>
  <si>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</si>
  <si>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</si>
  <si>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</si>
  <si>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</si>
  <si>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</si>
  <si>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</si>
  <si>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</si>
  <si>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</si>
  <si>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</si>
  <si>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</si>
  <si>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</si>
  <si>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</si>
  <si>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</si>
  <si>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</si>
  <si>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</si>
  <si>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</si>
  <si>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</si>
  <si>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</si>
  <si>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t>1</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</si>
  <si>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</si>
  <si>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rPr>
        <sz val="11"/>
        <color indexed="8"/>
        <rFont val="仿宋_GB2312"/>
        <family val="3"/>
        <charset val="134"/>
      </rPr>
      <t>商业类型</t>
    </r>
    <phoneticPr fontId="26" type="noConversion"/>
  </si>
  <si>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</si>
  <si>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</si>
  <si>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</si>
  <si>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</si>
  <si>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</si>
  <si>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</si>
  <si>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</si>
  <si>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</si>
  <si>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</si>
  <si>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</si>
  <si>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</si>
  <si>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</si>
  <si>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</si>
  <si>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</si>
  <si>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</si>
  <si>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</si>
  <si>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</si>
  <si>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</si>
  <si>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较适宜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</si>
  <si>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</si>
  <si>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</si>
  <si>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</si>
  <si>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</si>
  <si>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</si>
  <si>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</si>
  <si>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</si>
  <si>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</si>
  <si>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</si>
  <si>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</si>
  <si>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</si>
  <si>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</si>
  <si>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</si>
  <si>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</si>
  <si>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</si>
  <si>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</si>
  <si>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</si>
  <si>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</si>
  <si>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</si>
  <si>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</si>
  <si>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</si>
  <si>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</si>
  <si>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</si>
  <si>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</si>
  <si>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</si>
  <si>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</si>
  <si>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</si>
  <si>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</si>
  <si>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</si>
  <si>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</si>
  <si>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</si>
  <si>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</si>
  <si>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</si>
  <si>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</si>
  <si>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rFont val="仿宋_GB2312"/>
        <family val="3"/>
        <charset val="134"/>
      </rPr>
      <t>高层</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</si>
  <si>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</si>
  <si>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</si>
  <si>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</si>
  <si>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</si>
  <si>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</si>
  <si>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</si>
  <si>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</si>
  <si>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</si>
  <si>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</si>
  <si>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</si>
  <si>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</si>
  <si>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</si>
  <si>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</si>
  <si>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</si>
  <si>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</si>
  <si>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</si>
  <si>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</si>
  <si>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</si>
  <si>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</si>
  <si>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</si>
  <si>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</si>
  <si>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</si>
  <si>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</si>
  <si>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</si>
  <si>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</si>
  <si>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</si>
  <si>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</si>
  <si>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</si>
  <si>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</si>
  <si>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</si>
  <si>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</si>
  <si>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</si>
  <si>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</si>
  <si>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</si>
  <si>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</si>
  <si>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</si>
  <si>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</si>
  <si>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</si>
  <si>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</si>
  <si>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</si>
  <si>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</si>
  <si>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</si>
  <si>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</si>
  <si>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</si>
  <si>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</si>
  <si>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</si>
  <si>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</si>
  <si>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</si>
  <si>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</si>
  <si>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</si>
  <si>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</si>
  <si>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</si>
  <si>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</si>
  <si>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</si>
  <si>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</si>
  <si>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</si>
  <si>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</si>
  <si>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</si>
  <si>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</si>
  <si>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</si>
  <si>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</si>
  <si>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</si>
  <si>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</si>
  <si>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</si>
  <si>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</si>
  <si>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</si>
  <si>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</si>
  <si>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</si>
  <si>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</si>
  <si>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</si>
  <si>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color indexed="8"/>
        <rFont val="仿宋_GB2312"/>
        <family val="3"/>
        <charset val="134"/>
      </rPr>
      <t>是否直接入户</t>
    </r>
    <phoneticPr fontId="26"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</si>
  <si>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</si>
  <si>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</si>
  <si>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</si>
  <si>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</si>
  <si>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</si>
  <si>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</si>
  <si>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</si>
  <si>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</si>
  <si>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</si>
  <si>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</si>
  <si>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</si>
  <si>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</si>
  <si>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</si>
  <si>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</si>
  <si>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</si>
  <si>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</si>
  <si>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</si>
  <si>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</si>
  <si>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</si>
  <si>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</si>
  <si>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</si>
  <si>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</si>
  <si>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</si>
  <si>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</si>
  <si>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</si>
  <si>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</si>
  <si>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</si>
  <si>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</si>
  <si>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</si>
  <si>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</si>
  <si>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</si>
  <si>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</si>
  <si>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</si>
  <si>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</si>
  <si>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</si>
  <si>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</si>
  <si>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</si>
  <si>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</si>
  <si>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</si>
  <si>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</si>
  <si>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</si>
  <si>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</si>
  <si>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</si>
  <si>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</si>
  <si>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</si>
  <si>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</si>
  <si>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</si>
  <si>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</si>
  <si>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</si>
  <si>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</si>
  <si>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</si>
  <si>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</si>
  <si>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</si>
  <si>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</si>
  <si>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</si>
  <si>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</si>
  <si>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</si>
  <si>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</si>
  <si>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</si>
  <si>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</si>
  <si>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</si>
  <si>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</si>
  <si>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</si>
  <si>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</si>
  <si>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</si>
  <si>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</si>
  <si>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</si>
  <si>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</si>
  <si>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</si>
  <si>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</si>
  <si>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</si>
  <si>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</si>
  <si>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</si>
  <si>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</si>
  <si>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</si>
  <si>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</si>
  <si>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</si>
  <si>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</si>
  <si>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</si>
  <si>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</si>
  <si>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</si>
  <si>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</si>
  <si>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</si>
  <si>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</si>
  <si>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</si>
  <si>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</si>
  <si>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</si>
  <si>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</si>
  <si>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</si>
  <si>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</si>
  <si>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</si>
  <si>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</si>
  <si>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</si>
  <si>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</si>
  <si>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</si>
  <si>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</si>
  <si>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</si>
  <si>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</si>
  <si>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</si>
  <si>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</si>
  <si>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</si>
  <si>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</si>
  <si>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</si>
  <si>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</si>
  <si>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</si>
  <si>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</si>
  <si>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</si>
  <si>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</si>
  <si>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</si>
  <si>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</si>
  <si>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</si>
  <si>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</si>
  <si>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</si>
  <si>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</si>
  <si>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</si>
  <si>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</si>
  <si>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</si>
  <si>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</si>
  <si>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</si>
  <si>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</si>
  <si>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</si>
  <si>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</si>
  <si>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</si>
  <si>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</si>
  <si>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</si>
  <si>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</si>
  <si>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</si>
  <si>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</si>
  <si>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</si>
  <si>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</si>
  <si>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</si>
  <si>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</si>
  <si>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</si>
  <si>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</si>
  <si>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</si>
  <si>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</si>
  <si>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</si>
  <si>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</si>
  <si>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</si>
  <si>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</si>
  <si>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</si>
  <si>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</si>
  <si>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</si>
  <si>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</si>
  <si>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</si>
  <si>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</si>
  <si>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</si>
  <si>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</si>
  <si>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</si>
  <si>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</si>
  <si>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</si>
  <si>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</si>
  <si>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</si>
  <si>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</si>
  <si>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</si>
  <si>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</si>
  <si>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</si>
  <si>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</si>
  <si>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</si>
  <si>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</si>
  <si>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</si>
  <si>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</si>
  <si>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</si>
  <si>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</si>
  <si>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</si>
  <si>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</si>
  <si>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</si>
  <si>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</si>
  <si>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</si>
  <si>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</si>
  <si>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</si>
  <si>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</si>
  <si>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</si>
  <si>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</si>
  <si>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</si>
  <si>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</si>
  <si>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</si>
  <si>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</si>
  <si>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</si>
  <si>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</si>
  <si>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</si>
  <si>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</si>
  <si>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</si>
  <si>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</si>
  <si>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</si>
  <si>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</si>
  <si>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</si>
  <si>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</si>
  <si>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</si>
  <si>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</si>
  <si>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</si>
  <si>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</si>
  <si>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</si>
  <si>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</si>
  <si>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</si>
  <si>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</si>
  <si>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</si>
  <si>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</si>
  <si>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</si>
  <si>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</si>
  <si>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</si>
  <si>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</si>
  <si>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</si>
  <si>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</si>
  <si>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</si>
  <si>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</si>
  <si>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</si>
  <si>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</si>
  <si>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</si>
  <si>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</si>
  <si>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</si>
  <si>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</si>
  <si>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</si>
  <si>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</si>
  <si>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</si>
  <si>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</si>
  <si>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</si>
  <si>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</si>
  <si>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</si>
  <si>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</si>
  <si>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</si>
  <si>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</si>
  <si>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</si>
  <si>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</si>
  <si>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</si>
  <si>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</si>
  <si>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</si>
  <si>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</si>
  <si>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</si>
  <si>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</si>
  <si>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</si>
  <si>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</si>
  <si>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</si>
  <si>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</si>
  <si>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</si>
  <si>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</si>
  <si>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</si>
  <si>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</si>
  <si>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</si>
  <si>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</si>
  <si>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</si>
  <si>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</si>
  <si>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</si>
  <si>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</si>
  <si>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</si>
  <si>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</si>
  <si>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</si>
  <si>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</si>
  <si>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</si>
  <si>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</si>
  <si>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</si>
  <si>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</si>
  <si>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</si>
  <si>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</si>
  <si>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</si>
  <si>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</si>
  <si>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</si>
  <si>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</si>
  <si>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</si>
  <si>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</si>
  <si>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</si>
  <si>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</si>
  <si>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</si>
  <si>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</si>
  <si>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</si>
  <si>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</si>
  <si>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</si>
  <si>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</si>
  <si>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</si>
  <si>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</si>
  <si>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</si>
  <si>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</si>
  <si>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</si>
  <si>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</si>
  <si>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</si>
  <si>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</si>
  <si>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</si>
  <si>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</si>
  <si>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</si>
  <si>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</si>
  <si>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</si>
  <si>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</si>
  <si>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</si>
  <si>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</si>
  <si>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</si>
  <si>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</si>
  <si>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</si>
  <si>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</si>
  <si>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</si>
  <si>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</si>
  <si>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</si>
  <si>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</si>
  <si>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</si>
  <si>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</si>
  <si>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</si>
  <si>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</si>
  <si>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</si>
  <si>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</si>
  <si>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</si>
  <si>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</si>
  <si>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</si>
  <si>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</si>
  <si>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</si>
  <si>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</si>
  <si>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</si>
  <si>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</si>
  <si>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</si>
  <si>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</si>
  <si>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</si>
  <si>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</si>
  <si>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</si>
  <si>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</si>
  <si>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</si>
  <si>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</si>
  <si>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</si>
  <si>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</si>
  <si>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</si>
  <si>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</si>
  <si>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</si>
  <si>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</si>
  <si>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</si>
  <si>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</si>
  <si>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</si>
  <si>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</si>
  <si>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</si>
  <si>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</si>
  <si>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</si>
  <si>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</si>
  <si>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</si>
  <si>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</si>
  <si>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</si>
  <si>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</si>
  <si>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</si>
  <si>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</si>
  <si>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</si>
  <si>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</si>
  <si>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</si>
  <si>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</si>
  <si>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</si>
  <si>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</si>
  <si>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</si>
  <si>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</si>
  <si>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</si>
  <si>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</si>
  <si>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</si>
  <si>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</si>
  <si>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</si>
  <si>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</si>
  <si>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</si>
  <si>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</si>
  <si>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</si>
  <si>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</si>
  <si>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</si>
  <si>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</si>
  <si>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</si>
  <si>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</si>
  <si>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</si>
  <si>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</si>
  <si>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</si>
  <si>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</si>
  <si>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</si>
  <si>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</si>
  <si>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</si>
  <si>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</si>
  <si>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</si>
  <si>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</si>
  <si>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</si>
  <si>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</si>
  <si>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</si>
  <si>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</si>
  <si>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</si>
  <si>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</si>
  <si>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</si>
  <si>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</si>
  <si>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</si>
  <si>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</si>
  <si>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</si>
  <si>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</si>
  <si>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</si>
  <si>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</si>
  <si>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</si>
  <si>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</si>
  <si>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</si>
  <si>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</si>
  <si>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</si>
  <si>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</si>
  <si>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</si>
  <si>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</si>
  <si>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</si>
  <si>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</si>
  <si>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</si>
  <si>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</si>
  <si>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</si>
  <si>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</si>
  <si>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</si>
  <si>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</si>
  <si>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</si>
  <si>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</si>
  <si>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</si>
  <si>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</si>
  <si>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</si>
  <si>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</si>
  <si>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</si>
  <si>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</si>
  <si>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</si>
  <si>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</si>
  <si>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</si>
  <si>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</si>
  <si>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</si>
  <si>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</si>
  <si>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</si>
  <si>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</si>
  <si>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</si>
  <si>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</si>
  <si>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</si>
  <si>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</si>
  <si>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</si>
  <si>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</si>
  <si>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</si>
  <si>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</si>
  <si>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</si>
  <si>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</si>
  <si>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</si>
  <si>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</si>
  <si>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</si>
  <si>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</si>
  <si>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</si>
  <si>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</si>
  <si>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</si>
  <si>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</si>
  <si>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</si>
  <si>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</si>
  <si>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</si>
  <si>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</si>
  <si>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</si>
  <si>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</si>
  <si>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</si>
  <si>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</si>
  <si>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</si>
  <si>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</si>
  <si>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</si>
  <si>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</si>
  <si>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</si>
  <si>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</si>
  <si>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</si>
  <si>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</si>
  <si>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</si>
  <si>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</si>
  <si>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</si>
  <si>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</si>
  <si>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</si>
  <si>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</si>
  <si>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</si>
  <si>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</si>
  <si>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</si>
  <si>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</si>
  <si>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</si>
  <si>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</si>
  <si>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</si>
  <si>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</si>
  <si>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</si>
  <si>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</si>
  <si>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</si>
  <si>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</si>
  <si>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</si>
  <si>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</si>
  <si>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</si>
  <si>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</si>
  <si>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</si>
  <si>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</si>
  <si>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</si>
  <si>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</si>
  <si>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</si>
  <si>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</si>
  <si>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</si>
  <si>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</si>
  <si>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</si>
  <si>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</si>
  <si>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</si>
  <si>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</si>
  <si>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</si>
  <si>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</si>
  <si>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</si>
  <si>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</si>
  <si>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</si>
  <si>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</si>
  <si>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</si>
  <si>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</si>
  <si>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</si>
  <si>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</si>
  <si>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</si>
  <si>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</si>
  <si>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</si>
  <si>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</si>
  <si>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</si>
  <si>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</si>
  <si>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</si>
  <si>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</si>
  <si>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</si>
  <si>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</si>
  <si>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</si>
  <si>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</si>
  <si>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</si>
  <si>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</si>
  <si>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</si>
  <si>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</si>
  <si>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</si>
  <si>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</si>
  <si>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</si>
  <si>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</si>
  <si>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</si>
  <si>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</si>
  <si>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</si>
  <si>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</si>
  <si>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</si>
  <si>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</si>
  <si>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</si>
  <si>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</si>
  <si>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</si>
  <si>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</si>
  <si>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</si>
  <si>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</si>
  <si>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</si>
  <si>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</si>
  <si>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</si>
  <si>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</si>
  <si>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</si>
  <si>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</si>
  <si>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</si>
  <si>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</si>
  <si>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</si>
  <si>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</si>
  <si>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</si>
  <si>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</si>
  <si>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</si>
  <si>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</si>
  <si>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</si>
  <si>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</si>
  <si>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</si>
  <si>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</si>
  <si>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</si>
  <si>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</si>
  <si>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</si>
  <si>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</si>
  <si>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</si>
  <si>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</si>
  <si>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</si>
  <si>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</si>
  <si>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</si>
  <si>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</si>
  <si>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</si>
  <si>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</si>
  <si>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</si>
  <si>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</si>
  <si>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</si>
  <si>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</si>
  <si>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</si>
  <si>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</si>
  <si>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</si>
  <si>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</si>
  <si>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</si>
  <si>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</si>
  <si>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</si>
  <si>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</si>
  <si>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</si>
  <si>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</si>
  <si>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</si>
  <si>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</si>
  <si>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</si>
  <si>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</si>
  <si>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</si>
  <si>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</si>
  <si>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</si>
  <si>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</si>
  <si>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</si>
  <si>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</si>
  <si>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</si>
  <si>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</si>
  <si>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</si>
  <si>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</si>
  <si>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</si>
  <si>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</si>
  <si>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</si>
  <si>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</si>
  <si>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</si>
  <si>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</si>
  <si>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</si>
  <si>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</si>
  <si>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</si>
  <si>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</si>
  <si>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</si>
  <si>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</si>
  <si>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</si>
  <si>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</si>
  <si>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</si>
  <si>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</si>
  <si>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</si>
  <si>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</si>
  <si>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</si>
  <si>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</si>
  <si>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</si>
  <si>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</si>
  <si>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</si>
  <si>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</si>
  <si>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</si>
  <si>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</si>
  <si>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</si>
  <si>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</si>
  <si>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</si>
  <si>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</si>
  <si>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</si>
  <si>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</si>
  <si>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</si>
  <si>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</si>
  <si>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</si>
  <si>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</si>
  <si>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</si>
  <si>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</si>
  <si>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</si>
  <si>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</si>
  <si>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</si>
  <si>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</si>
  <si>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</si>
  <si>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</si>
  <si>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</si>
  <si>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</si>
  <si>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</si>
  <si>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</si>
  <si>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</si>
  <si>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</si>
  <si>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</si>
  <si>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</si>
  <si>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</si>
  <si>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</si>
  <si>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</si>
  <si>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</si>
  <si>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</si>
  <si>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</si>
  <si>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</si>
  <si>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</si>
  <si>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</si>
  <si>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</si>
  <si>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</si>
  <si>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</si>
  <si>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</si>
  <si>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</si>
  <si>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</si>
  <si>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</si>
  <si>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</si>
  <si>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</si>
  <si>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</si>
  <si>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</si>
  <si>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</si>
  <si>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</si>
  <si>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</si>
  <si>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</si>
  <si>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</si>
  <si>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</si>
  <si>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</si>
  <si>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</si>
  <si>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</si>
  <si>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</si>
  <si>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</si>
  <si>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</si>
  <si>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</si>
  <si>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</si>
  <si>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</si>
  <si>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</si>
  <si>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</si>
  <si>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</si>
  <si>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</si>
  <si>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</si>
  <si>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</si>
  <si>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</si>
  <si>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</si>
  <si>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</si>
  <si>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</si>
  <si>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</si>
  <si>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</si>
  <si>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</si>
  <si>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</si>
  <si>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</si>
  <si>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</si>
  <si>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</si>
  <si>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</si>
  <si>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</si>
  <si>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</si>
  <si>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</si>
  <si>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</si>
  <si>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</si>
  <si>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</si>
  <si>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</si>
  <si>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</si>
  <si>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</si>
  <si>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</si>
  <si>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</si>
  <si>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</si>
  <si>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</si>
  <si>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</si>
  <si>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</si>
  <si>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</si>
  <si>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</si>
  <si>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</si>
  <si>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</si>
  <si>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</si>
  <si>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</si>
  <si>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</si>
  <si>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</si>
  <si>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</si>
  <si>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</si>
  <si>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</si>
  <si>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</si>
  <si>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</si>
  <si>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</si>
  <si>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</si>
  <si>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</si>
  <si>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</si>
  <si>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</si>
  <si>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</si>
  <si>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</si>
  <si>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</si>
  <si>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</si>
  <si>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</si>
  <si>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</si>
  <si>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</si>
  <si>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</si>
  <si>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</si>
  <si>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</si>
  <si>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</si>
  <si>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</si>
  <si>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</si>
  <si>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</si>
  <si>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</si>
  <si>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</si>
  <si>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</si>
  <si>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</si>
  <si>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</si>
  <si>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</si>
  <si>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</si>
  <si>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</si>
  <si>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</si>
  <si>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</si>
  <si>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</si>
  <si>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</si>
  <si>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</si>
  <si>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</si>
  <si>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</si>
  <si>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</si>
  <si>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</si>
  <si>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</si>
  <si>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</si>
  <si>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</si>
  <si>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</si>
  <si>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</si>
  <si>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</si>
  <si>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</si>
  <si>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</si>
  <si>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</si>
  <si>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</si>
  <si>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</si>
  <si>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</si>
  <si>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</si>
  <si>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</si>
  <si>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</si>
  <si>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</si>
  <si>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</si>
  <si>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</si>
  <si>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</si>
  <si>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</si>
  <si>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</si>
  <si>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</si>
  <si>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</si>
  <si>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</si>
  <si>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</si>
  <si>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</si>
  <si>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</si>
  <si>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</si>
  <si>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</si>
  <si>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</si>
  <si>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</si>
  <si>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</si>
  <si>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</si>
  <si>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</si>
  <si>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</si>
  <si>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</si>
  <si>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</si>
  <si>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</si>
  <si>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</si>
  <si>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</si>
  <si>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</si>
  <si>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</si>
  <si>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</si>
  <si>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</si>
  <si>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</si>
  <si>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</si>
  <si>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</si>
  <si>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</si>
  <si>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</si>
  <si>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</si>
  <si>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</si>
  <si>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</si>
  <si>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</si>
  <si>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</si>
  <si>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</si>
  <si>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</si>
  <si>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</si>
  <si>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</si>
  <si>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</si>
  <si>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</si>
  <si>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</si>
  <si>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</si>
  <si>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</si>
  <si>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</si>
  <si>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</si>
  <si>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</si>
  <si>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</si>
  <si>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</si>
  <si>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</si>
  <si>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</si>
  <si>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</si>
  <si>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</si>
  <si>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</si>
  <si>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</si>
  <si>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</si>
  <si>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</si>
  <si>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</si>
  <si>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</si>
  <si>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</si>
  <si>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</si>
  <si>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</si>
  <si>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</si>
  <si>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</si>
  <si>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</si>
  <si>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</si>
  <si>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</si>
  <si>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</si>
  <si>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</si>
  <si>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</si>
  <si>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</si>
  <si>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</si>
  <si>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</si>
  <si>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</si>
  <si>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</si>
  <si>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</si>
  <si>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</si>
  <si>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</si>
  <si>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</si>
  <si>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</si>
  <si>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</si>
  <si>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</si>
  <si>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</si>
  <si>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</si>
  <si>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</si>
  <si>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</si>
  <si>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</si>
  <si>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</si>
  <si>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</si>
  <si>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</si>
  <si>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</si>
  <si>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</si>
  <si>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</si>
  <si>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</si>
  <si>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</si>
  <si>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</si>
  <si>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</si>
  <si>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</si>
  <si>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</si>
  <si>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</si>
  <si>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</si>
  <si>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</si>
  <si>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</si>
  <si>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</si>
  <si>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</si>
  <si>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</si>
  <si>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</si>
  <si>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</si>
  <si>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</si>
  <si>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</si>
  <si>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</si>
  <si>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</si>
  <si>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</si>
  <si>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</si>
  <si>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</si>
  <si>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</si>
  <si>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</si>
  <si>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</si>
  <si>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</si>
  <si>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</si>
  <si>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</si>
  <si>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</si>
  <si>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</si>
  <si>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</si>
  <si>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</si>
  <si>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</si>
  <si>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</si>
  <si>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</si>
  <si>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</si>
  <si>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</si>
  <si>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</si>
  <si>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</si>
  <si>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</si>
  <si>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</si>
  <si>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</si>
  <si>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</si>
  <si>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</si>
  <si>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</si>
  <si>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</si>
  <si>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</si>
  <si>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</si>
  <si>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支路</t>
  </si>
  <si>
    <t>非经营性</t>
  </si>
  <si>
    <t>按房产原值计税</t>
  </si>
  <si>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</si>
  <si>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</si>
  <si>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</si>
  <si>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</si>
  <si>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</si>
  <si>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</si>
  <si>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</si>
  <si>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</si>
  <si>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</si>
  <si>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</si>
  <si>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</si>
  <si>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</si>
  <si>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</si>
  <si>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</si>
  <si>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</si>
  <si>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</si>
  <si>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</si>
  <si>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</si>
  <si>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</si>
  <si>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</si>
  <si>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</si>
  <si>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</si>
  <si>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</si>
  <si>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</si>
  <si>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</si>
  <si>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</si>
  <si>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</si>
  <si>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</si>
  <si>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</si>
  <si>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</si>
  <si>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</si>
  <si>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</si>
  <si>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</si>
  <si>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</si>
  <si>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</si>
  <si>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</si>
  <si>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</si>
  <si>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</si>
  <si>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</si>
  <si>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</si>
  <si>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</si>
  <si>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</si>
  <si>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</si>
  <si>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</si>
  <si>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</si>
  <si>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</si>
  <si>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</si>
  <si>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</si>
  <si>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</si>
  <si>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</si>
  <si>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</si>
  <si>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</si>
  <si>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</si>
  <si>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</si>
  <si>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</si>
  <si>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</si>
  <si>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</si>
  <si>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</si>
  <si>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</si>
  <si>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</si>
  <si>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</si>
  <si>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</si>
  <si>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</si>
  <si>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</si>
  <si>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</si>
  <si>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</si>
  <si>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</si>
  <si>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</si>
  <si>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</si>
  <si>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</si>
  <si>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</si>
  <si>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</si>
  <si>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</si>
  <si>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</si>
  <si>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</si>
  <si>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</si>
  <si>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</si>
  <si>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</si>
  <si>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</si>
  <si>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</si>
  <si>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</si>
  <si>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</si>
  <si>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</si>
  <si>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</si>
  <si>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</si>
  <si>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</si>
  <si>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</si>
  <si>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</si>
  <si>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</si>
  <si>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</si>
  <si>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</si>
  <si>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</si>
  <si>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</si>
  <si>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</si>
  <si>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</si>
  <si>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</si>
  <si>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</si>
  <si>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</si>
  <si>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</si>
  <si>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</si>
  <si>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</si>
  <si>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</si>
  <si>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</si>
  <si>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</si>
  <si>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</si>
  <si>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</si>
  <si>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</si>
  <si>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</si>
  <si>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</si>
  <si>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</si>
  <si>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</si>
  <si>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</si>
  <si>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</si>
  <si>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</si>
  <si>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</si>
  <si>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</si>
  <si>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</si>
  <si>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</si>
  <si>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</si>
  <si>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</si>
  <si>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</si>
  <si>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</si>
  <si>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</si>
  <si>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</si>
  <si>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</si>
  <si>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</si>
  <si>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</si>
  <si>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</si>
  <si>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</si>
  <si>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</si>
  <si>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</si>
  <si>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</si>
  <si>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</si>
  <si>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</si>
  <si>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</si>
  <si>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</si>
  <si>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</si>
  <si>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</si>
  <si>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</si>
  <si>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</si>
  <si>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</si>
  <si>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</si>
  <si>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</si>
  <si>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</si>
  <si>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</si>
  <si>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</si>
  <si>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</si>
  <si>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</si>
  <si>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</si>
  <si>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</si>
  <si>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</si>
  <si>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</si>
  <si>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</si>
  <si>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</si>
  <si>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</si>
  <si>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</si>
  <si>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</si>
  <si>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</si>
  <si>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</si>
  <si>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</si>
  <si>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</si>
  <si>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</si>
  <si>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</si>
  <si>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</si>
  <si>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</si>
  <si>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</si>
  <si>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</si>
  <si>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</si>
  <si>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</si>
  <si>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</si>
  <si>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</si>
  <si>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</si>
  <si>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</si>
  <si>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</si>
  <si>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</si>
  <si>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</si>
  <si>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</si>
  <si>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</si>
  <si>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</si>
  <si>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</si>
  <si>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</si>
  <si>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</si>
  <si>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</si>
  <si>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</si>
  <si>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</si>
  <si>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</si>
  <si>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</si>
  <si>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</si>
  <si>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</si>
  <si>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</si>
  <si>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</si>
  <si>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</si>
  <si>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</si>
  <si>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</si>
  <si>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</si>
  <si>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</si>
  <si>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</si>
  <si>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</si>
  <si>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</si>
  <si>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</si>
  <si>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</si>
  <si>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</si>
  <si>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</si>
  <si>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</si>
  <si>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</si>
  <si>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</si>
  <si>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</si>
  <si>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</si>
  <si>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</si>
  <si>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</si>
  <si>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</si>
  <si>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</si>
  <si>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</si>
  <si>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</si>
  <si>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</si>
  <si>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</si>
  <si>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</si>
  <si>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</si>
  <si>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</si>
  <si>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</si>
  <si>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</si>
  <si>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</si>
  <si>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</si>
  <si>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</si>
  <si>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</si>
  <si>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</si>
  <si>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</si>
  <si>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</si>
  <si>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</si>
  <si>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</si>
  <si>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</si>
  <si>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</si>
  <si>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</si>
  <si>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</si>
  <si>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</si>
  <si>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</si>
  <si>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</si>
  <si>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</si>
  <si>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</si>
  <si>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</si>
  <si>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</si>
  <si>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</si>
  <si>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</si>
  <si>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</si>
  <si>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</si>
  <si>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</si>
  <si>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</si>
  <si>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</si>
  <si>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</si>
  <si>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</si>
  <si>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</si>
  <si>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</si>
  <si>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</si>
  <si>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</si>
  <si>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</si>
  <si>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</si>
  <si>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</si>
  <si>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</si>
  <si>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</si>
  <si>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</si>
  <si>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</si>
  <si>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</si>
  <si>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</si>
  <si>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</si>
  <si>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</si>
  <si>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</si>
  <si>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</si>
  <si>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</si>
  <si>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</si>
  <si>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</si>
  <si>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</si>
  <si>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</si>
  <si>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</si>
  <si>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</si>
  <si>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</si>
  <si>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</si>
  <si>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</si>
  <si>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</si>
  <si>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</si>
  <si>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</si>
  <si>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</si>
  <si>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</si>
  <si>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</si>
  <si>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</si>
  <si>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</si>
  <si>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</si>
  <si>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</si>
  <si>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</si>
  <si>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</si>
  <si>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</si>
  <si>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</si>
  <si>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</si>
  <si>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</si>
  <si>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</si>
  <si>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</si>
  <si>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</si>
  <si>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</si>
  <si>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</si>
  <si>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</si>
  <si>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</si>
  <si>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</si>
  <si>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</si>
  <si>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</si>
  <si>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</si>
  <si>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</si>
  <si>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</si>
  <si>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</si>
  <si>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</si>
  <si>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</si>
  <si>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</si>
  <si>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</si>
  <si>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</si>
  <si>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</si>
  <si>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</si>
  <si>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</si>
  <si>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</si>
  <si>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</si>
  <si>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</si>
  <si>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</si>
  <si>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</si>
  <si>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</si>
  <si>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</si>
  <si>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</si>
  <si>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</si>
  <si>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</si>
  <si>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</si>
  <si>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</si>
  <si>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</si>
  <si>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</si>
  <si>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</si>
  <si>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</si>
  <si>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</si>
  <si>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</si>
  <si>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</si>
  <si>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</si>
  <si>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</si>
  <si>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</si>
  <si>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</si>
  <si>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</si>
  <si>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</si>
  <si>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</si>
  <si>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</si>
  <si>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</si>
  <si>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</si>
  <si>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</si>
  <si>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</si>
  <si>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</si>
  <si>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</si>
  <si>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</si>
  <si>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</si>
  <si>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</si>
  <si>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</si>
  <si>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</si>
  <si>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</si>
  <si>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</si>
  <si>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</si>
  <si>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</si>
  <si>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</si>
  <si>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</si>
  <si>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</si>
  <si>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</si>
  <si>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</si>
  <si>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</si>
  <si>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</si>
  <si>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</si>
  <si>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</si>
  <si>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</si>
  <si>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</si>
  <si>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</si>
  <si>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</si>
  <si>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</si>
  <si>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</si>
  <si>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</si>
  <si>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</si>
  <si>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</si>
  <si>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</si>
  <si>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</si>
  <si>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</si>
  <si>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</si>
  <si>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</si>
  <si>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BB公司</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</si>
  <si>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</si>
  <si>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</si>
  <si>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</si>
  <si>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</si>
  <si>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</si>
  <si>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</si>
  <si>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</si>
  <si>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</si>
  <si>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</si>
  <si>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</si>
  <si>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</si>
  <si>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</si>
  <si>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</si>
  <si>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</si>
  <si>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</si>
  <si>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</si>
  <si>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</si>
  <si>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</si>
  <si>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</si>
  <si>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</si>
  <si>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</si>
  <si>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</si>
  <si>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</si>
  <si>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</si>
  <si>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</si>
  <si>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</si>
  <si>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</si>
  <si>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</si>
  <si>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</si>
  <si>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</si>
  <si>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</si>
  <si>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</si>
  <si>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</si>
  <si>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</si>
  <si>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</si>
  <si>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</si>
  <si>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</si>
  <si>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</si>
  <si>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</si>
  <si>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</si>
  <si>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</si>
  <si>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</si>
  <si>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</si>
  <si>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</si>
  <si>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</si>
  <si>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</si>
  <si>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</si>
  <si>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</si>
  <si>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</si>
  <si>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</si>
  <si>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</si>
  <si>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</si>
  <si>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</si>
  <si>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</si>
  <si>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</si>
  <si>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</si>
  <si>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</si>
  <si>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</si>
  <si>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</si>
  <si>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</si>
  <si>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</si>
  <si>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</si>
  <si>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</si>
  <si>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</si>
  <si>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</si>
  <si>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</si>
  <si>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</si>
  <si>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</si>
  <si>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</si>
  <si>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</si>
  <si>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</si>
  <si>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</si>
  <si>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</si>
  <si>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</si>
  <si>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</si>
  <si>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</si>
  <si>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</si>
  <si>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</si>
  <si>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</si>
  <si>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</si>
  <si>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</si>
  <si>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</si>
  <si>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</si>
  <si>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</si>
  <si>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</si>
  <si>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</si>
  <si>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</si>
  <si>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</si>
  <si>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</si>
  <si>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</si>
  <si>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</si>
  <si>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</si>
  <si>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</si>
  <si>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</si>
  <si>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</si>
  <si>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</si>
  <si>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</si>
  <si>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</si>
  <si>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</si>
  <si>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</si>
  <si>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</si>
  <si>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</si>
  <si>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</si>
  <si>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</si>
  <si>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</si>
  <si>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</si>
  <si>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</si>
  <si>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</si>
  <si>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</si>
  <si>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</si>
  <si>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</si>
  <si>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</si>
  <si>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</si>
  <si>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</si>
  <si>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</si>
  <si>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</si>
  <si>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</si>
  <si>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</si>
  <si>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</si>
  <si>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</si>
  <si>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</si>
  <si>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</si>
  <si>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</si>
  <si>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</si>
  <si>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</si>
  <si>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</si>
  <si>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</si>
  <si>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</si>
  <si>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</si>
  <si>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</si>
  <si>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</si>
  <si>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</si>
  <si>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</si>
  <si>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</si>
  <si>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</si>
  <si>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</si>
  <si>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</si>
  <si>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</si>
  <si>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</si>
  <si>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</si>
  <si>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</si>
  <si>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</si>
  <si>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</si>
  <si>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</si>
  <si>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</si>
  <si>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</si>
  <si>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</si>
  <si>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</si>
  <si>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</si>
  <si>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</si>
  <si>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</si>
  <si>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</si>
  <si>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</si>
  <si>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</si>
  <si>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</si>
  <si>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</si>
  <si>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</si>
  <si>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</si>
  <si>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</si>
  <si>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</si>
  <si>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</si>
  <si>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</si>
  <si>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</si>
  <si>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</si>
  <si>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</si>
  <si>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</si>
  <si>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</si>
  <si>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</si>
  <si>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</si>
  <si>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</si>
  <si>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</si>
  <si>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</si>
  <si>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</si>
  <si>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</si>
  <si>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</si>
  <si>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</si>
  <si>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</si>
  <si>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</si>
  <si>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</si>
  <si>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</si>
  <si>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</si>
  <si>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</si>
  <si>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</si>
  <si>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</si>
  <si>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</si>
  <si>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</si>
  <si>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</si>
  <si>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</si>
  <si>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</si>
  <si>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</si>
  <si>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</si>
  <si>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</si>
  <si>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</si>
  <si>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</si>
  <si>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</si>
  <si>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</si>
  <si>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</si>
  <si>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</si>
  <si>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</si>
  <si>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</si>
  <si>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</si>
  <si>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</si>
  <si>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</si>
  <si>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</si>
  <si>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</si>
  <si>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</si>
  <si>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</si>
  <si>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</si>
  <si>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</si>
  <si>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</si>
  <si>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</si>
  <si>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</si>
  <si>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</si>
  <si>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</si>
  <si>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</si>
  <si>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</si>
  <si>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</si>
  <si>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</si>
  <si>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</si>
  <si>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</si>
  <si>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</si>
  <si>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</si>
  <si>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</si>
  <si>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</si>
  <si>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</si>
  <si>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</si>
  <si>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</si>
  <si>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</si>
  <si>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</si>
  <si>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</si>
  <si>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</si>
  <si>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</si>
  <si>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</si>
  <si>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</si>
  <si>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</si>
  <si>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</si>
  <si>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</si>
  <si>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</si>
  <si>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</si>
  <si>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</si>
  <si>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</si>
  <si>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</si>
  <si>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</si>
  <si>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</si>
  <si>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</si>
  <si>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</si>
  <si>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</si>
  <si>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</si>
  <si>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</si>
  <si>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</si>
  <si>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</si>
  <si>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</si>
  <si>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</si>
  <si>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</si>
  <si>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</si>
  <si>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</si>
  <si>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</si>
  <si>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</si>
  <si>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</si>
  <si>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</si>
  <si>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</si>
  <si>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</si>
  <si>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</si>
  <si>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</si>
  <si>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</si>
  <si>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</si>
  <si>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</si>
  <si>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</si>
  <si>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</si>
  <si>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</si>
  <si>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</si>
  <si>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</si>
  <si>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</si>
  <si>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</si>
  <si>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</si>
  <si>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</si>
  <si>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</si>
  <si>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</si>
  <si>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</si>
  <si>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</si>
  <si>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</si>
  <si>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</si>
  <si>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</si>
  <si>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</si>
  <si>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</si>
  <si>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</si>
  <si>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</si>
  <si>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</si>
  <si>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</si>
  <si>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</si>
  <si>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</si>
  <si>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</si>
  <si>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</si>
  <si>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</si>
  <si>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</si>
  <si>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</si>
  <si>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</si>
  <si>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</si>
  <si>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</si>
  <si>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</si>
  <si>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</si>
  <si>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</si>
  <si>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</si>
  <si>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</si>
  <si>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</si>
  <si>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</si>
  <si>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</si>
  <si>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</si>
  <si>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</si>
  <si>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二类居住</t>
  </si>
  <si>
    <t>多面临街</t>
  </si>
  <si>
    <t>规则</t>
  </si>
  <si>
    <t>六通</t>
  </si>
  <si>
    <t>五通</t>
  </si>
  <si>
    <t>差</t>
  </si>
  <si>
    <t>较规则</t>
  </si>
  <si>
    <t>较不规则</t>
  </si>
  <si>
    <t>高档</t>
  </si>
  <si>
    <t>中档</t>
  </si>
  <si>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</si>
  <si>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</si>
  <si>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</si>
  <si>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</si>
  <si>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</si>
  <si>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</si>
  <si>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</si>
  <si>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</si>
  <si>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</si>
  <si>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</si>
  <si>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</si>
  <si>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</si>
  <si>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</si>
  <si>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</si>
  <si>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</si>
  <si>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</si>
  <si>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</si>
  <si>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</si>
  <si>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</si>
  <si>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</si>
  <si>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</si>
  <si>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</si>
  <si>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</si>
  <si>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</si>
  <si>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</si>
  <si>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</si>
  <si>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</si>
  <si>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</si>
  <si>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</si>
  <si>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</si>
  <si>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</si>
  <si>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</si>
  <si>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</si>
  <si>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</si>
  <si>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</si>
  <si>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</si>
  <si>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</si>
  <si>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</si>
  <si>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</si>
  <si>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</si>
  <si>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</si>
  <si>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</si>
  <si>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</si>
  <si>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</si>
  <si>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</si>
  <si>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</si>
  <si>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</si>
  <si>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</si>
  <si>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</si>
  <si>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</si>
  <si>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</si>
  <si>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</si>
  <si>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</si>
  <si>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</si>
  <si>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</si>
  <si>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</si>
  <si>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</si>
  <si>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</si>
  <si>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</si>
  <si>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</si>
  <si>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</si>
  <si>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</si>
  <si>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</si>
  <si>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</si>
  <si>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</si>
  <si>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</si>
  <si>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</si>
  <si>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</si>
  <si>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</si>
  <si>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</si>
  <si>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</si>
  <si>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</si>
  <si>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</si>
  <si>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</si>
  <si>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</si>
  <si>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</si>
  <si>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</si>
  <si>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</si>
  <si>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</si>
  <si>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</si>
  <si>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</si>
  <si>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</si>
  <si>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</si>
  <si>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</si>
  <si>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</si>
  <si>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</si>
  <si>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</si>
  <si>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</si>
  <si>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</si>
  <si>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</si>
  <si>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</si>
  <si>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</si>
  <si>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</si>
  <si>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</si>
  <si>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</si>
  <si>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</si>
  <si>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</si>
  <si>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</si>
  <si>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</si>
  <si>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</si>
  <si>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</si>
  <si>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</si>
  <si>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</si>
  <si>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</si>
  <si>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</si>
  <si>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</si>
  <si>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</si>
  <si>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</si>
  <si>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</si>
  <si>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</si>
  <si>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</si>
  <si>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</si>
  <si>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</si>
  <si>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</si>
  <si>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</si>
  <si>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</si>
  <si>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</si>
  <si>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</si>
  <si>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</si>
  <si>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</si>
  <si>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</si>
  <si>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</si>
  <si>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</si>
  <si>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</si>
  <si>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</si>
  <si>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</si>
  <si>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</si>
  <si>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</si>
  <si>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</si>
  <si>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</si>
  <si>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</si>
  <si>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</si>
  <si>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</si>
  <si>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</si>
  <si>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</si>
  <si>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</si>
  <si>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</si>
  <si>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</si>
  <si>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</si>
  <si>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</si>
  <si>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</si>
  <si>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</si>
  <si>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</si>
  <si>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</si>
  <si>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</si>
  <si>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</si>
  <si>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</si>
  <si>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</si>
  <si>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</si>
  <si>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</si>
  <si>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</si>
  <si>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</si>
  <si>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</si>
  <si>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</si>
  <si>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</si>
  <si>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</si>
  <si>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</si>
  <si>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</si>
  <si>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</si>
  <si>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</si>
  <si>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</si>
  <si>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</si>
  <si>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</si>
  <si>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</si>
  <si>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</si>
  <si>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</si>
  <si>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</si>
  <si>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</si>
  <si>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</si>
  <si>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</si>
  <si>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</si>
  <si>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</si>
  <si>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</si>
  <si>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</si>
  <si>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</si>
  <si>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</si>
  <si>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</si>
  <si>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</si>
  <si>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</si>
  <si>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</si>
  <si>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</si>
  <si>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</si>
  <si>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</si>
  <si>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</si>
  <si>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</si>
  <si>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</si>
  <si>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</si>
  <si>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</si>
  <si>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</si>
  <si>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</si>
  <si>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</si>
  <si>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</si>
  <si>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</si>
  <si>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</si>
  <si>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</si>
  <si>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</si>
  <si>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</si>
  <si>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</si>
  <si>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</si>
  <si>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</si>
  <si>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</si>
  <si>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</si>
  <si>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</si>
  <si>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</si>
  <si>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</si>
  <si>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</si>
  <si>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</si>
  <si>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</si>
  <si>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</si>
  <si>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</si>
  <si>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</si>
  <si>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</si>
  <si>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</si>
  <si>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</si>
  <si>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</si>
  <si>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</si>
  <si>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</si>
  <si>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</si>
  <si>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</si>
  <si>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</si>
  <si>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</si>
  <si>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</si>
  <si>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</si>
  <si>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</si>
  <si>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</si>
  <si>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</si>
  <si>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</si>
  <si>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</si>
  <si>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</si>
  <si>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</si>
  <si>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</si>
  <si>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</si>
  <si>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</si>
  <si>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</si>
  <si>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</si>
  <si>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</si>
  <si>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</si>
  <si>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</si>
  <si>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</si>
  <si>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</si>
  <si>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</si>
  <si>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</si>
  <si>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</si>
  <si>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</si>
  <si>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</si>
  <si>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</si>
  <si>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</si>
  <si>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</si>
  <si>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</si>
  <si>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</si>
  <si>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</si>
  <si>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</si>
  <si>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</si>
  <si>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</si>
  <si>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</si>
  <si>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</si>
  <si>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</si>
  <si>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</si>
  <si>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</si>
  <si>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</si>
  <si>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</si>
  <si>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</si>
  <si>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</si>
  <si>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</si>
  <si>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</si>
  <si>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</si>
  <si>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</si>
  <si>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</si>
  <si>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</si>
  <si>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</si>
  <si>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</si>
  <si>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</si>
  <si>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</si>
  <si>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</si>
  <si>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</si>
  <si>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</si>
  <si>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</si>
  <si>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</si>
  <si>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</si>
  <si>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</si>
  <si>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</si>
  <si>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</si>
  <si>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</si>
  <si>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</si>
  <si>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</si>
  <si>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</si>
  <si>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</si>
  <si>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</si>
  <si>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</si>
  <si>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</si>
  <si>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</si>
  <si>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</si>
  <si>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</si>
  <si>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</si>
  <si>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</si>
  <si>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</si>
  <si>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</si>
  <si>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</si>
  <si>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</si>
  <si>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</si>
  <si>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</si>
  <si>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</si>
  <si>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</si>
  <si>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</si>
  <si>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</si>
  <si>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</si>
  <si>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</si>
  <si>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</si>
  <si>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</si>
  <si>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</si>
  <si>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</si>
  <si>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</si>
  <si>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</si>
  <si>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</si>
  <si>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</si>
  <si>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</si>
  <si>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</si>
  <si>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</si>
  <si>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</si>
  <si>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</si>
  <si>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</si>
  <si>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</si>
  <si>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</si>
  <si>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</si>
  <si>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</si>
  <si>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</si>
  <si>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</si>
  <si>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</si>
  <si>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</si>
  <si>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</si>
  <si>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</si>
  <si>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</si>
  <si>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</si>
  <si>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</si>
  <si>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</si>
  <si>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</si>
  <si>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</si>
  <si>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</si>
  <si>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</si>
  <si>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</si>
  <si>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</si>
  <si>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</si>
  <si>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</si>
  <si>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</si>
  <si>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</si>
  <si>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</si>
  <si>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</si>
  <si>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</si>
  <si>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</si>
  <si>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</si>
  <si>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</si>
  <si>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</si>
  <si>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</si>
  <si>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</si>
  <si>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</si>
  <si>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</si>
  <si>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</si>
  <si>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</si>
  <si>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</si>
  <si>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</si>
  <si>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</si>
  <si>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</si>
  <si>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</si>
  <si>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</si>
  <si>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</si>
  <si>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</si>
  <si>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</si>
  <si>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</si>
  <si>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</si>
  <si>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</si>
  <si>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</si>
  <si>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</si>
  <si>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</si>
  <si>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</si>
  <si>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</si>
  <si>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</si>
  <si>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</si>
  <si>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</si>
  <si>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</si>
  <si>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</si>
  <si>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</si>
  <si>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</si>
  <si>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</si>
  <si>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</si>
  <si>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</si>
  <si>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</si>
  <si>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</si>
  <si>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</si>
  <si>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</si>
  <si>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</si>
  <si>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</si>
  <si>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</si>
  <si>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</si>
  <si>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</si>
  <si>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</si>
  <si>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中信开发</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</si>
  <si>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</si>
  <si>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</si>
  <si>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</si>
  <si>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</si>
  <si>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</si>
  <si>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</si>
  <si>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</si>
  <si>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</si>
  <si>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</si>
  <si>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</si>
  <si>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</si>
  <si>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</si>
  <si>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</si>
  <si>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</si>
  <si>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</si>
  <si>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</si>
  <si>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</si>
  <si>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</si>
  <si>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</si>
  <si>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</si>
  <si>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</si>
  <si>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</si>
  <si>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</si>
  <si>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</si>
  <si>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</si>
  <si>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</si>
  <si>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</si>
  <si>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</si>
  <si>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</si>
  <si>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</si>
  <si>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</si>
  <si>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</si>
  <si>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</si>
  <si>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</si>
  <si>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</si>
  <si>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</si>
  <si>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交通银行北分</t>
    <phoneticPr fontId="3" type="noConversion"/>
  </si>
  <si>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</si>
  <si>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</si>
  <si>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</si>
  <si>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</si>
  <si>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</si>
  <si>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</si>
  <si>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</si>
  <si>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</si>
  <si>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</si>
  <si>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</si>
  <si>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</si>
  <si>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</si>
  <si>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</si>
  <si>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</si>
  <si>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</si>
  <si>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</si>
  <si>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</si>
  <si>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</si>
  <si>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</si>
  <si>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</si>
  <si>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</si>
  <si>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</si>
  <si>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</si>
  <si>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</si>
  <si>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</si>
  <si>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</si>
  <si>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</si>
  <si>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</si>
  <si>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</si>
  <si>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</si>
  <si>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</si>
  <si>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</si>
  <si>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</si>
  <si>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</si>
  <si>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</si>
  <si>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</si>
  <si>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</si>
  <si>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</si>
  <si>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</si>
  <si>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</si>
  <si>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</si>
  <si>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</si>
  <si>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</si>
  <si>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</si>
  <si>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</si>
  <si>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</si>
  <si>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</si>
  <si>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</si>
  <si>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</si>
  <si>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</si>
  <si>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</si>
  <si>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</si>
  <si>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</si>
  <si>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</si>
  <si>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</si>
  <si>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</si>
  <si>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</si>
  <si>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</si>
  <si>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</si>
  <si>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</si>
  <si>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</si>
  <si>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</si>
  <si>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</si>
  <si>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</si>
  <si>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</si>
  <si>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</si>
  <si>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</si>
  <si>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</si>
  <si>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</si>
  <si>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</si>
  <si>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</si>
  <si>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</si>
  <si>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</si>
  <si>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</si>
  <si>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</si>
  <si>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</si>
  <si>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</si>
  <si>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</si>
  <si>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</si>
  <si>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</si>
  <si>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</si>
  <si>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</si>
  <si>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</si>
  <si>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</si>
  <si>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</si>
  <si>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</si>
  <si>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</si>
  <si>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</si>
  <si>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</si>
  <si>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</si>
  <si>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</si>
  <si>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</si>
  <si>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</si>
  <si>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</si>
  <si>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</si>
  <si>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</si>
  <si>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</si>
  <si>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</si>
  <si>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</si>
  <si>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</si>
  <si>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</si>
  <si>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</si>
  <si>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</si>
  <si>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</si>
  <si>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</si>
  <si>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</si>
  <si>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</si>
  <si>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</si>
  <si>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</si>
  <si>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</si>
  <si>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</si>
  <si>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</si>
  <si>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</si>
  <si>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</si>
  <si>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</si>
  <si>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</si>
  <si>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</si>
  <si>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</si>
  <si>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</si>
  <si>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</si>
  <si>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</si>
  <si>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</si>
  <si>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</si>
  <si>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</si>
  <si>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</si>
  <si>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</si>
  <si>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</si>
  <si>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</si>
  <si>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</si>
  <si>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</si>
  <si>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</si>
  <si>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</si>
  <si>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</si>
  <si>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</si>
  <si>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</si>
  <si>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</si>
  <si>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</si>
  <si>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</si>
  <si>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</si>
  <si>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</si>
  <si>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</si>
  <si>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</si>
  <si>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</si>
  <si>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</si>
  <si>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</si>
  <si>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</si>
  <si>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</si>
  <si>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</si>
  <si>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</si>
  <si>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</si>
  <si>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交通银行北分</t>
    <phoneticPr fontId="3" type="noConversion"/>
  </si>
  <si>
    <t>欧红伟</t>
  </si>
  <si>
    <t>梁津</t>
  </si>
  <si>
    <t>抵押</t>
  </si>
  <si>
    <t>07</t>
    <phoneticPr fontId="3" type="noConversion"/>
  </si>
  <si>
    <t>出让</t>
  </si>
  <si>
    <t>一致</t>
  </si>
  <si>
    <t>《建设工程规划许可证》[]、《出让合同》[]</t>
    <phoneticPr fontId="3" type="noConversion"/>
  </si>
  <si>
    <t>《国有土地使用证》[]</t>
    <phoneticPr fontId="3" type="noConversion"/>
  </si>
  <si>
    <t>《房屋所有权证》</t>
  </si>
  <si>
    <t>居住项目</t>
  </si>
  <si>
    <t>含保障性住房</t>
  </si>
  <si>
    <t>公租房</t>
    <phoneticPr fontId="3" type="noConversion"/>
  </si>
  <si>
    <t>委托估价方尚未取得施工证，但已开始工程建设，并建有临时用房</t>
    <phoneticPr fontId="3" type="noConversion"/>
  </si>
  <si>
    <t>Ⅷ-昌1</t>
  </si>
  <si>
    <t>底商</t>
  </si>
  <si>
    <r>
      <rPr>
        <sz val="11"/>
        <color indexed="8"/>
        <rFont val="仿宋_GB2312"/>
        <family val="3"/>
        <charset val="134"/>
      </rPr>
      <t>平层住宅</t>
    </r>
    <phoneticPr fontId="3"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</si>
  <si>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3" type="noConversion"/>
  </si>
  <si>
    <r>
      <t>LOFT</t>
    </r>
    <r>
      <rPr>
        <sz val="11"/>
        <color indexed="8"/>
        <rFont val="仿宋_GB2312"/>
        <family val="3"/>
        <charset val="134"/>
      </rPr>
      <t>住宅</t>
    </r>
    <phoneticPr fontId="3"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</si>
  <si>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3" type="noConversion"/>
  </si>
  <si>
    <r>
      <rPr>
        <sz val="11"/>
        <color indexed="8"/>
        <rFont val="仿宋_GB2312"/>
        <family val="3"/>
        <charset val="134"/>
      </rPr>
      <t>普通住宅</t>
    </r>
    <phoneticPr fontId="3"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</si>
  <si>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3" type="noConversion"/>
  </si>
  <si>
    <r>
      <rPr>
        <sz val="11"/>
        <color indexed="8"/>
        <rFont val="仿宋_GB2312"/>
        <family val="3"/>
        <charset val="134"/>
      </rPr>
      <t>公寓</t>
    </r>
    <phoneticPr fontId="3"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</si>
  <si>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3" type="noConversion"/>
  </si>
  <si>
    <r>
      <rPr>
        <sz val="11"/>
        <color indexed="8"/>
        <rFont val="仿宋_GB2312"/>
        <family val="3"/>
        <charset val="134"/>
      </rPr>
      <t>洋房</t>
    </r>
    <phoneticPr fontId="3" type="noConversion"/>
  </si>
  <si>
    <t>基准地价</t>
    <phoneticPr fontId="3" type="noConversion"/>
  </si>
  <si>
    <r>
      <rPr>
        <sz val="11"/>
        <color indexed="8"/>
        <rFont val="仿宋_GB2312"/>
        <family val="3"/>
        <charset val="134"/>
      </rPr>
      <t>叠拼</t>
    </r>
    <phoneticPr fontId="3" type="noConversion"/>
  </si>
  <si>
    <r>
      <rPr>
        <sz val="11"/>
        <color indexed="8"/>
        <rFont val="仿宋_GB2312"/>
        <family val="3"/>
        <charset val="134"/>
      </rPr>
      <t>成本逼近法</t>
    </r>
    <phoneticPr fontId="3" type="noConversion"/>
  </si>
  <si>
    <r>
      <rPr>
        <sz val="11"/>
        <color indexed="8"/>
        <rFont val="仿宋_GB2312"/>
        <family val="3"/>
        <charset val="134"/>
      </rPr>
      <t>联排</t>
    </r>
    <phoneticPr fontId="3" type="noConversion"/>
  </si>
  <si>
    <t>不动产收益法-仓储</t>
    <phoneticPr fontId="3" type="noConversion"/>
  </si>
  <si>
    <r>
      <rPr>
        <sz val="11"/>
        <color indexed="8"/>
        <rFont val="仿宋_GB2312"/>
        <family val="3"/>
        <charset val="134"/>
      </rPr>
      <t>双拼</t>
    </r>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</si>
  <si>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多层</t>
    </r>
    <phoneticPr fontId="3" type="noConversion"/>
  </si>
  <si>
    <r>
      <rPr>
        <sz val="11"/>
        <color indexed="8"/>
        <rFont val="仿宋_GB2312"/>
        <family val="3"/>
        <charset val="134"/>
      </rPr>
      <t>独栋</t>
    </r>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</si>
  <si>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3" type="noConversion"/>
  </si>
  <si>
    <t>底商</t>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</si>
  <si>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3" type="noConversion"/>
  </si>
  <si>
    <t>独立商业</t>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</si>
  <si>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3" type="noConversion"/>
  </si>
  <si>
    <r>
      <rPr>
        <sz val="11"/>
        <color indexed="8"/>
        <rFont val="仿宋_GB2312"/>
        <family val="3"/>
        <charset val="134"/>
      </rPr>
      <t>商业街</t>
    </r>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</si>
  <si>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3" type="noConversion"/>
  </si>
  <si>
    <r>
      <rPr>
        <sz val="11"/>
        <color indexed="8"/>
        <rFont val="仿宋_GB2312"/>
        <family val="3"/>
        <charset val="134"/>
      </rPr>
      <t>酒店</t>
    </r>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</si>
  <si>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3" type="noConversion"/>
  </si>
  <si>
    <r>
      <rPr>
        <sz val="11"/>
        <color indexed="8"/>
        <rFont val="仿宋_GB2312"/>
        <family val="3"/>
        <charset val="134"/>
      </rPr>
      <t>标准厂房</t>
    </r>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</si>
  <si>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商业办公</t>
    </r>
    <phoneticPr fontId="3" type="noConversion"/>
  </si>
  <si>
    <r>
      <rPr>
        <sz val="11"/>
        <color indexed="8"/>
        <rFont val="仿宋_GB2312"/>
        <family val="3"/>
        <charset val="134"/>
      </rPr>
      <t>特殊厂房</t>
    </r>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</si>
  <si>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3" type="noConversion"/>
  </si>
  <si>
    <r>
      <rPr>
        <sz val="11"/>
        <color indexed="8"/>
        <rFont val="仿宋_GB2312"/>
        <family val="3"/>
        <charset val="134"/>
      </rPr>
      <t>办公楼</t>
    </r>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</si>
  <si>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3" type="noConversion"/>
  </si>
  <si>
    <r>
      <rPr>
        <sz val="11"/>
        <color indexed="8"/>
        <rFont val="仿宋_GB2312"/>
        <family val="3"/>
        <charset val="134"/>
      </rPr>
      <t>宿舍</t>
    </r>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</si>
  <si>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小高层</t>
    </r>
    <phoneticPr fontId="3" type="noConversion"/>
  </si>
  <si>
    <r>
      <rPr>
        <sz val="11"/>
        <color indexed="8"/>
        <rFont val="仿宋_GB2312"/>
        <family val="3"/>
        <charset val="134"/>
      </rPr>
      <t>食堂</t>
    </r>
    <phoneticPr fontId="3" type="noConversion"/>
  </si>
  <si>
    <r>
      <rPr>
        <sz val="11"/>
        <color theme="1"/>
        <rFont val="宋体"/>
        <family val="3"/>
        <charset val="134"/>
      </rPr>
      <t>典型户型修正</t>
    </r>
    <r>
      <rPr>
        <sz val="11"/>
        <color theme="1"/>
        <rFont val="Arial"/>
        <family val="2"/>
      </rPr>
      <t>-</t>
    </r>
    <r>
      <rPr>
        <sz val="11"/>
        <color theme="1"/>
        <rFont val="宋体"/>
        <family val="3"/>
        <charset val="134"/>
      </rPr>
      <t>多层</t>
    </r>
    <phoneticPr fontId="3" type="noConversion"/>
  </si>
  <si>
    <t>车库-办公商业</t>
    <phoneticPr fontId="3" type="noConversion"/>
  </si>
  <si>
    <r>
      <rPr>
        <sz val="11"/>
        <color theme="1"/>
        <rFont val="宋体"/>
        <family val="3"/>
        <charset val="134"/>
      </rPr>
      <t>典型户型修正</t>
    </r>
    <r>
      <rPr>
        <sz val="11"/>
        <color theme="1"/>
        <rFont val="Arial"/>
        <family val="2"/>
      </rPr>
      <t>-</t>
    </r>
    <r>
      <rPr>
        <sz val="11"/>
        <color theme="1"/>
        <rFont val="宋体"/>
        <family val="3"/>
        <charset val="134"/>
      </rPr>
      <t>车位</t>
    </r>
    <phoneticPr fontId="3" type="noConversion"/>
  </si>
  <si>
    <r>
      <rPr>
        <sz val="11"/>
        <color indexed="8"/>
        <rFont val="仿宋_GB2312"/>
        <family val="3"/>
        <charset val="134"/>
      </rPr>
      <t>戊类库房</t>
    </r>
    <phoneticPr fontId="3" type="noConversion"/>
  </si>
  <si>
    <r>
      <rPr>
        <sz val="11"/>
        <color theme="1"/>
        <rFont val="宋体"/>
        <family val="3"/>
        <charset val="134"/>
      </rPr>
      <t>典型户型修正</t>
    </r>
    <r>
      <rPr>
        <sz val="11"/>
        <color theme="1"/>
        <rFont val="Arial"/>
        <family val="2"/>
      </rPr>
      <t>-</t>
    </r>
    <r>
      <rPr>
        <sz val="11"/>
        <color theme="1"/>
        <rFont val="宋体"/>
        <family val="3"/>
        <charset val="134"/>
      </rPr>
      <t>商业</t>
    </r>
    <phoneticPr fontId="3" type="noConversion"/>
  </si>
  <si>
    <r>
      <rPr>
        <sz val="11"/>
        <color indexed="8"/>
        <rFont val="仿宋_GB2312"/>
        <family val="3"/>
        <charset val="134"/>
      </rPr>
      <t>燃品库房</t>
    </r>
    <phoneticPr fontId="3" type="noConversion"/>
  </si>
  <si>
    <r>
      <t>不动产收益法</t>
    </r>
    <r>
      <rPr>
        <sz val="11"/>
        <color theme="1"/>
        <rFont val="Arial"/>
        <family val="2"/>
      </rPr>
      <t>-</t>
    </r>
    <r>
      <rPr>
        <sz val="11"/>
        <color theme="1"/>
        <rFont val="宋体"/>
        <family val="3"/>
        <charset val="134"/>
      </rPr>
      <t>仓储</t>
    </r>
  </si>
  <si>
    <r>
      <rPr>
        <sz val="11"/>
        <color indexed="8"/>
        <rFont val="仿宋_GB2312"/>
        <family val="3"/>
        <charset val="134"/>
      </rPr>
      <t>非燃品库房</t>
    </r>
    <phoneticPr fontId="3" type="noConversion"/>
  </si>
  <si>
    <t>*</t>
    <phoneticPr fontId="3" type="noConversion"/>
  </si>
  <si>
    <t>车库-住宅</t>
    <phoneticPr fontId="3" type="noConversion"/>
  </si>
  <si>
    <r>
      <rPr>
        <sz val="11"/>
        <color indexed="8"/>
        <rFont val="仿宋_GB2312"/>
        <family val="3"/>
        <charset val="134"/>
      </rPr>
      <t>限价商品房</t>
    </r>
    <phoneticPr fontId="3" type="noConversion"/>
  </si>
  <si>
    <r>
      <rPr>
        <sz val="11"/>
        <color indexed="8"/>
        <rFont val="仿宋_GB2312"/>
        <family val="3"/>
        <charset val="134"/>
      </rPr>
      <t>自住商品房</t>
    </r>
    <phoneticPr fontId="3" type="noConversion"/>
  </si>
  <si>
    <t>公租房</t>
    <phoneticPr fontId="3" type="noConversion"/>
  </si>
  <si>
    <t>办公楼</t>
    <phoneticPr fontId="3" type="noConversion"/>
  </si>
  <si>
    <t>多层住宅</t>
    <phoneticPr fontId="3" type="noConversion"/>
  </si>
  <si>
    <t>地下</t>
  </si>
  <si>
    <t>小高层</t>
  </si>
  <si>
    <t>公租房</t>
  </si>
  <si>
    <t>估价对象周边居住用地比例合宜，周边有路劲世界城和北京风景等住宅小区、居住规模较大，社区发展完善程度较好，综合评价居住社区成熟度较好</t>
    <phoneticPr fontId="3" type="noConversion"/>
  </si>
  <si>
    <t>估价对象周边商业用地较少，周边2km仅有小超市、商业规模较小，综合评价商业繁华度较差</t>
    <phoneticPr fontId="3" type="noConversion"/>
  </si>
  <si>
    <t>估价对象周边办公用地比例合宜，周边有企业墅等办公楼、办公规模一般，综合评价办公集聚程度一般</t>
  </si>
  <si>
    <t>估价对象周边有326、643等公交线路、紧邻昌平线，公共交通通达情况；项目自身有停车位、停车便捷程度较好，综合评价交通便捷度较好</t>
    <phoneticPr fontId="3" type="noConversion"/>
  </si>
  <si>
    <t>估价对象所在区域公共配套设施较齐备；</t>
    <phoneticPr fontId="3" type="noConversion"/>
  </si>
  <si>
    <t>基础设施水平七通一平</t>
    <phoneticPr fontId="3" type="noConversion"/>
  </si>
  <si>
    <t>区域自然环境：白浮泉公园等；人文环境：无；综合评价环境状况一般</t>
  </si>
  <si>
    <t>城市支路——南中路</t>
  </si>
  <si>
    <r>
      <t>昌平区南邵镇</t>
    </r>
    <r>
      <rPr>
        <sz val="11"/>
        <rFont val="Arial"/>
        <family val="2"/>
        <charset val="134"/>
      </rPr>
      <t>0303-07</t>
    </r>
    <r>
      <rPr>
        <sz val="11"/>
        <rFont val="宋体"/>
        <family val="3"/>
        <charset val="134"/>
      </rPr>
      <t>地块</t>
    </r>
    <phoneticPr fontId="3" type="noConversion"/>
  </si>
  <si>
    <t>无配建</t>
    <phoneticPr fontId="3" type="noConversion"/>
  </si>
  <si>
    <t>比例较适宜</t>
  </si>
  <si>
    <t>七通一平</t>
  </si>
  <si>
    <t>配件自住房</t>
    <phoneticPr fontId="3" type="noConversion"/>
  </si>
  <si>
    <t>估价对象周边居住用地比例合宜，周边有富强东里和兴花园等住宅小区、居住规模较大，社区发展完善程度较好，综合评价居住社区成熟度较好</t>
    <phoneticPr fontId="3" type="noConversion"/>
  </si>
  <si>
    <r>
      <rPr>
        <sz val="11"/>
        <rFont val="宋体"/>
        <family val="3"/>
        <charset val="134"/>
      </rPr>
      <t>估价对象周边有一定商业用地，周边</t>
    </r>
    <r>
      <rPr>
        <sz val="11"/>
        <rFont val="Arial"/>
        <family val="2"/>
      </rPr>
      <t>2km</t>
    </r>
    <r>
      <rPr>
        <sz val="11"/>
        <rFont val="宋体"/>
        <family val="3"/>
        <charset val="134"/>
      </rPr>
      <t>有火神庙国际商业中心、京客隆超市，商业规模一般，综合评价商业繁华度一般</t>
    </r>
    <phoneticPr fontId="3" type="noConversion"/>
  </si>
  <si>
    <t>估价对象周边办公用地比例合宜，周边有建设大厦等办公楼、办公规模较大，综合评价办公集聚程度一般</t>
    <phoneticPr fontId="3" type="noConversion"/>
  </si>
  <si>
    <r>
      <rPr>
        <sz val="11"/>
        <rFont val="宋体"/>
        <family val="3"/>
        <charset val="134"/>
      </rPr>
      <t>估价对象周边有</t>
    </r>
    <r>
      <rPr>
        <sz val="11"/>
        <rFont val="Arial"/>
        <family val="2"/>
      </rPr>
      <t>366</t>
    </r>
    <r>
      <rPr>
        <sz val="11"/>
        <rFont val="宋体"/>
        <family val="3"/>
        <charset val="134"/>
      </rPr>
      <t>、</t>
    </r>
    <r>
      <rPr>
        <sz val="11"/>
        <rFont val="Arial"/>
        <family val="2"/>
      </rPr>
      <t>679</t>
    </r>
    <r>
      <rPr>
        <sz val="11"/>
        <rFont val="宋体"/>
        <family val="3"/>
        <charset val="134"/>
      </rPr>
      <t>等公交线路线，</t>
    </r>
    <r>
      <rPr>
        <sz val="11"/>
        <rFont val="Arial"/>
        <family val="2"/>
      </rPr>
      <t>1km</t>
    </r>
    <r>
      <rPr>
        <sz val="11"/>
        <rFont val="宋体"/>
        <family val="3"/>
        <charset val="134"/>
      </rPr>
      <t>内有大兴线，公共交通通达情况；项目自身有停车位、停车便捷程度一般，综合评价交通便捷度一般</t>
    </r>
    <phoneticPr fontId="3" type="noConversion"/>
  </si>
  <si>
    <t>区域自然环境：枣林公园等；人文环境：北京石油化工学院；综合评价环境状况较好</t>
    <phoneticPr fontId="3" type="noConversion"/>
  </si>
  <si>
    <t>估价对象所在区域公共配套设施较齐备；</t>
  </si>
  <si>
    <t>基础设施水平七通一平</t>
  </si>
  <si>
    <t>城市支路——兴亦路</t>
    <phoneticPr fontId="3" type="noConversion"/>
  </si>
  <si>
    <t>正常</t>
  </si>
  <si>
    <t>估价对象周边居住用地比例合宜，周边有龙湾别墅和优山美地等住宅小区、居住规模较大，社区发展完善程度较好，综合评价居住社区成熟度较好</t>
    <phoneticPr fontId="3" type="noConversion"/>
  </si>
  <si>
    <r>
      <rPr>
        <sz val="11"/>
        <rFont val="宋体"/>
        <family val="3"/>
        <charset val="134"/>
      </rPr>
      <t>估价对象周边商业用地较少，周边</t>
    </r>
    <r>
      <rPr>
        <sz val="11"/>
        <rFont val="Arial"/>
        <family val="2"/>
      </rPr>
      <t>2km</t>
    </r>
    <r>
      <rPr>
        <sz val="11"/>
        <rFont val="宋体"/>
        <family val="3"/>
        <charset val="134"/>
      </rPr>
      <t>仅有小超市、商业规模较小，综合评价商业繁华度较差</t>
    </r>
    <phoneticPr fontId="3" type="noConversion"/>
  </si>
  <si>
    <t>估价对象周边办公用地比例较少，周边无等办公楼、办公规模较小，综合评价办公集聚程度较差</t>
    <phoneticPr fontId="3" type="noConversion"/>
  </si>
  <si>
    <r>
      <rPr>
        <sz val="11"/>
        <rFont val="宋体"/>
        <family val="3"/>
        <charset val="134"/>
      </rPr>
      <t>估价对象周边有</t>
    </r>
    <r>
      <rPr>
        <sz val="11"/>
        <rFont val="Arial"/>
        <family val="2"/>
      </rPr>
      <t>942</t>
    </r>
    <r>
      <rPr>
        <sz val="11"/>
        <rFont val="宋体"/>
        <family val="3"/>
        <charset val="134"/>
      </rPr>
      <t>等公交线路，公共交通通达情况；项目自身有停车位、停车便捷程度较差，综合评价交通便捷度较差</t>
    </r>
    <phoneticPr fontId="3" type="noConversion"/>
  </si>
  <si>
    <t>区域自然环境：温榆河等；人文环境：无；综合评价环境状况一般</t>
    <phoneticPr fontId="3" type="noConversion"/>
  </si>
  <si>
    <t>城市支路——裕园路</t>
    <phoneticPr fontId="3" type="noConversion"/>
  </si>
  <si>
    <t>估价对象周边居住用地比例合宜，周边有中海尚湖世家和龙城公寓等住宅小区、居住规模较大，社区发展完善程度较好，综合评价居住社区成熟度较好</t>
    <phoneticPr fontId="3" type="noConversion"/>
  </si>
  <si>
    <r>
      <rPr>
        <sz val="11"/>
        <rFont val="宋体"/>
        <family val="3"/>
        <charset val="134"/>
      </rPr>
      <t>估价对象周边有一定商业用地，周边</t>
    </r>
    <r>
      <rPr>
        <sz val="11"/>
        <rFont val="Arial"/>
        <family val="2"/>
      </rPr>
      <t>2km</t>
    </r>
    <r>
      <rPr>
        <sz val="11"/>
        <rFont val="宋体"/>
        <family val="3"/>
        <charset val="134"/>
      </rPr>
      <t>有北京世纪百汇商业中心、世纪华联超市，商业规模一般，综合评价商业繁华度一般</t>
    </r>
    <phoneticPr fontId="3" type="noConversion"/>
  </si>
  <si>
    <t>估价对象周边办公用地比例合宜，周边有青年创业大厦等办公楼、办公规模较大，综合评价办公集聚程度一般</t>
    <phoneticPr fontId="3" type="noConversion"/>
  </si>
  <si>
    <r>
      <rPr>
        <sz val="11"/>
        <rFont val="宋体"/>
        <family val="3"/>
        <charset val="134"/>
      </rPr>
      <t>估价对象周边有专</t>
    </r>
    <r>
      <rPr>
        <sz val="11"/>
        <rFont val="Arial"/>
        <family val="2"/>
      </rPr>
      <t>51</t>
    </r>
    <r>
      <rPr>
        <sz val="11"/>
        <rFont val="宋体"/>
        <family val="3"/>
        <charset val="134"/>
      </rPr>
      <t>等公交线路，公共交通通达情况；项目自身有停车位、停车便捷程度较差，综合评价交通便捷度较差</t>
    </r>
    <phoneticPr fontId="3" type="noConversion"/>
  </si>
  <si>
    <t>估价对象所在区域公共配套设施齐备度一般；</t>
    <phoneticPr fontId="3" type="noConversion"/>
  </si>
  <si>
    <t>城市支路——回昌路</t>
    <phoneticPr fontId="3" type="noConversion"/>
  </si>
  <si>
    <t>三通一平</t>
  </si>
  <si>
    <r>
      <rPr>
        <sz val="11"/>
        <rFont val="仿宋_GB2312"/>
        <family val="3"/>
        <charset val="134"/>
      </rPr>
      <t>城镇住宅</t>
    </r>
    <phoneticPr fontId="3" type="noConversion"/>
  </si>
  <si>
    <r>
      <rPr>
        <sz val="11"/>
        <rFont val="仿宋_GB2312"/>
        <family val="3"/>
        <charset val="134"/>
      </rPr>
      <t>二类居住</t>
    </r>
    <phoneticPr fontId="3" type="noConversion"/>
  </si>
  <si>
    <t>无配建</t>
  </si>
  <si>
    <t>两个土地证</t>
    <phoneticPr fontId="3" type="noConversion"/>
  </si>
  <si>
    <t>项目统计</t>
    <phoneticPr fontId="3" type="noConversion"/>
  </si>
  <si>
    <t>高层</t>
  </si>
  <si>
    <t>高层</t>
    <phoneticPr fontId="3" type="noConversion"/>
  </si>
  <si>
    <t>叠拼</t>
  </si>
  <si>
    <t>地下商铺</t>
  </si>
  <si>
    <t>保障性住房</t>
  </si>
  <si>
    <t>有产权车位</t>
  </si>
  <si>
    <t>高层</t>
    <phoneticPr fontId="3" type="noConversion"/>
  </si>
  <si>
    <t>叠拼</t>
    <phoneticPr fontId="3" type="noConversion"/>
  </si>
  <si>
    <t>底商1层</t>
  </si>
  <si>
    <t>底商1层</t>
    <phoneticPr fontId="3" type="noConversion"/>
  </si>
  <si>
    <t>底商2层</t>
  </si>
  <si>
    <t>底商2层</t>
    <phoneticPr fontId="3" type="noConversion"/>
  </si>
  <si>
    <t>地下商业</t>
  </si>
  <si>
    <t>地下商业1层</t>
  </si>
  <si>
    <t>地下商业2层</t>
  </si>
  <si>
    <t>地下商业</t>
    <phoneticPr fontId="3" type="noConversion"/>
  </si>
  <si>
    <t>车库</t>
    <phoneticPr fontId="14" type="noConversion"/>
  </si>
  <si>
    <t>限价房</t>
  </si>
  <si>
    <t>限价房</t>
    <phoneticPr fontId="7" type="noConversion"/>
  </si>
  <si>
    <t>公租房</t>
    <phoneticPr fontId="7" type="noConversion"/>
  </si>
  <si>
    <t>公租房</t>
    <phoneticPr fontId="14" type="noConversion"/>
  </si>
  <si>
    <t>限价房</t>
    <phoneticPr fontId="14" type="noConversion"/>
  </si>
  <si>
    <t>地下车库</t>
    <phoneticPr fontId="7" type="noConversion"/>
  </si>
  <si>
    <t>配建限价房、公租房</t>
    <phoneticPr fontId="3" type="noConversion"/>
  </si>
  <si>
    <t>配建面积</t>
  </si>
  <si>
    <t>北京风景</t>
    <phoneticPr fontId="3" type="noConversion"/>
  </si>
  <si>
    <t>万年·广阳郡九号</t>
    <phoneticPr fontId="3" type="noConversion"/>
  </si>
  <si>
    <t>京藏高速30（昌平城区）出口向东，南环大桥东侧1000米</t>
    <phoneticPr fontId="3" type="noConversion"/>
  </si>
  <si>
    <t>房山长阳清苑南街</t>
    <phoneticPr fontId="3" type="noConversion"/>
  </si>
  <si>
    <r>
      <rPr>
        <sz val="11"/>
        <color indexed="8"/>
        <rFont val="仿宋_GB2312"/>
        <family val="3"/>
        <charset val="134"/>
      </rPr>
      <t>正常</t>
    </r>
    <phoneticPr fontId="3" type="noConversion"/>
  </si>
  <si>
    <t>支路</t>
    <phoneticPr fontId="3" type="noConversion"/>
  </si>
  <si>
    <t>多层</t>
  </si>
  <si>
    <t>跃层</t>
  </si>
  <si>
    <t>精装修</t>
  </si>
  <si>
    <t>估价对象周边居住用地比例合宜，周边有路劲世界城和北京风景等住宅小区、居住规模较大，社区发展完善程度较好，综合评价居住社区成熟度较好</t>
    <phoneticPr fontId="3" type="noConversion"/>
  </si>
  <si>
    <t>估价对象周边有326、643等公交线路、昌平线，公共交通通达情况；项目自身有停车位、停车便捷程度较好，综合评价交通便捷度较好</t>
  </si>
  <si>
    <t>内环东路</t>
    <phoneticPr fontId="3" type="noConversion"/>
  </si>
  <si>
    <r>
      <t>8-10</t>
    </r>
    <r>
      <rPr>
        <sz val="11"/>
        <color indexed="8"/>
        <rFont val="宋体"/>
        <family val="3"/>
        <charset val="134"/>
      </rPr>
      <t>层</t>
    </r>
    <phoneticPr fontId="3" type="noConversion"/>
  </si>
  <si>
    <r>
      <rPr>
        <sz val="11"/>
        <color indexed="8"/>
        <rFont val="仿宋_GB2312"/>
        <family val="3"/>
        <charset val="134"/>
      </rPr>
      <t>住宅</t>
    </r>
    <phoneticPr fontId="3" type="noConversion"/>
  </si>
  <si>
    <t>高板</t>
  </si>
  <si>
    <t>高塔</t>
  </si>
  <si>
    <t>平层</t>
  </si>
  <si>
    <t>估价对象周边居住用地比例合宜，周边有金帝朗悦住宅小区、居住规模一般，社区发展完善程度一般，综合评价居住社区成熟度一般</t>
    <phoneticPr fontId="3" type="noConversion"/>
  </si>
  <si>
    <r>
      <rPr>
        <sz val="11"/>
        <rFont val="宋体"/>
        <family val="3"/>
        <charset val="134"/>
      </rPr>
      <t>估价对象周边有房</t>
    </r>
    <r>
      <rPr>
        <sz val="11"/>
        <rFont val="Arial"/>
        <family val="2"/>
      </rPr>
      <t>12</t>
    </r>
    <r>
      <rPr>
        <sz val="11"/>
        <rFont val="宋体"/>
        <family val="3"/>
        <charset val="134"/>
      </rPr>
      <t>、房</t>
    </r>
    <r>
      <rPr>
        <sz val="11"/>
        <rFont val="Arial"/>
        <family val="2"/>
      </rPr>
      <t>34</t>
    </r>
    <r>
      <rPr>
        <sz val="11"/>
        <rFont val="宋体"/>
        <family val="3"/>
        <charset val="134"/>
      </rPr>
      <t>等公交线路、房山线，公共交通通达情况；项目自身有停车位、停车便捷程度较好，综合评价交通便捷度较好</t>
    </r>
    <phoneticPr fontId="3" type="noConversion"/>
  </si>
  <si>
    <t>区域自然环境：小清河；人文环境：北京工商大学；综合评价环境状况较好</t>
    <phoneticPr fontId="3" type="noConversion"/>
  </si>
  <si>
    <t>长虹东路</t>
    <phoneticPr fontId="3" type="noConversion"/>
  </si>
  <si>
    <r>
      <t>7-13</t>
    </r>
    <r>
      <rPr>
        <sz val="11"/>
        <color indexed="8"/>
        <rFont val="宋体"/>
        <family val="3"/>
        <charset val="134"/>
      </rPr>
      <t>层</t>
    </r>
    <phoneticPr fontId="3" type="noConversion"/>
  </si>
  <si>
    <t>跃层</t>
    <phoneticPr fontId="21" type="noConversion"/>
  </si>
  <si>
    <t>五矿·铭品</t>
    <phoneticPr fontId="3" type="noConversion"/>
  </si>
  <si>
    <t xml:space="preserve">  房山房山线 良乡大学城站向东约800米路南</t>
    <phoneticPr fontId="3" type="noConversion"/>
  </si>
  <si>
    <t>毛坯</t>
  </si>
  <si>
    <r>
      <t>5-8</t>
    </r>
    <r>
      <rPr>
        <sz val="11"/>
        <color indexed="8"/>
        <rFont val="宋体"/>
        <family val="3"/>
        <charset val="134"/>
      </rPr>
      <t>层</t>
    </r>
    <phoneticPr fontId="21" type="noConversion"/>
  </si>
  <si>
    <t>多层</t>
    <phoneticPr fontId="21" type="noConversion"/>
  </si>
  <si>
    <t>高层</t>
    <phoneticPr fontId="234" type="noConversion"/>
  </si>
  <si>
    <t>类型</t>
    <phoneticPr fontId="3" type="noConversion"/>
  </si>
  <si>
    <t>户型</t>
    <phoneticPr fontId="3" type="noConversion"/>
  </si>
  <si>
    <t>内部装修</t>
    <phoneticPr fontId="3" type="noConversion"/>
  </si>
  <si>
    <t>较适宜</t>
  </si>
  <si>
    <t>不可餐饮</t>
  </si>
  <si>
    <t>青秀尚园</t>
  </si>
  <si>
    <t>派尚青年花园</t>
  </si>
  <si>
    <t>首开熙悦湾</t>
  </si>
  <si>
    <t>昌平区中关村科技园昌平园东区二期0303-04地块住宅混合公建用地项目</t>
  </si>
  <si>
    <t>顺义京承高速11出口向东900米路北</t>
  </si>
  <si>
    <t>长阳地铁站南侧50米</t>
  </si>
  <si>
    <t>30-40（含）</t>
  </si>
  <si>
    <t>估价对象周边商业用地较少，周边2km仅有小超市、商业规模较小，综合评价商业繁华度较差</t>
  </si>
  <si>
    <t>单面临街</t>
  </si>
  <si>
    <t>1层</t>
  </si>
  <si>
    <t>写字楼底商</t>
  </si>
  <si>
    <t>标准层高</t>
  </si>
  <si>
    <t>估价对象周边有962、586等公交线路，公共交通通达情况；项目自身有停车位、停车便捷程度较好，综合评价交通便捷度一般</t>
  </si>
  <si>
    <t>区域自然环境：京密引水渠等；人文环境：无；综合评价环境状况一般</t>
    <phoneticPr fontId="3" type="noConversion"/>
  </si>
  <si>
    <t>较小</t>
  </si>
  <si>
    <t>估价对象周边商业用地一般，周边有首创奥特莱斯、商业规模较好，综合评价商业繁华度较好</t>
  </si>
  <si>
    <t>估价对象周边有646、907等公交线路、房山线，公共交通通达情况；项目自身有停车位、停车便捷程度较好，综合评价交通便捷度较好</t>
  </si>
  <si>
    <t>区域自然环境：长阳体育公园等；人文环境：无；综合评价环境状况一般</t>
  </si>
  <si>
    <t>较大</t>
  </si>
  <si>
    <t>1-2层</t>
  </si>
  <si>
    <r>
      <t>1</t>
    </r>
    <r>
      <rPr>
        <sz val="11"/>
        <color indexed="8"/>
        <rFont val="仿宋_GB2312"/>
        <family val="3"/>
        <charset val="134"/>
      </rPr>
      <t>层</t>
    </r>
    <phoneticPr fontId="3" type="noConversion"/>
  </si>
  <si>
    <r>
      <t>1-2</t>
    </r>
    <r>
      <rPr>
        <sz val="11"/>
        <color indexed="8"/>
        <rFont val="宋体"/>
        <family val="3"/>
        <charset val="134"/>
      </rPr>
      <t>层</t>
    </r>
    <phoneticPr fontId="3" type="noConversion"/>
  </si>
  <si>
    <t>住宅底商</t>
  </si>
  <si>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</si>
  <si>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</si>
  <si>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t>建筑类型</t>
    <phoneticPr fontId="3" type="noConversion"/>
  </si>
  <si>
    <t>可餐饮</t>
  </si>
  <si>
    <t>商业街</t>
  </si>
  <si>
    <t>简装修</t>
  </si>
  <si>
    <t>昌平东小口镇，中陈路东侧，立水桥西南</t>
    <phoneticPr fontId="3" type="noConversion"/>
  </si>
  <si>
    <t>定泗路，京承高速北七家出口以西1000米</t>
    <phoneticPr fontId="3" type="noConversion"/>
  </si>
  <si>
    <r>
      <rPr>
        <sz val="11"/>
        <rFont val="宋体"/>
        <family val="3"/>
        <charset val="134"/>
      </rPr>
      <t>估价对象周边有</t>
    </r>
    <r>
      <rPr>
        <sz val="11"/>
        <rFont val="Arial"/>
        <family val="2"/>
      </rPr>
      <t>301</t>
    </r>
    <r>
      <rPr>
        <sz val="11"/>
        <rFont val="宋体"/>
        <family val="3"/>
        <charset val="134"/>
      </rPr>
      <t>、</t>
    </r>
    <r>
      <rPr>
        <sz val="11"/>
        <rFont val="Arial"/>
        <family val="2"/>
      </rPr>
      <t>319</t>
    </r>
    <r>
      <rPr>
        <sz val="11"/>
        <rFont val="宋体"/>
        <family val="3"/>
        <charset val="134"/>
      </rPr>
      <t>等公交线路、</t>
    </r>
    <r>
      <rPr>
        <sz val="11"/>
        <rFont val="Arial"/>
        <family val="2"/>
      </rPr>
      <t>5</t>
    </r>
    <r>
      <rPr>
        <sz val="11"/>
        <rFont val="宋体"/>
        <family val="3"/>
        <charset val="134"/>
      </rPr>
      <t>号线、</t>
    </r>
    <r>
      <rPr>
        <sz val="11"/>
        <rFont val="Arial"/>
        <family val="2"/>
      </rPr>
      <t>13</t>
    </r>
    <r>
      <rPr>
        <sz val="11"/>
        <rFont val="宋体"/>
        <family val="3"/>
        <charset val="134"/>
      </rPr>
      <t>号线，公共交通通达情况；项目自身有停车位、停车便捷程度较好，综合评价交通便捷度较好</t>
    </r>
    <phoneticPr fontId="3" type="noConversion"/>
  </si>
  <si>
    <t>区域自然环境：东小口森林公园等；人文环境：北京市计量检测科学研究院 ；综合评价环境状况较好</t>
    <phoneticPr fontId="3" type="noConversion"/>
  </si>
  <si>
    <t>甲级</t>
  </si>
  <si>
    <t>40-50（含）</t>
  </si>
  <si>
    <t>估价对象周边有426、昌27等公交线路，公共交通通达情况；项目自身有停车位、停车便捷程度一般，综合评价交通便捷度一般</t>
  </si>
  <si>
    <t>区域自然环境：温榆河等；人文环境：无；综合评价环境状况一般</t>
  </si>
  <si>
    <r>
      <rPr>
        <sz val="11"/>
        <color indexed="8"/>
        <rFont val="楷体_GB2312"/>
        <family val="3"/>
        <charset val="134"/>
      </rPr>
      <t>正常</t>
    </r>
    <phoneticPr fontId="3" type="noConversion"/>
  </si>
  <si>
    <r>
      <rPr>
        <sz val="11"/>
        <color indexed="8"/>
        <rFont val="楷体_GB2312"/>
        <family val="3"/>
        <charset val="134"/>
      </rPr>
      <t>车库</t>
    </r>
  </si>
  <si>
    <r>
      <rPr>
        <sz val="11"/>
        <rFont val="楷体_GB2312"/>
        <family val="3"/>
        <charset val="134"/>
      </rPr>
      <t>住宅</t>
    </r>
  </si>
  <si>
    <t>平面车位</t>
  </si>
  <si>
    <t>V7荷塘月色</t>
    <phoneticPr fontId="3" type="noConversion"/>
  </si>
  <si>
    <t>长沟湿地公园南700米</t>
    <phoneticPr fontId="3" type="noConversion"/>
  </si>
  <si>
    <r>
      <rPr>
        <sz val="11"/>
        <rFont val="宋体"/>
        <family val="3"/>
        <charset val="134"/>
      </rPr>
      <t>估价对象周边有</t>
    </r>
    <r>
      <rPr>
        <sz val="11"/>
        <rFont val="Arial"/>
        <family val="2"/>
      </rPr>
      <t>917</t>
    </r>
    <r>
      <rPr>
        <sz val="11"/>
        <rFont val="宋体"/>
        <family val="3"/>
        <charset val="134"/>
      </rPr>
      <t>、房</t>
    </r>
    <r>
      <rPr>
        <sz val="11"/>
        <rFont val="Arial"/>
        <family val="2"/>
      </rPr>
      <t>12</t>
    </r>
    <r>
      <rPr>
        <sz val="11"/>
        <rFont val="宋体"/>
        <family val="3"/>
        <charset val="134"/>
      </rPr>
      <t>等公交线路，公共交通通达情况一般；项目自身有停车位、停车便捷程度一般，综合评价交通便捷度一般</t>
    </r>
    <phoneticPr fontId="3" type="noConversion"/>
  </si>
  <si>
    <t>估价对象所在区域公共配套设施齐备度一般</t>
    <phoneticPr fontId="27" type="noConversion"/>
  </si>
  <si>
    <t>区域自然环境：圣泉公园等；人文环境：中央工艺美术学院房山分校；综合评价环境状况较好</t>
    <phoneticPr fontId="3" type="noConversion"/>
  </si>
  <si>
    <t>元/车位</t>
  </si>
  <si>
    <t>剩余法-待开发</t>
  </si>
  <si>
    <t>原总值</t>
    <phoneticPr fontId="9" type="noConversion"/>
  </si>
  <si>
    <t>原建筑面积</t>
    <phoneticPr fontId="9" type="noConversion"/>
  </si>
  <si>
    <t>原土地面积（分摊）</t>
    <phoneticPr fontId="9" type="noConversion"/>
  </si>
  <si>
    <t>总土地面积</t>
    <phoneticPr fontId="9" type="noConversion"/>
  </si>
  <si>
    <t>办公楼</t>
  </si>
  <si>
    <t>办公楼</t>
    <phoneticPr fontId="3" type="noConversion"/>
  </si>
  <si>
    <t>地上办公</t>
  </si>
  <si>
    <t>地上办公</t>
    <phoneticPr fontId="7" type="noConversion"/>
  </si>
  <si>
    <t>路劲家园</t>
    <phoneticPr fontId="3" type="noConversion"/>
  </si>
  <si>
    <t>龙山大厦</t>
    <phoneticPr fontId="3" type="noConversion"/>
  </si>
  <si>
    <t>地铁南邵站向东200米</t>
    <phoneticPr fontId="3" type="noConversion"/>
  </si>
  <si>
    <t>白浮泉路与凉水河路西南侧</t>
    <phoneticPr fontId="3" type="noConversion"/>
  </si>
  <si>
    <r>
      <rPr>
        <sz val="11"/>
        <color indexed="8"/>
        <rFont val="仿宋_GB2312"/>
        <family val="3"/>
        <charset val="134"/>
      </rPr>
      <t>正常</t>
    </r>
    <phoneticPr fontId="3" type="noConversion"/>
  </si>
  <si>
    <r>
      <rPr>
        <sz val="11"/>
        <color indexed="8"/>
        <rFont val="仿宋_GB2312"/>
        <family val="3"/>
        <charset val="134"/>
      </rPr>
      <t>办公</t>
    </r>
    <phoneticPr fontId="3" type="noConversion"/>
  </si>
  <si>
    <r>
      <rPr>
        <sz val="11"/>
        <rFont val="宋体"/>
        <family val="3"/>
        <charset val="134"/>
      </rPr>
      <t>城市支路</t>
    </r>
    <r>
      <rPr>
        <sz val="11"/>
        <rFont val="Arial"/>
        <family val="2"/>
      </rPr>
      <t>——</t>
    </r>
    <r>
      <rPr>
        <sz val="11"/>
        <rFont val="宋体"/>
        <family val="3"/>
        <charset val="134"/>
      </rPr>
      <t>南环南路</t>
    </r>
    <phoneticPr fontId="3" type="noConversion"/>
  </si>
  <si>
    <t>专业</t>
  </si>
  <si>
    <t>城市支路——南环南路</t>
  </si>
  <si>
    <t>估价对象周边办公用地比例合宜，周边有兴业大厦、亚东大厦等办公楼、办公规模较大，综合评价办公集聚程度较好</t>
    <phoneticPr fontId="3" type="noConversion"/>
  </si>
  <si>
    <r>
      <rPr>
        <sz val="11"/>
        <rFont val="宋体"/>
        <family val="3"/>
        <charset val="134"/>
      </rPr>
      <t>估价对象周边有昌</t>
    </r>
    <r>
      <rPr>
        <sz val="11"/>
        <rFont val="Arial"/>
        <family val="2"/>
      </rPr>
      <t>13</t>
    </r>
    <r>
      <rPr>
        <sz val="11"/>
        <rFont val="宋体"/>
        <family val="3"/>
        <charset val="134"/>
      </rPr>
      <t>、昌</t>
    </r>
    <r>
      <rPr>
        <sz val="11"/>
        <rFont val="Arial"/>
        <family val="2"/>
      </rPr>
      <t>3</t>
    </r>
    <r>
      <rPr>
        <sz val="11"/>
        <rFont val="宋体"/>
        <family val="3"/>
        <charset val="134"/>
      </rPr>
      <t>等公交线路，公共交通通达情况；项目自身有停车位、停车便捷程度较好，综合评价交通便捷度一般</t>
    </r>
    <phoneticPr fontId="3" type="noConversion"/>
  </si>
  <si>
    <t>区域自然环境：京密引水渠等；人文环境：石油化工科学研究院工程研究开发中心；综合评价环境状况较好</t>
    <phoneticPr fontId="3" type="noConversion"/>
  </si>
  <si>
    <r>
      <rPr>
        <sz val="11"/>
        <rFont val="宋体"/>
        <family val="3"/>
        <charset val="134"/>
      </rPr>
      <t>城市支路</t>
    </r>
    <r>
      <rPr>
        <sz val="11"/>
        <rFont val="Arial"/>
        <family val="2"/>
      </rPr>
      <t>——</t>
    </r>
    <r>
      <rPr>
        <sz val="11"/>
        <rFont val="宋体"/>
        <family val="3"/>
        <charset val="134"/>
      </rPr>
      <t>白浮泉路</t>
    </r>
    <phoneticPr fontId="3" type="noConversion"/>
  </si>
  <si>
    <t>地下商业1层</t>
    <phoneticPr fontId="7" type="noConversion"/>
  </si>
  <si>
    <t>地下商业2层</t>
    <phoneticPr fontId="7" type="noConversion"/>
  </si>
  <si>
    <t>地下商业3层</t>
  </si>
  <si>
    <t>地下商业3层</t>
    <phoneticPr fontId="7" type="noConversion"/>
  </si>
  <si>
    <t>地块名称</t>
  </si>
  <si>
    <t>城市</t>
  </si>
  <si>
    <t>用地性质</t>
  </si>
  <si>
    <t>区县</t>
  </si>
  <si>
    <t>板块</t>
  </si>
  <si>
    <t>土地位置</t>
  </si>
  <si>
    <t>土地四至</t>
  </si>
  <si>
    <t>出让方式</t>
  </si>
  <si>
    <t>开发程度</t>
  </si>
  <si>
    <t>地块编号</t>
  </si>
  <si>
    <t>建设用地面积(㎡)</t>
  </si>
  <si>
    <t>规划建筑面积(㎡)</t>
  </si>
  <si>
    <t>商业比例</t>
  </si>
  <si>
    <t>保障房类型</t>
  </si>
  <si>
    <t>成交保障房面积(㎡)</t>
  </si>
  <si>
    <t>成交自住房面积(㎡)</t>
  </si>
  <si>
    <t>截止日期</t>
  </si>
  <si>
    <t>成交日期</t>
  </si>
  <si>
    <t>公告编号</t>
  </si>
  <si>
    <t>受让单位</t>
  </si>
  <si>
    <t>起始价(万元)</t>
  </si>
  <si>
    <t>成交价(万元)</t>
  </si>
  <si>
    <t>成交每亩价(万元/亩)</t>
  </si>
  <si>
    <t>成交楼面价(元/㎡)</t>
  </si>
  <si>
    <t>成交楼面价(除保障房)(元/㎡)</t>
  </si>
  <si>
    <t>溢价率</t>
  </si>
  <si>
    <t>出让年限</t>
  </si>
  <si>
    <t>房山区良乡镇01-13-02、01-13-03、01-15-01地块</t>
  </si>
  <si>
    <t>综合用地(含住宅)</t>
  </si>
  <si>
    <t>房山区</t>
  </si>
  <si>
    <t>房山区良乡镇</t>
  </si>
  <si>
    <t>四至范围详见《建设项目规划条件》(2016规条供字0028号)附图</t>
  </si>
  <si>
    <t>挂牌</t>
  </si>
  <si>
    <t>京土整储挂(房)[2017]002号</t>
  </si>
  <si>
    <t>2017-02-16</t>
  </si>
  <si>
    <t>北京辉拓置业有限公司、北京瑞成永创科技有限公司</t>
  </si>
  <si>
    <t>居住70年、商业40年、办公50年</t>
  </si>
  <si>
    <t>房山区良乡镇01-02-03等地块</t>
  </si>
  <si>
    <t>四至范围详见《建设项目规划条件》(2016规条供字0029号)附图</t>
  </si>
  <si>
    <t>京土整储挂(房)[2017]001号</t>
  </si>
  <si>
    <t>北京中海地产有限公司、北京首都开发股份有限公司、保利(北京)房地产开发有限公司、北京龙湖中佰置业有限公司</t>
  </si>
  <si>
    <t>房山区西潞街道FS00-LX06-0081地块</t>
  </si>
  <si>
    <t>房山区西潞街道</t>
  </si>
  <si>
    <t>具体四至范围详见《建设项目规划条件》(2016规条供字0024号)附图</t>
  </si>
  <si>
    <t>京土整储挂(房)[2016]031号</t>
  </si>
  <si>
    <t>2017-01-26</t>
  </si>
  <si>
    <t>北京众美房地产开发有限公司</t>
  </si>
  <si>
    <t>门头沟区潭柘寺镇MC01-0003-6009、6008、0057、0086、0120、6016、6015地块</t>
  </si>
  <si>
    <t>门头沟区</t>
  </si>
  <si>
    <t>门头沟区潭柘寺镇</t>
  </si>
  <si>
    <t>东至潭柘寺镇六路、潭柘寺镇八路、潭柘寺镇十路,南至潭柘寺镇五街、潭柘寺镇七街,西至门头沟区潭柘寺镇中心区D地块土地一级开发项目涉及绿化用地、潭柘寺镇七路、潭柘寺镇九路,北至潭柘寺镇一街、潭柘寺三街、潭柘寺镇六街</t>
  </si>
  <si>
    <t>京土整储挂(门)[2016]033号</t>
  </si>
  <si>
    <t>2017-01-19</t>
  </si>
  <si>
    <t>北京京投置地房地产有限公司、北京首都开发股份有限公司、保利(北京)房地产开发有限公司、北京龙湖天行置业有限公司、北京德俊置业有限公司</t>
  </si>
  <si>
    <t>房山区韩村河镇02-0066地块</t>
  </si>
  <si>
    <t>住宅用地</t>
  </si>
  <si>
    <t>房山区韩村河镇</t>
  </si>
  <si>
    <t>京土整储挂(房)[2016]026号</t>
  </si>
  <si>
    <t>2016-12-20</t>
  </si>
  <si>
    <t>北京韩村河房地产开发有限公司</t>
  </si>
  <si>
    <t>大兴区黄村镇兴华大街DX00-0202-0305地块R2二类居住用地、DX00-0202-0308地块</t>
  </si>
  <si>
    <t>大兴区</t>
  </si>
  <si>
    <t>大兴新城东片区0202街区</t>
  </si>
  <si>
    <t>东至规划纵二路,南至富华路,西至规划纵一路,北至清源路</t>
  </si>
  <si>
    <t>京土整储挂(兴)[2016]021号</t>
  </si>
  <si>
    <t>2016-12-01</t>
  </si>
  <si>
    <t>中铁房地产集团北方有限公司</t>
  </si>
  <si>
    <t>北京经济技术开发区II-6街区X84R3地块</t>
  </si>
  <si>
    <t>东至X84R2实验小学;南至千顷堂街(泰河三街);西至四海路(博兴十一路);北至X84B1未出让国有建设用地(西)、X84C1未出让国有建设用地(东)</t>
  </si>
  <si>
    <t>京土整储挂(开)[2016]016号</t>
  </si>
  <si>
    <t>2016-10-09</t>
  </si>
  <si>
    <t>北京博大新元房地产开发有限公司</t>
  </si>
  <si>
    <t>居住70年、办公50年、商业40年</t>
  </si>
  <si>
    <t>顺义区后沙峪镇SY00-0022-0614地块</t>
  </si>
  <si>
    <t>顺义区</t>
  </si>
  <si>
    <t>顺义新城第22街区北部</t>
  </si>
  <si>
    <t>东至现状居住区,南邻现状企业,西至裕庆路东侧绿化用地,北至裕民大街南侧绿化用地</t>
  </si>
  <si>
    <t>京土整储挂(顺)[2016]010号</t>
  </si>
  <si>
    <t>2016-06-02</t>
  </si>
  <si>
    <t>福建宏辉房地产开发有限公司</t>
  </si>
  <si>
    <t>昌平区南邵镇(昌平新城东区六期(东))0302-57地块</t>
  </si>
  <si>
    <t>昌平区</t>
  </si>
  <si>
    <t>昌平区南邵镇</t>
  </si>
  <si>
    <t>东至南丰东路、南至昌怀北路、西至南丰路、北至昌平东扩南环路</t>
  </si>
  <si>
    <t>京土整储挂(昌)[2016]007号</t>
  </si>
  <si>
    <t>公共租赁房,</t>
  </si>
  <si>
    <t>2016-05-05</t>
  </si>
  <si>
    <t>北京招商局铭嘉房地产开发有限公司</t>
  </si>
  <si>
    <t>昌平区南邵镇(昌平新城东区六期(东))0302-70地块</t>
  </si>
  <si>
    <t>东至南丰东路、南至昌怀路、西至南丰路、北至昌怀北路</t>
  </si>
  <si>
    <t>京土整储挂(昌)[2016]008号</t>
  </si>
  <si>
    <t>门头沟区龙泉镇MC00-0003-0026等地块B1商业用地、F1住宅混合公建用地及A33基础教育用地(原门头沟区城子大街国有资源整合改造升级地块)</t>
  </si>
  <si>
    <t>门头沟区龙泉镇</t>
  </si>
  <si>
    <t>东至城子东一路,南至汽车十场路路北红线,西至城子大街,北至门头沟区祥龙公交场站还建工程</t>
  </si>
  <si>
    <t>京土整储挂(门)[2016]004号</t>
  </si>
  <si>
    <t>2016-02-26</t>
  </si>
  <si>
    <t>北京泰达和信投资管理有限公司</t>
  </si>
  <si>
    <t>住宅70年、商业40年、办公50年</t>
  </si>
  <si>
    <t>大兴区黄村镇四街、五街、六街村项目DX00-0208-6001等地块</t>
  </si>
  <si>
    <t>京土整储挂(兴)[2016]001号</t>
  </si>
  <si>
    <t>2016-02-23</t>
  </si>
  <si>
    <t>北京绿地京城置业有限公司和北京绿地京华置业有限公司联合体</t>
  </si>
  <si>
    <t>顺义区仁和镇05-02-15-1地块</t>
  </si>
  <si>
    <t>顺义仁和镇</t>
  </si>
  <si>
    <t>东至顺康路道路红线东边界,南至石园大街道路红线北边界,西至顺泰路道路红线西边界,北至顺义区自来水公司第二水厂、大龙公司自建限价房项目边界</t>
  </si>
  <si>
    <t>京土整储挂(顺)[2015]075号</t>
  </si>
  <si>
    <t>限价房,</t>
  </si>
  <si>
    <t>2015-12-28</t>
  </si>
  <si>
    <t>北京首开中晟置业有限责任公司</t>
  </si>
  <si>
    <t>大兴区旧宫镇YZ00-0801-0039、6001地块</t>
  </si>
  <si>
    <t>大兴区旧宫镇</t>
  </si>
  <si>
    <t>东至规划纵十二路,西至规划纵十路,南至规划横九路,北至西毓顺路</t>
  </si>
  <si>
    <t>京土整储挂(兴)[2015]072号</t>
  </si>
  <si>
    <t>2015-12-23</t>
  </si>
  <si>
    <t>中铁置业集团北京有限公司</t>
  </si>
  <si>
    <t>昌平区百善三角地项目CP00-0600-0041地块、CP00-0600-0042地块</t>
  </si>
  <si>
    <t>昌平区百善镇</t>
  </si>
  <si>
    <t>东至百善村西路,南至百善镇区南街,西至南百路,北至百葛路(百善镇段)</t>
  </si>
  <si>
    <t>京土整储招(昌)[2015]068号</t>
  </si>
  <si>
    <t>2015-12-15</t>
  </si>
  <si>
    <t>通州区TZ07-0103-0012等地块、TZ07-0103-0027等地块、TZ07-0103-L001地块</t>
  </si>
  <si>
    <t>通州区</t>
  </si>
  <si>
    <t>通州区西集镇综合配套区</t>
  </si>
  <si>
    <t>东至规划于岳路,南至规划二路(原西集村南街),西至西集村南街,北至规划西尹路</t>
  </si>
  <si>
    <t>京土整储挂(通)[2015]067号</t>
  </si>
  <si>
    <t>2015-12-03</t>
  </si>
  <si>
    <t>北京房地天锐鑫洋房地产开发有限公司</t>
  </si>
  <si>
    <t>房山区阎村镇04街区04-0005等地块</t>
  </si>
  <si>
    <t>房山区阎村镇</t>
  </si>
  <si>
    <t>东至规划路中心线及现状粮库专线铁路用地边界;南至规划阎安路中心线;西至规划紫码路中心线;北至规划防护绿地北边线</t>
  </si>
  <si>
    <t>京土整储挂(房)[2015]064号</t>
  </si>
  <si>
    <t>2015-11-24</t>
  </si>
  <si>
    <t>北京天恒乐活城置业有限公司和中粮地产(北京)有限公司联合体</t>
  </si>
  <si>
    <t>房山区长阳镇02街区02-2-02、02-2-06地块(房山轨道交通稻田站C地块)</t>
  </si>
  <si>
    <t>房山区长阳镇02街区</t>
  </si>
  <si>
    <t>东至防护绿地东边线及2007(房)拨字026号用地西边线,南至规划独义二路中心线,西至规划高佃二路,北至南水北调巡河路用地南边线</t>
  </si>
  <si>
    <t>京土整储挂(房)[2015]065号</t>
  </si>
  <si>
    <t>昌平区小汤山镇(未来科技城北区)CP05-0801-0011、0013、0015、0017地块</t>
  </si>
  <si>
    <t>昌平区小汤山镇</t>
  </si>
  <si>
    <t>东至鲁疃西路;南至昌平神华规划五路;西至未来城核心区五号路;北至昌平未来城北区一号路</t>
  </si>
  <si>
    <t>京土整储挂(昌)[2015]063号</t>
  </si>
  <si>
    <t>2015-11-23</t>
  </si>
  <si>
    <t>北京华润曙光房地产开发有限公司和北京未来科技城置业有限公司联合体</t>
  </si>
  <si>
    <t>昌平区小汤山镇(未来科技城北区)CP05-0801-0018、0020、0021地块</t>
  </si>
  <si>
    <t>东至鲁疃西路;南至未来城温榆河北滨河路;西至昌平神华规划五路;北至昌平神华规划五路</t>
  </si>
  <si>
    <t>京土整储挂(昌)[2015]062号</t>
  </si>
  <si>
    <t>昌平区北七家镇GZT-05-1、GZT-07、GZT-09地块(沟自头村储备开发项目西侧地块)</t>
  </si>
  <si>
    <t>昌平区北七家镇</t>
  </si>
  <si>
    <t>东至GZT-05-2地块;南至八仙别墅南侧路及柏林在线小区;西至北七家村中路;北至晨浩花园</t>
  </si>
  <si>
    <t>京土整储挂(昌)[2015]058号</t>
  </si>
  <si>
    <t>2015-11-19</t>
  </si>
  <si>
    <t>北京国瑞兴业地产股份有限公司</t>
  </si>
  <si>
    <t>昌平区北七家镇GZT-05-2、GZT-04、GZT-03、GZT-10、GZT-11、GZT-12地块(沟自头村储备开发项目东侧地块)</t>
  </si>
  <si>
    <t>东至海德堡花园东路;南至八仙别墅南侧路及岭上北路;西至GZT-05-1地块;北至定泗路</t>
  </si>
  <si>
    <t>京土整储挂(昌)[2015]059号</t>
  </si>
  <si>
    <t>门头沟区永定镇MC00-0017-6018、6020地块</t>
  </si>
  <si>
    <t>门头沟区永定镇</t>
  </si>
  <si>
    <t>东至上辛路西红线,南至门城美安路北红线,西至滨河路南延东侧绿化带东边界,北至门城泰安路南红线</t>
  </si>
  <si>
    <t>京土整储挂(门)[2015]056号</t>
  </si>
  <si>
    <t>2015-11-18</t>
  </si>
  <si>
    <t>杭州致全投资有限公司、中交地产有限公司和深圳市平嘉投资管理有限公司联合体</t>
  </si>
  <si>
    <t>门头沟区永定镇MC00-0020-0009、0012地块</t>
  </si>
  <si>
    <t>东至沙石坑东一路西红线,西至沙石坑东侧路东侧绿化带东边界,南至门城泰安路北红线,北至长安街西延南侧绿化带南边界</t>
  </si>
  <si>
    <t>京土整储挂(门)[2015]055号</t>
  </si>
  <si>
    <t>北京万科企业有限公司</t>
  </si>
  <si>
    <t>顺义区仁和镇SY00-0005-6007、6005地块</t>
  </si>
  <si>
    <t>顺义区仁和镇平各庄村</t>
  </si>
  <si>
    <t>东至顺康西路及顺和路,南至规划路及双河大街,西至顺仁路及顺和路,北至燕京路</t>
  </si>
  <si>
    <t>京土整储挂(顺)[2015]053号</t>
  </si>
  <si>
    <t>2015-11-16</t>
  </si>
  <si>
    <t>北京城建兴顺房地产开发有限公司</t>
  </si>
  <si>
    <t>居住70年、商业40年</t>
  </si>
  <si>
    <t>顺义区仁和镇SY00-0005-6001等地块</t>
  </si>
  <si>
    <t>东至顺康西路,南至双河大街,西至顺仁路及顺和路,北至燕京路</t>
  </si>
  <si>
    <t>京土整储挂(顺)[2015]054号</t>
  </si>
  <si>
    <t>通州区台湖镇B-07地块</t>
  </si>
  <si>
    <t>通州区台湖镇北神树组团范围内</t>
  </si>
  <si>
    <t>东至嘉创一路(原光机电四号路),南至兴光二街,西至支路二(原光机电三号路),北至兴光一街</t>
  </si>
  <si>
    <t>京土整储挂(通)[2015]051号</t>
  </si>
  <si>
    <t>2015-11-13</t>
  </si>
  <si>
    <t>北京泓博泰成房地产开发有限公司</t>
  </si>
  <si>
    <t>昌平区南邵镇(中关村科技园区昌平园东区二期)0303-07地块</t>
  </si>
  <si>
    <t>东至昌平东扩南中路;南至白浮泉北路;西至昌平东扩南中西路;北至昌平东扩内环西路</t>
  </si>
  <si>
    <t>京土整储挂(昌)[2015]039号</t>
  </si>
  <si>
    <t>2015-10-23</t>
  </si>
  <si>
    <t>北京龙湖中佰置业有限公司、深圳市平嘉投资管理有限公司和北京昌基置业有限公司联合体</t>
  </si>
  <si>
    <t>顺义区后沙峪镇后沙峪村SY-0019-076、SY-0019-079地块</t>
  </si>
  <si>
    <t>顺义区后沙峪镇后沙峪村</t>
  </si>
  <si>
    <t>东至规划二路和聚通嘉园小区,南至双裕街,西至裕庆路,北至双裕北街和聚通嘉园小区</t>
  </si>
  <si>
    <t>京土整储挂(顺)[2015]041号</t>
  </si>
  <si>
    <t>北京金隅大成开发有限公司</t>
  </si>
  <si>
    <t>昌平区南邵镇(中关村科技园区昌平园东区二期)0303-54地块</t>
  </si>
  <si>
    <t>东至昌平东扩南中东路;南至白浮泉北路;西至昌平东扩南中路和昌平东扩内环东路;北至昌怀路</t>
  </si>
  <si>
    <t>京土整储挂(昌)[2015]040号</t>
  </si>
  <si>
    <t>福建中维房地产开发有限公司</t>
  </si>
  <si>
    <t>门头沟区永定镇MC00-0017-6021、6022地块(门头沟S1线区域组团03地块北部一期用地)</t>
  </si>
  <si>
    <t>东至沙石坑西侧路西侧绿化带西边界,南至门城美安路北红线,西至上辛路东红线,北至门城泰安路南红线</t>
  </si>
  <si>
    <t>京土整储挂(门)[2015]033号</t>
  </si>
  <si>
    <t>2015-09-29</t>
  </si>
  <si>
    <t>北京金地创世咨询有限公司和中国电建地产集团有限公司联合体</t>
  </si>
  <si>
    <t>房山区拱辰街道16-01-07等地块(良乡高教园区西部生活区东区)</t>
  </si>
  <si>
    <t>房山区拱辰街道</t>
  </si>
  <si>
    <t>东至揽秀南街西红线;南至16-03-12地块北边线;西至荷园西街东红线;北至常庄路南红线</t>
  </si>
  <si>
    <t>京土整储挂(房)[2015]027号</t>
  </si>
  <si>
    <t>2015-07-16</t>
  </si>
  <si>
    <t>北京天恒乐活城置业有限公司</t>
  </si>
  <si>
    <t>住宅70年、商业40年、综合50年</t>
  </si>
  <si>
    <t>房山区拱辰街道16-03-04、16-01-05等地块(良乡高教园区西部生活区西区)</t>
  </si>
  <si>
    <t>东至荷园西街西红线;南至16-03-07地块(公园绿地)、16-03-09地块(现状110KV变电站)北边线;西至良官大街东红线及16-03-11地块东边线;北至常庄路南红线</t>
  </si>
  <si>
    <t>京土整储挂(房)[2015]026号</t>
  </si>
  <si>
    <t>北京恒隆兴置业有限公司</t>
  </si>
  <si>
    <t>大兴区瀛海镇区DX08-0002-0301地块(原瀛海镇西区C5组团土地一级开发项目部分地块)</t>
  </si>
  <si>
    <t>大兴区瀛海镇</t>
  </si>
  <si>
    <t>东至经二路,西至规划用地边界,南至规划用地边界,北至市场环路</t>
  </si>
  <si>
    <t>京土整储挂(兴)[2015]024号</t>
  </si>
  <si>
    <t>2015-07-07</t>
  </si>
  <si>
    <t>北京龙湖中佰置业有限公司、北京首都开发股份有限公司联合体</t>
  </si>
  <si>
    <t>大兴区瀛海镇区DX08-0002-0304等地块(原瀛海镇西区C5组团土地一级开发项目部分地块)</t>
  </si>
  <si>
    <t>东至规划用地边界,西至经二路及规划用地边界,南至规划用地边界,北至市场环路</t>
  </si>
  <si>
    <t>京土整储挂(兴)[2015]023号</t>
  </si>
  <si>
    <t>2015-07-03</t>
  </si>
  <si>
    <t>北京城建兴业置地有限公司</t>
  </si>
  <si>
    <t>大兴区庞各庄镇PGZ01-04、PGZ01-05地块(原庞各庄镇镇区改造项目1号地部分地块)</t>
  </si>
  <si>
    <t>大兴区庞各庄镇</t>
  </si>
  <si>
    <t>东至纵六路,西至纵三路,南至团结路,北至幸福路</t>
  </si>
  <si>
    <t>京土整储挂(兴)[2015]022号</t>
  </si>
  <si>
    <t>2015-07-02</t>
  </si>
  <si>
    <t>北京兴展宏业投资有限公司</t>
  </si>
  <si>
    <t>大兴区庞各庄镇PGZ01-01、PGZ01-02地块(原庞各庄镇镇区改造项目1号地部分地块)</t>
  </si>
  <si>
    <t>东至纵六路,西至纵三路,南至幸福路,北至繁荣路</t>
  </si>
  <si>
    <t>京土整储挂(兴)[2015]020号</t>
  </si>
  <si>
    <t>2015-06-30</t>
  </si>
  <si>
    <t>北京创富诚展投资有限公司、北京天恒致远置业有限公司、北京永同昌房地产开发有限公司联合体</t>
  </si>
  <si>
    <t>大兴区瀛海镇姜场村02-1-1地块R2二类居住用地</t>
  </si>
  <si>
    <t>大兴区瀛海镇姜场村</t>
  </si>
  <si>
    <t>东至东区环路,南至府前街,西至国有用地边界,北至规划用地边界</t>
  </si>
  <si>
    <t>京土整储挂(兴)[2015]017号</t>
  </si>
  <si>
    <t>2015-06-25</t>
  </si>
  <si>
    <t>北京德顺富兴投资有限公司</t>
  </si>
  <si>
    <t>通州区台湖镇4-1-020等地块F2公建混合住宅用地和4-1-034等地块F3其他类多功能用地</t>
  </si>
  <si>
    <t>通州区台湖镇亦庄新城</t>
  </si>
  <si>
    <t>东至站前街次渠路道路中线,南至站前街南六街道路中线,西至次渠西一路道路中线,北至亦庄站前街南红线、站前街南四街北红线</t>
  </si>
  <si>
    <t>招标</t>
  </si>
  <si>
    <t>京土整储招(通)[2015]013号</t>
  </si>
  <si>
    <t>2015-03-30</t>
  </si>
  <si>
    <t>北京首都开发股份有限公司、北京万科企业有限公司和北京千方集团有限公司联合体</t>
  </si>
  <si>
    <t>昌平区北七家镇(未来科技城南区)CP07-0600-0022、0039、0040地块</t>
  </si>
  <si>
    <t>昌平区北七家镇,未来科技城南区内</t>
  </si>
  <si>
    <t>东至昌平未来城科技城路,南至昌平未来城南区二路,西至现状水源九厂路,北至昌平未来城南区一路</t>
  </si>
  <si>
    <t>京土整储挂(昌)[2015]010号</t>
  </si>
  <si>
    <t>2015-02-15</t>
  </si>
  <si>
    <t>北京东方蓝海置业有限责任公司</t>
  </si>
  <si>
    <t>昌平区北七家镇(未来科技城南区)CP07-0600-0049、0062地块</t>
  </si>
  <si>
    <t>东至规划绿地和未来城南区加密九号路,南至昌平未来城南区三路,西至昌平未来城南区四路,北至昌平未来城南区二路</t>
  </si>
  <si>
    <t>京土整储挂(昌)[2015]009号</t>
  </si>
  <si>
    <t>北京未来科技城置业有限公司和金融街长安(北京)置业有限公司联合体</t>
  </si>
  <si>
    <t>顺义新城第17街区17-12-09、SY-1713-L02R2二类居住用地、SY-1713-L01A61机构养老设施用地</t>
  </si>
  <si>
    <t>顺义新城第17街区</t>
  </si>
  <si>
    <t>17-12-09地块东至规划牛栏山东路,南至规划17-12-10地块,西至规划南一号路,北至规划南一号路;SY-1713-L01、SY-1713-L02地块东至滨河路,南至规划南一号路,西至规划路,北至昌金路</t>
  </si>
  <si>
    <t>京土整储挂(顺)[2014]095号</t>
  </si>
  <si>
    <t>2015-02-03</t>
  </si>
  <si>
    <t>北京朗园置业有限公司</t>
  </si>
  <si>
    <t>居住70年、商业40年、50年</t>
  </si>
  <si>
    <t>昌平区北七家镇(中心起步区(海鶄落新村建设)项目一期)HQL-02、04、07、08、12、13、14、16、17、18地块</t>
  </si>
  <si>
    <t>东至七星路和海鶄落新村三号路,南至七北路,西至望都东路,北至名佳花园北路和郑海路</t>
  </si>
  <si>
    <t>京土整储招(昌)[2015]002号</t>
  </si>
  <si>
    <t>2015-01-30</t>
  </si>
  <si>
    <t>绿地控股集团有限公司</t>
  </si>
  <si>
    <t>房山区周口店镇中心区二街区02-0015等地块二类居住、综合性商业金融服务业、基础教育、社会停车场及供热用地</t>
  </si>
  <si>
    <t>房山区周口店镇</t>
  </si>
  <si>
    <t>东至规划云峰路中心线、代征防护绿地,南至原有京周路北边线,西至规划东一路西红线,北至规划沿山路中心线</t>
  </si>
  <si>
    <t>京土整储挂(房)[2014]093号</t>
  </si>
  <si>
    <t>2015-01-28</t>
  </si>
  <si>
    <t>北京天恒立信置业有限公司</t>
  </si>
  <si>
    <t>房山区房山新城良乡组团(梅花庄旧村改造项目南区)08-05-01、08-05-03地块限价商品住房项目</t>
  </si>
  <si>
    <t>房山区拱辰街道梅花庄村</t>
  </si>
  <si>
    <t>东至2013(房)拨字025号用地西边线,南至规划路中心线,西至中国人民解放军93407部队界址点东边线,北至2005(房)拨字098号(多宝路用地)南边线</t>
  </si>
  <si>
    <t>京土整储挂(房)[2014]080号</t>
  </si>
  <si>
    <t>2014-12-04</t>
  </si>
  <si>
    <t>北京世安住房股份有限公司</t>
  </si>
  <si>
    <t>昌平区北七家镇(未来科技城南区)CP07-0600-0014、0030地块F2公建混合住宅用地项目</t>
  </si>
  <si>
    <t>东至规划绿地,南至昌平未来城南区二路,西至昌平未来城南区四路,北至规划绿地</t>
  </si>
  <si>
    <t>京土整储挂(昌)[2014]078号</t>
  </si>
  <si>
    <t>2014-11-26</t>
  </si>
  <si>
    <t>顺义区后沙峪镇SY00-0022-6012R2二类居住用地限价商品住房项目</t>
  </si>
  <si>
    <t>顺义区后沙峪镇</t>
  </si>
  <si>
    <t>东至裕华路道路中心线,南至规划路道路中心线,西至SY00-0022-6003(西侧),北至安宁街道路中心线</t>
  </si>
  <si>
    <t>京土整储挂(顺)[2014]075号</t>
  </si>
  <si>
    <t>2014-11-02</t>
  </si>
  <si>
    <t>北京紫乔房地产开发有限公司</t>
  </si>
  <si>
    <t>居住70年、商业40年、综合50年</t>
  </si>
  <si>
    <t>通州区永顺镇TZ00-0104-0031地块R2二类居住用地</t>
  </si>
  <si>
    <t>通州区永顺镇</t>
  </si>
  <si>
    <t>东至西潞苑西路西红线,南至规划商业金融用地北边界,西至通顺路东红线,北至西潞苑一街南红线</t>
  </si>
  <si>
    <t>京土整储挂(通)[2014]074号</t>
  </si>
  <si>
    <t>北京德俊置业有限公司和北京房地置业发展有限公司联合体</t>
  </si>
  <si>
    <t>门头沟区潭柘寺MC01-0003-0067等地块R2二类居住用地、F1住宅混合公建用地等用途用地(配建经济适用住房)(原门头沟区潭柘寺镇中心区C地块项目)</t>
  </si>
  <si>
    <t>东至潭柘寺东一路永中、东四街永中、镇区东边界,南至潭柘寺镇七街南红线、东四路南红线,西至潭柘寺镇八路永中,北至潭柘寺镇三街永中、东二街永中</t>
  </si>
  <si>
    <t>京土整储挂(门)[2014]068号</t>
  </si>
  <si>
    <t>经济适用房,</t>
  </si>
  <si>
    <t>2014-10-21</t>
  </si>
  <si>
    <t>北京京投置地房地产有限公司和北京市基础设施投资有限公司联合体</t>
  </si>
  <si>
    <t>门头沟区永定镇MC00-0015-0068等地块R2二类居住用地、F2公建混合居住用地、A33基础教育用地(原门头沟冯村、何各庄地区土地一级开发项目A地块部分地块南区)</t>
  </si>
  <si>
    <t>东至三石路,南至石门营环岛,西至西北环线道路,北至门城泰安路</t>
  </si>
  <si>
    <t>京土整储挂(门)[2014]066号</t>
  </si>
  <si>
    <t>2014-10-17</t>
  </si>
  <si>
    <t>北京保利兴房地产开发有限公司和北京首都开发股份有限公司联合体</t>
  </si>
  <si>
    <t>门头沟区永定镇MC00-0015-0059等地块R2二类居住用地、S4社会停车场库用地、A33基础教育用地(配建公共租赁住房)(原门头沟冯村、何各庄地区土地一级开发项目A地块部分地块北区)</t>
  </si>
  <si>
    <t>东至冯村二路,南至门城泰安路,西至门城西北环线,北至冯村北街</t>
  </si>
  <si>
    <t>京土整储挂(门)[2014]067号</t>
  </si>
  <si>
    <t>北京城建兴云房地产有限公司</t>
  </si>
  <si>
    <t>顺义区前进新城01-02-09、01-02-10、01-02-07二类居住用地、住宅混合公建用地、托幼用地</t>
  </si>
  <si>
    <t>顺义前进新村</t>
  </si>
  <si>
    <t>东至顺白路,南至顺义区仁和地区前进村村民委员会、北京建升房地产开发有限公司,西至前景北路,北至顺沙路</t>
  </si>
  <si>
    <t>京土整储挂(顺)[2014]063号</t>
  </si>
  <si>
    <t>2014-10-13</t>
  </si>
  <si>
    <t>当代节能置业股份有限公司和北京北辰实业股份有限公司联合体</t>
  </si>
  <si>
    <t>通州区永顺镇0204-A地块R2二类居住用地和0204-B地块R53托幼用地(配建公共租赁住房、限价商品住房、安置用房和自住型商品住房)</t>
  </si>
  <si>
    <t>东至潞邑西路中线,南至潞苑南大街中线,西至潞苑东路中线,北至潞苑中街中线</t>
  </si>
  <si>
    <t>京土整储挂(通)[2014]051号</t>
  </si>
  <si>
    <t>公共租赁房,定向安置房,限价房,</t>
  </si>
  <si>
    <t>2014-08-20</t>
  </si>
  <si>
    <t>北京第六大洲房地产开发有限公司和陕西逸博置业有限公司联合体</t>
  </si>
  <si>
    <t>房山区良乡高教园区17-02-03、17-02-06地块(高教园区10号地北侧)F1住宅混合公建用地(配建&amp;quot;限价商品住房&amp;quot;)</t>
  </si>
  <si>
    <t>房山区拱辰街道办事处</t>
  </si>
  <si>
    <t>东至规划长于南大街西边线,西至规划卓秀南街东边线,北至规划长虹东路南边线,南至规划汇商西路北边线</t>
  </si>
  <si>
    <t>京土整储挂(房)[2014]038号</t>
  </si>
  <si>
    <t>2014-07-17</t>
  </si>
  <si>
    <t>北京瑞元丰祥置业有限公司和北京中瑞凯华投资管理有限公司联合体</t>
  </si>
  <si>
    <t>顺义新城第21街区21-18-001a、21-18-001c地块R2二类居住用地、C9其他公共设施用地</t>
  </si>
  <si>
    <t>顺义新城第21街区</t>
  </si>
  <si>
    <t>东至裕园路道路中心线、南至馨园七路道路中心线及榆阳路南绿线、西至规划支路道路中心线、北至安庆街道路中心线</t>
  </si>
  <si>
    <t>京土整储挂(顺)[2014]036号</t>
  </si>
  <si>
    <t>2014-07-14</t>
  </si>
  <si>
    <t>北京顺义新城建设开发有限公司</t>
  </si>
  <si>
    <t>昌平区沙河镇北沙河北侧(丽春湖土地一级开发项目)LCH-008地块R2二类居住用地</t>
  </si>
  <si>
    <t>昌平区沙河镇北沙河北侧</t>
  </si>
  <si>
    <t>东至回昌路道路东红线、南至北沙河河道北蓝线、西至规划于辛庄路道路中线、北至中地学校南路道路中线</t>
  </si>
  <si>
    <t>京土整储挂(昌)[2014]035号</t>
  </si>
  <si>
    <t>北京瑞坤置业有限责任公司</t>
  </si>
  <si>
    <t>大兴区黄村镇DX00-0101-0201等地块F2公建混合住宅用地项目(配建限价商品住房)</t>
  </si>
  <si>
    <t>大兴区黄村镇</t>
  </si>
  <si>
    <t>东侧至新源大街,西侧至规划纵一路,北侧至义绣路,南侧至规划横一路</t>
  </si>
  <si>
    <t>京土整储挂(兴)[2014]030号</t>
  </si>
  <si>
    <t>2014-04-24</t>
  </si>
  <si>
    <t>北京正浩置业有限公司</t>
  </si>
  <si>
    <t>北京经济技术开发区路东区G1R1地块二类居住用地</t>
  </si>
  <si>
    <t>北京经济技术开发区路东区G1R1地块</t>
  </si>
  <si>
    <t>东至经海九路西侧G1R1规划绿地;南至科创十一街(待建);西至排干渠东侧规划绿地,北至规划绿地</t>
  </si>
  <si>
    <t>京土整储挂(开)[2014]032号</t>
  </si>
  <si>
    <t>≤2</t>
  </si>
  <si>
    <t>北京经开投资开发股份有限公司</t>
  </si>
  <si>
    <t>门头沟区永定镇MC00-0020-0030、0032、0042、0043、0048地块R2二类居住用地、S3社会停车场库用地及R53托幼用地(门头沟东辛秤C地块西区)</t>
  </si>
  <si>
    <t>东至东辛秤二路,南至北京锅炉厂南路西延,西至西六环西辅路,北至门城泰安路</t>
  </si>
  <si>
    <t>京土整储挂(门)[2014]027号</t>
  </si>
  <si>
    <t>2014-04-18</t>
  </si>
  <si>
    <t>中国水电建设集团房地产有限公司和宁波益方投资合伙企业(有限合伙)联合体</t>
  </si>
  <si>
    <t>大兴区生物医药基地0505-070、076、066、077地块F1住宅混合公建用地、R53托幼用地、U43粪便垃圾设施用地(配建公共租赁住房)</t>
  </si>
  <si>
    <t>大兴区生物医药基地东配套区</t>
  </si>
  <si>
    <t>东侧至规划用地边界,南侧至永旺路中心线,西侧至规划用地边界,北侧至永兴路中心线</t>
  </si>
  <si>
    <t>京土整储挂(兴)[2014]026号</t>
  </si>
  <si>
    <t>北京金科兴源置业有限公司</t>
  </si>
  <si>
    <t>大兴区生物医药基地0505-069、075地块F1住宅混合公建用地、R51中学用地(配建公共租赁住房)</t>
  </si>
  <si>
    <t>京土整储挂(兴)[2014]025号</t>
  </si>
  <si>
    <t>北京正华永恒置业有限公司和北京正华永旭房地产开发有限公司联合体</t>
  </si>
  <si>
    <t>门头沟区永定镇MC00-0020-0031、0049地块F1住宅混合公建用地(配建经济适用房)(门头沟东辛秤C地块东区)</t>
  </si>
  <si>
    <t>MC00-0020-0031地块:东至东辛秤一路,南至东辛秤北一街,西至东辛秤二路,北至门城泰安路;MC00-0020-0049地块:东至东辛秤一路,南至北京锅炉厂南路西延,西至东辛秤二路,北至东辛秤北二街</t>
  </si>
  <si>
    <t>京土整储挂(门)[2014]028号</t>
  </si>
  <si>
    <t>中铁置业集团北京有限公司、中国中铁航空港建设集团有限公司、中铁物资有限责任公司和中铁四局集团有限公司联合体</t>
  </si>
  <si>
    <t>顺义区赵全营镇镇中心区C1-02、C1-03、C1-04等R2二类居住、C21商业用地、F1住宅混合公建用地、R53托幼用地、U2交通设施等用地(配建限价商品住房)(原板桥四期)</t>
  </si>
  <si>
    <t>顺义区赵全营镇镇中心区</t>
  </si>
  <si>
    <t>C1-02/03/04地块东至板东路,南至新民路,西至牤牛河;SY19-0604-6001/6002宗地四至范围:东至滨河路,南至昌金路,西至板西路,北至板桥大街</t>
  </si>
  <si>
    <t>京土整储挂(顺)[2014]018号</t>
  </si>
  <si>
    <t>2014-04-10</t>
  </si>
  <si>
    <t>北京瑞元丰祥置业有限公司和北京锦富华昌投资管理有限公司联合体</t>
  </si>
  <si>
    <t>原开发完成后价值</t>
    <phoneticPr fontId="15" type="noConversion"/>
  </si>
  <si>
    <t>原建筑面积</t>
    <phoneticPr fontId="15" type="noConversion"/>
  </si>
  <si>
    <t>现建筑面积</t>
    <phoneticPr fontId="15" type="noConversion"/>
  </si>
  <si>
    <t>楼面单价</t>
    <phoneticPr fontId="15" type="noConversion"/>
  </si>
  <si>
    <t>两限房</t>
    <phoneticPr fontId="15" type="noConversion"/>
  </si>
  <si>
    <t>评估值</t>
    <phoneticPr fontId="15" type="noConversion"/>
  </si>
  <si>
    <t>有产权车位</t>
    <phoneticPr fontId="276" type="noConversion"/>
  </si>
  <si>
    <t>建筑面积</t>
    <phoneticPr fontId="15" type="noConversion"/>
  </si>
  <si>
    <t>预计售价</t>
    <phoneticPr fontId="15" type="noConversion"/>
  </si>
  <si>
    <t>最终值</t>
    <phoneticPr fontId="15" type="noConversion"/>
  </si>
  <si>
    <t>扣除</t>
    <phoneticPr fontId="15" type="noConversion"/>
  </si>
  <si>
    <t>面积差值</t>
    <phoneticPr fontId="15" type="noConversion"/>
  </si>
  <si>
    <t>原资料总面积</t>
    <phoneticPr fontId="15" type="noConversion"/>
  </si>
  <si>
    <t>重置成新价</t>
    <phoneticPr fontId="234" type="noConversion"/>
  </si>
  <si>
    <t>项目名称</t>
    <phoneticPr fontId="234" type="noConversion"/>
  </si>
  <si>
    <t>楼面单价（元/平方米）</t>
    <phoneticPr fontId="234" type="noConversion"/>
  </si>
  <si>
    <t>估价对象1（本表）</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</si>
</sst>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_ * #,##0_ ;_ * \-#,##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
      <name val="Arial"/>
      <family val="2"/>
      <charset val="134"/>
    </font>
    <font>
      <sz val="10"/>
      <name val="Arial"/>
      <family val="2"/>
      <charset val="134"/>
    </font>
    <font>
      <sz val="11"/>
      <name val="Arial"/>
      <family val="2"/>
      <charset val="134"/>
    </font>
    <font>
      <sz val="11"/>
      <color rgb="FF000000"/>
      <name val="宋体"/>
      <family val="3"/>
      <charset val="134"/>
    </font>
    <font>
      <sz val="11"/>
      <color indexed="8"/>
      <name val="Arial"/>
      <family val="2"/>
      <charset val="134"/>
    </font>
    <font>
      <sz val="11"/>
      <color rgb="FFFF0000"/>
      <name val="Arial"/>
      <family val="2"/>
      <charset val="134"/>
    </font>
    <font>
      <sz val="12"/>
      <color rgb="FFFF0000"/>
      <name val="Arial"/>
      <family val="2"/>
    </font>
    <font>
      <sz val="9"/>
      <name val="华文细黑"/>
      <family val="3"/>
      <charset val="134"/>
    </font>
    <font>
      <sz val="11"/>
      <name val="华文细黑"/>
      <family val="3"/>
      <charset val="134"/>
    </font>
    <font>
      <sz val="9"/>
      <name val="宋体"/>
      <family val="2"/>
      <charset val="134"/>
      <scheme val="minor"/>
    </font>
    <font>
      <sz val="10"/>
      <color indexed="1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5"/>
        <bgColor indexed="64"/>
      </patternFill>
    </fill>
    <fill>
      <patternFill patternType="solid">
        <fgColor rgb="FF00B0F0"/>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xf numFmtId="192" fontId="146" fillId="0" borderId="0">
      <alignment vertical="center"/>
    </xf>
  </cellStyleXfs>
  <cellXfs count="35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2" xfId="0" applyFont="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5" borderId="11" xfId="2" applyNumberFormat="1" applyFont="1" applyFill="1" applyBorder="1" applyAlignment="1" applyProtection="1">
      <alignment vertical="center" wrapText="1"/>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72" fillId="5" borderId="50" xfId="0" applyFont="1" applyFill="1" applyBorder="1" applyAlignment="1" applyProtection="1">
      <alignment vertical="center" wrapText="1"/>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0" fontId="17" fillId="5" borderId="2" xfId="0" applyFont="1" applyFill="1" applyBorder="1" applyAlignment="1" applyProtection="1">
      <alignment horizontal="center" vertical="center" wrapText="1"/>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2" borderId="20" xfId="0" applyFont="1" applyFill="1" applyBorder="1" applyAlignment="1" applyProtection="1">
      <alignment horizontal="left" vertical="center" wrapText="1"/>
      <protection locked="0"/>
    </xf>
    <xf numFmtId="0" fontId="72" fillId="0" borderId="2" xfId="0" applyFont="1" applyBorder="1" applyAlignment="1" applyProtection="1">
      <alignment horizontal="center" vertical="center"/>
      <protection locked="0"/>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6" borderId="71" xfId="0" applyNumberFormat="1" applyFont="1" applyFill="1" applyBorder="1" applyAlignment="1" applyProtection="1">
      <alignment vertical="center" wrapText="1"/>
      <protection locked="0"/>
    </xf>
    <xf numFmtId="0" fontId="79" fillId="6" borderId="5" xfId="0" applyNumberFormat="1" applyFont="1" applyFill="1" applyBorder="1" applyAlignment="1" applyProtection="1">
      <alignment horizontal="left" vertical="center" wrapText="1"/>
      <protection locked="0"/>
    </xf>
    <xf numFmtId="0" fontId="79" fillId="6" borderId="84" xfId="0" applyNumberFormat="1" applyFont="1" applyFill="1" applyBorder="1" applyAlignment="1" applyProtection="1">
      <alignment horizontal="left" vertical="center"/>
      <protection locked="0"/>
    </xf>
    <xf numFmtId="0" fontId="79" fillId="2" borderId="20" xfId="0" applyNumberFormat="1" applyFont="1" applyFill="1" applyBorder="1" applyAlignment="1" applyProtection="1">
      <alignment horizontal="left" vertical="center" wrapText="1"/>
      <protection locked="0"/>
    </xf>
    <xf numFmtId="0" fontId="79" fillId="2" borderId="32" xfId="0" applyNumberFormat="1" applyFont="1" applyFill="1" applyBorder="1" applyAlignment="1" applyProtection="1">
      <alignment horizontal="left" vertical="center" wrapText="1"/>
      <protection locked="0"/>
    </xf>
    <xf numFmtId="0" fontId="79" fillId="6" borderId="5" xfId="0" applyNumberFormat="1" applyFont="1" applyFill="1" applyBorder="1" applyAlignment="1" applyProtection="1">
      <alignment vertical="center" wrapText="1"/>
      <protection locked="0"/>
    </xf>
    <xf numFmtId="0" fontId="79" fillId="6" borderId="10" xfId="0" applyNumberFormat="1" applyFont="1" applyFill="1" applyBorder="1" applyAlignment="1" applyProtection="1">
      <alignment horizontal="center" vertical="center" wrapText="1"/>
      <protection locked="0"/>
    </xf>
    <xf numFmtId="14" fontId="79" fillId="0" borderId="2" xfId="0" applyNumberFormat="1" applyFont="1" applyFill="1" applyBorder="1" applyAlignment="1" applyProtection="1">
      <alignment horizontal="center" vertical="center" shrinkToFit="1"/>
      <protection locked="0"/>
    </xf>
    <xf numFmtId="0" fontId="79" fillId="6" borderId="3" xfId="0" applyNumberFormat="1" applyFont="1" applyFill="1" applyBorder="1" applyAlignment="1" applyProtection="1">
      <alignment horizontal="center" vertical="center" wrapText="1"/>
      <protection locked="0"/>
    </xf>
    <xf numFmtId="0" fontId="133" fillId="6" borderId="2" xfId="0" applyFont="1" applyFill="1" applyBorder="1" applyAlignment="1" applyProtection="1">
      <alignment horizontal="center" vertical="center" wrapText="1"/>
      <protection locked="0"/>
    </xf>
    <xf numFmtId="0" fontId="267" fillId="0" borderId="2" xfId="0" applyNumberFormat="1" applyFont="1" applyBorder="1" applyAlignment="1" applyProtection="1">
      <alignment horizontal="center" vertical="center" wrapText="1"/>
      <protection locked="0"/>
    </xf>
    <xf numFmtId="0" fontId="77" fillId="0" borderId="2" xfId="0" applyNumberFormat="1" applyFont="1" applyBorder="1" applyAlignment="1" applyProtection="1">
      <alignment horizontal="center" vertical="center" wrapText="1"/>
      <protection locked="0"/>
    </xf>
    <xf numFmtId="0" fontId="164" fillId="0" borderId="2" xfId="1" applyNumberFormat="1" applyFont="1" applyFill="1" applyBorder="1" applyAlignment="1" applyProtection="1">
      <alignment horizontal="center" vertical="center" wrapText="1"/>
      <protection locked="0"/>
    </xf>
    <xf numFmtId="0" fontId="162" fillId="0" borderId="2" xfId="1" applyNumberFormat="1" applyFont="1" applyBorder="1" applyAlignment="1" applyProtection="1">
      <alignment horizontal="center" vertical="center" wrapText="1"/>
      <protection locked="0"/>
    </xf>
    <xf numFmtId="0" fontId="77" fillId="2" borderId="21" xfId="0" applyNumberFormat="1" applyFont="1" applyFill="1" applyBorder="1" applyAlignment="1" applyProtection="1">
      <alignment horizontal="center" vertical="center" wrapText="1"/>
      <protection locked="0"/>
    </xf>
    <xf numFmtId="0" fontId="149" fillId="0" borderId="2" xfId="1" applyNumberFormat="1" applyFont="1" applyFill="1" applyBorder="1" applyAlignment="1" applyProtection="1">
      <alignment horizontal="center" vertical="center" wrapText="1"/>
      <protection locked="0"/>
    </xf>
    <xf numFmtId="0" fontId="77" fillId="2" borderId="17" xfId="0" applyNumberFormat="1" applyFont="1" applyFill="1" applyBorder="1" applyAlignment="1" applyProtection="1">
      <alignment horizontal="left" vertical="center"/>
      <protection locked="0"/>
    </xf>
    <xf numFmtId="0" fontId="77" fillId="2" borderId="5" xfId="0" applyNumberFormat="1" applyFont="1" applyFill="1" applyBorder="1" applyAlignment="1" applyProtection="1">
      <alignment horizontal="left" vertical="center"/>
      <protection locked="0"/>
    </xf>
    <xf numFmtId="0" fontId="77" fillId="2" borderId="8" xfId="0" applyNumberFormat="1" applyFont="1" applyFill="1" applyBorder="1" applyAlignment="1" applyProtection="1">
      <alignment horizontal="left" vertical="center"/>
      <protection locked="0"/>
    </xf>
    <xf numFmtId="0" fontId="168" fillId="0" borderId="2" xfId="0" applyFont="1" applyBorder="1" applyAlignment="1" applyProtection="1">
      <alignment horizontal="center" vertical="center"/>
      <protection locked="0"/>
    </xf>
    <xf numFmtId="0" fontId="159" fillId="6" borderId="5" xfId="0" applyNumberFormat="1" applyFont="1" applyFill="1" applyBorder="1" applyAlignment="1" applyProtection="1">
      <alignment horizontal="left" vertical="center"/>
      <protection locked="0"/>
    </xf>
    <xf numFmtId="0" fontId="149" fillId="0" borderId="2" xfId="1" applyNumberFormat="1" applyFont="1" applyBorder="1" applyAlignment="1" applyProtection="1">
      <alignment horizontal="center" vertical="center" wrapText="1"/>
      <protection locked="0"/>
    </xf>
    <xf numFmtId="0" fontId="77" fillId="0" borderId="2" xfId="0" applyNumberFormat="1" applyFont="1" applyBorder="1" applyAlignment="1" applyProtection="1">
      <alignment vertical="center" wrapText="1"/>
      <protection locked="0"/>
    </xf>
    <xf numFmtId="0" fontId="77" fillId="0" borderId="0" xfId="0" applyNumberFormat="1" applyFont="1" applyAlignment="1" applyProtection="1">
      <alignment horizontal="center" vertical="center" wrapText="1"/>
      <protection locked="0"/>
    </xf>
    <xf numFmtId="0" fontId="83" fillId="0" borderId="2" xfId="0" applyNumberFormat="1" applyFont="1" applyBorder="1" applyAlignment="1" applyProtection="1">
      <alignment vertical="center" wrapText="1"/>
      <protection locked="0"/>
    </xf>
    <xf numFmtId="0" fontId="72" fillId="0" borderId="2" xfId="0" applyNumberFormat="1" applyFont="1" applyBorder="1" applyAlignment="1" applyProtection="1">
      <alignment vertical="center" wrapText="1"/>
      <protection locked="0"/>
    </xf>
    <xf numFmtId="0" fontId="181" fillId="0" borderId="2" xfId="0" applyNumberFormat="1" applyFont="1" applyBorder="1" applyAlignment="1" applyProtection="1">
      <alignment horizontal="center" vertical="center"/>
      <protection locked="0"/>
    </xf>
    <xf numFmtId="0" fontId="77" fillId="0" borderId="21" xfId="0" applyNumberFormat="1" applyFont="1" applyBorder="1" applyAlignment="1" applyProtection="1">
      <alignment horizontal="center" vertical="center" wrapText="1"/>
      <protection locked="0"/>
    </xf>
    <xf numFmtId="0" fontId="77" fillId="0" borderId="17" xfId="0" applyNumberFormat="1" applyFont="1" applyBorder="1" applyAlignment="1" applyProtection="1">
      <alignment horizontal="center" vertical="center" wrapText="1"/>
      <protection locked="0"/>
    </xf>
    <xf numFmtId="0" fontId="162" fillId="6" borderId="2" xfId="1" applyNumberFormat="1" applyFont="1" applyFill="1" applyBorder="1" applyAlignment="1" applyProtection="1">
      <alignment horizontal="center" vertical="center" wrapText="1"/>
      <protection locked="0"/>
    </xf>
    <xf numFmtId="0" fontId="159" fillId="6" borderId="21" xfId="0" applyNumberFormat="1" applyFont="1" applyFill="1" applyBorder="1" applyAlignment="1" applyProtection="1">
      <alignment horizontal="center" vertical="center" wrapText="1"/>
      <protection locked="0"/>
    </xf>
    <xf numFmtId="0" fontId="72" fillId="0" borderId="2" xfId="0" applyNumberFormat="1" applyFont="1" applyBorder="1" applyAlignment="1" applyProtection="1">
      <alignment horizontal="center" vertical="center" wrapText="1"/>
      <protection locked="0"/>
    </xf>
    <xf numFmtId="0" fontId="72" fillId="0" borderId="21" xfId="0" applyNumberFormat="1" applyFont="1" applyBorder="1" applyAlignment="1" applyProtection="1">
      <alignment horizontal="center" vertical="center" wrapText="1"/>
      <protection locked="0"/>
    </xf>
    <xf numFmtId="0" fontId="72" fillId="0" borderId="17" xfId="0" applyNumberFormat="1" applyFont="1" applyBorder="1" applyAlignment="1" applyProtection="1">
      <alignment horizontal="center" vertical="center" wrapText="1"/>
      <protection locked="0"/>
    </xf>
    <xf numFmtId="0" fontId="133" fillId="0" borderId="2" xfId="1" applyNumberFormat="1" applyFont="1" applyFill="1" applyBorder="1" applyAlignment="1" applyProtection="1">
      <alignment horizontal="center" vertical="center" wrapText="1"/>
      <protection locked="0"/>
    </xf>
    <xf numFmtId="0" fontId="154" fillId="6" borderId="2" xfId="0" applyNumberFormat="1" applyFont="1" applyFill="1" applyBorder="1" applyAlignment="1" applyProtection="1">
      <alignment horizontal="center" vertical="center" wrapText="1"/>
      <protection locked="0"/>
    </xf>
    <xf numFmtId="0" fontId="49" fillId="0" borderId="2" xfId="2" applyNumberFormat="1" applyFont="1" applyFill="1" applyBorder="1" applyAlignment="1" applyProtection="1">
      <alignment vertical="center"/>
      <protection locked="0"/>
    </xf>
    <xf numFmtId="0" fontId="83" fillId="0" borderId="2" xfId="2" applyNumberFormat="1" applyFont="1" applyFill="1" applyBorder="1" applyAlignment="1" applyProtection="1">
      <alignment vertical="center"/>
      <protection locked="0"/>
    </xf>
    <xf numFmtId="0" fontId="82" fillId="0" borderId="2" xfId="2" applyNumberFormat="1" applyFont="1" applyFill="1" applyBorder="1" applyAlignment="1" applyProtection="1">
      <alignment vertical="center"/>
      <protection locked="0"/>
    </xf>
    <xf numFmtId="0" fontId="77" fillId="3" borderId="9" xfId="0" applyNumberFormat="1" applyFont="1" applyFill="1" applyBorder="1" applyProtection="1">
      <alignment vertical="center"/>
      <protection locked="0"/>
    </xf>
    <xf numFmtId="0" fontId="77" fillId="3" borderId="12" xfId="0" applyNumberFormat="1" applyFont="1" applyFill="1" applyBorder="1" applyProtection="1">
      <alignment vertical="center"/>
      <protection locked="0"/>
    </xf>
    <xf numFmtId="0" fontId="72" fillId="3" borderId="32" xfId="0" applyNumberFormat="1" applyFont="1" applyFill="1" applyBorder="1" applyProtection="1">
      <alignment vertical="center"/>
      <protection locked="0"/>
    </xf>
    <xf numFmtId="0" fontId="72" fillId="3" borderId="25" xfId="0" applyNumberFormat="1" applyFont="1" applyFill="1" applyBorder="1" applyProtection="1">
      <alignment vertical="center"/>
      <protection locked="0"/>
    </xf>
    <xf numFmtId="0" fontId="72" fillId="2" borderId="5" xfId="2" applyNumberFormat="1" applyFont="1" applyFill="1" applyBorder="1" applyAlignment="1" applyProtection="1">
      <alignment vertical="center"/>
      <protection locked="0"/>
    </xf>
    <xf numFmtId="10" fontId="150" fillId="0" borderId="2" xfId="0" applyNumberFormat="1" applyFont="1" applyFill="1" applyBorder="1" applyAlignment="1" applyProtection="1">
      <alignment horizontal="center" vertical="center"/>
      <protection locked="0"/>
    </xf>
    <xf numFmtId="10" fontId="85" fillId="8" borderId="2" xfId="0" applyNumberFormat="1" applyFont="1" applyFill="1" applyBorder="1" applyAlignment="1" applyProtection="1">
      <alignment horizontal="center" vertical="center"/>
      <protection locked="0"/>
    </xf>
    <xf numFmtId="0" fontId="72" fillId="0" borderId="2" xfId="2" applyNumberFormat="1" applyFont="1" applyFill="1" applyBorder="1" applyAlignment="1" applyProtection="1">
      <alignment horizontal="center" vertical="center"/>
      <protection locked="0"/>
    </xf>
    <xf numFmtId="0" fontId="72" fillId="0" borderId="11" xfId="0" applyNumberFormat="1" applyFont="1" applyBorder="1" applyAlignment="1" applyProtection="1">
      <alignment vertical="center"/>
      <protection locked="0"/>
    </xf>
    <xf numFmtId="0" fontId="72" fillId="0" borderId="2" xfId="0" applyNumberFormat="1" applyFont="1" applyBorder="1" applyAlignment="1" applyProtection="1">
      <alignment vertical="center"/>
      <protection locked="0"/>
    </xf>
    <xf numFmtId="0" fontId="72" fillId="0" borderId="11" xfId="0" applyNumberFormat="1" applyFont="1" applyBorder="1" applyAlignment="1" applyProtection="1">
      <alignment horizontal="center" vertical="center"/>
      <protection locked="0"/>
    </xf>
    <xf numFmtId="0" fontId="72" fillId="0" borderId="2" xfId="0" applyNumberFormat="1" applyFont="1" applyFill="1" applyBorder="1" applyAlignment="1" applyProtection="1">
      <alignment horizontal="center" vertical="center"/>
      <protection locked="0"/>
    </xf>
    <xf numFmtId="0" fontId="154" fillId="6" borderId="2" xfId="0" applyNumberFormat="1" applyFont="1" applyFill="1" applyBorder="1" applyAlignment="1" applyProtection="1">
      <alignment horizontal="center" vertical="center"/>
      <protection locked="0"/>
    </xf>
    <xf numFmtId="0" fontId="72" fillId="6" borderId="9" xfId="0" applyNumberFormat="1" applyFont="1" applyFill="1" applyBorder="1" applyAlignment="1" applyProtection="1">
      <alignment horizontal="center" vertical="center"/>
      <protection locked="0"/>
    </xf>
    <xf numFmtId="10" fontId="72" fillId="0" borderId="5" xfId="0" applyNumberFormat="1" applyFont="1" applyBorder="1" applyAlignment="1" applyProtection="1">
      <alignment horizontal="center" vertical="center"/>
      <protection locked="0"/>
    </xf>
    <xf numFmtId="0" fontId="72" fillId="6" borderId="2" xfId="0" applyNumberFormat="1" applyFont="1" applyFill="1" applyBorder="1" applyAlignment="1" applyProtection="1">
      <alignment vertical="center"/>
      <protection locked="0"/>
    </xf>
    <xf numFmtId="0" fontId="85" fillId="0" borderId="7" xfId="2" applyNumberFormat="1" applyFont="1" applyFill="1" applyBorder="1" applyAlignment="1" applyProtection="1">
      <alignment horizontal="center" vertical="center"/>
      <protection locked="0"/>
    </xf>
    <xf numFmtId="0" fontId="268" fillId="0" borderId="7" xfId="2" applyNumberFormat="1" applyFont="1" applyFill="1" applyBorder="1" applyAlignment="1" applyProtection="1">
      <alignment horizontal="center" vertical="center"/>
      <protection locked="0"/>
    </xf>
    <xf numFmtId="0" fontId="268" fillId="0" borderId="12" xfId="2" applyNumberFormat="1" applyFont="1" applyFill="1" applyBorder="1" applyAlignment="1" applyProtection="1">
      <alignment horizontal="center" vertical="center"/>
      <protection locked="0"/>
    </xf>
    <xf numFmtId="0" fontId="159" fillId="6" borderId="46" xfId="2" applyNumberFormat="1" applyFont="1" applyFill="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0" fontId="77" fillId="0" borderId="12" xfId="0" applyNumberFormat="1" applyFont="1" applyFill="1" applyBorder="1" applyAlignment="1" applyProtection="1">
      <alignment horizontal="center" vertical="center"/>
      <protection locked="0"/>
    </xf>
    <xf numFmtId="10" fontId="77" fillId="0" borderId="46" xfId="0" applyNumberFormat="1" applyFont="1" applyFill="1" applyBorder="1" applyAlignment="1" applyProtection="1">
      <alignment horizontal="center" vertical="center"/>
      <protection locked="0"/>
    </xf>
    <xf numFmtId="10" fontId="77" fillId="0" borderId="51" xfId="0" applyNumberFormat="1" applyFont="1" applyFill="1" applyBorder="1" applyAlignment="1" applyProtection="1">
      <alignment horizontal="center" vertical="center"/>
      <protection locked="0"/>
    </xf>
    <xf numFmtId="49" fontId="160" fillId="0" borderId="7" xfId="0" applyNumberFormat="1" applyFont="1" applyFill="1" applyBorder="1" applyAlignment="1" applyProtection="1">
      <alignment horizontal="center" vertical="center" wrapText="1"/>
      <protection locked="0"/>
    </xf>
    <xf numFmtId="0" fontId="160" fillId="0" borderId="12" xfId="0" applyFont="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160" fillId="0" borderId="46" xfId="0" applyFont="1" applyBorder="1" applyAlignment="1" applyProtection="1">
      <alignment horizontal="center" vertical="center"/>
      <protection locked="0"/>
    </xf>
    <xf numFmtId="0" fontId="72" fillId="2" borderId="62" xfId="0" applyNumberFormat="1" applyFont="1" applyFill="1" applyBorder="1" applyAlignment="1" applyProtection="1">
      <alignment horizontal="center" vertical="center" wrapText="1"/>
      <protection locked="0"/>
    </xf>
    <xf numFmtId="0" fontId="270" fillId="0" borderId="50"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59" fillId="0" borderId="18" xfId="0" applyNumberFormat="1" applyFont="1" applyFill="1" applyBorder="1" applyAlignment="1" applyProtection="1">
      <alignment horizontal="center" vertical="center" wrapText="1"/>
      <protection locked="0"/>
    </xf>
    <xf numFmtId="0" fontId="154" fillId="6" borderId="1" xfId="0" applyNumberFormat="1" applyFont="1" applyFill="1" applyBorder="1" applyAlignment="1" applyProtection="1">
      <alignment horizontal="center" vertical="center" wrapText="1"/>
      <protection locked="0"/>
    </xf>
    <xf numFmtId="0" fontId="72" fillId="0" borderId="62" xfId="0" applyNumberFormat="1" applyFont="1" applyFill="1" applyBorder="1" applyAlignment="1" applyProtection="1">
      <alignment horizontal="center" vertical="center" wrapText="1"/>
      <protection locked="0"/>
    </xf>
    <xf numFmtId="0" fontId="72" fillId="2" borderId="33" xfId="0" applyNumberFormat="1" applyFont="1" applyFill="1" applyBorder="1" applyAlignment="1" applyProtection="1">
      <alignment horizontal="center" vertical="center" wrapText="1"/>
      <protection locked="0"/>
    </xf>
    <xf numFmtId="0" fontId="145" fillId="0" borderId="53" xfId="0" applyNumberFormat="1" applyFont="1" applyFill="1" applyBorder="1" applyAlignment="1" applyProtection="1">
      <alignment horizontal="center" vertical="center" wrapText="1"/>
      <protection locked="0"/>
    </xf>
    <xf numFmtId="0" fontId="85" fillId="0" borderId="24" xfId="0" applyNumberFormat="1" applyFont="1" applyFill="1" applyBorder="1" applyAlignment="1" applyProtection="1">
      <alignment horizontal="center" vertical="center" wrapText="1"/>
      <protection locked="0"/>
    </xf>
    <xf numFmtId="0" fontId="145" fillId="0" borderId="22" xfId="0" applyNumberFormat="1" applyFont="1" applyFill="1" applyBorder="1" applyAlignment="1" applyProtection="1">
      <alignment horizontal="center" vertical="center" wrapText="1"/>
      <protection locked="0"/>
    </xf>
    <xf numFmtId="0" fontId="145" fillId="0" borderId="24" xfId="0" applyNumberFormat="1" applyFont="1" applyFill="1" applyBorder="1" applyAlignment="1" applyProtection="1">
      <alignment horizontal="center" vertical="center" wrapText="1"/>
      <protection locked="0"/>
    </xf>
    <xf numFmtId="0" fontId="72" fillId="0" borderId="33" xfId="0" applyNumberFormat="1" applyFont="1" applyFill="1" applyBorder="1" applyAlignment="1" applyProtection="1">
      <alignment horizontal="center" vertical="center" wrapText="1"/>
      <protection locked="0"/>
    </xf>
    <xf numFmtId="0" fontId="145" fillId="0" borderId="58" xfId="0" applyNumberFormat="1" applyFont="1" applyFill="1" applyBorder="1" applyAlignment="1" applyProtection="1">
      <alignment horizontal="center" vertical="center" wrapText="1"/>
      <protection locked="0"/>
    </xf>
    <xf numFmtId="0" fontId="85" fillId="0" borderId="18" xfId="0" applyNumberFormat="1" applyFont="1" applyFill="1" applyBorder="1" applyAlignment="1" applyProtection="1">
      <alignment horizontal="center" vertical="center" wrapText="1"/>
      <protection locked="0"/>
    </xf>
    <xf numFmtId="0" fontId="145" fillId="0" borderId="32" xfId="0" applyNumberFormat="1" applyFont="1" applyFill="1" applyBorder="1" applyAlignment="1" applyProtection="1">
      <alignment horizontal="center" vertical="center" wrapText="1"/>
      <protection locked="0"/>
    </xf>
    <xf numFmtId="0" fontId="145" fillId="0" borderId="18"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93" fillId="0" borderId="9" xfId="0" applyNumberFormat="1" applyFont="1" applyFill="1" applyBorder="1" applyAlignment="1" applyProtection="1">
      <alignment horizontal="center" vertical="center" wrapText="1"/>
      <protection locked="0"/>
    </xf>
    <xf numFmtId="0" fontId="154" fillId="0" borderId="74" xfId="0" applyNumberFormat="1" applyFont="1" applyFill="1" applyBorder="1" applyAlignment="1" applyProtection="1">
      <alignment horizontal="center" vertical="center" wrapText="1"/>
      <protection locked="0"/>
    </xf>
    <xf numFmtId="0" fontId="184" fillId="0" borderId="74" xfId="0" applyNumberFormat="1" applyFont="1" applyFill="1" applyBorder="1" applyAlignment="1" applyProtection="1">
      <alignment horizontal="center" vertical="center" wrapText="1"/>
      <protection locked="0"/>
    </xf>
    <xf numFmtId="0" fontId="204" fillId="0" borderId="74" xfId="0" applyNumberFormat="1" applyFont="1" applyFill="1" applyBorder="1" applyAlignment="1" applyProtection="1">
      <alignment horizontal="center" vertical="center" wrapText="1"/>
      <protection locked="0"/>
    </xf>
    <xf numFmtId="0" fontId="154" fillId="0" borderId="71"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0" borderId="22"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85" fillId="5" borderId="2" xfId="0" applyNumberFormat="1" applyFont="1" applyFill="1" applyBorder="1" applyAlignment="1" applyProtection="1">
      <alignment horizontal="center" vertical="center"/>
    </xf>
    <xf numFmtId="1" fontId="72" fillId="0" borderId="0" xfId="0" applyNumberFormat="1" applyFont="1" applyProtection="1">
      <alignment vertical="center"/>
      <protection locked="0"/>
    </xf>
    <xf numFmtId="0" fontId="83" fillId="0" borderId="2" xfId="0" applyNumberFormat="1" applyFont="1" applyBorder="1" applyAlignment="1" applyProtection="1">
      <alignment horizontal="center" vertical="center" wrapText="1"/>
      <protection locked="0"/>
    </xf>
    <xf numFmtId="0" fontId="85" fillId="16" borderId="2" xfId="2" applyNumberFormat="1" applyFont="1" applyFill="1" applyBorder="1" applyAlignment="1" applyProtection="1">
      <alignment horizontal="center" vertical="center"/>
      <protection locked="0"/>
    </xf>
    <xf numFmtId="178" fontId="85" fillId="16" borderId="2" xfId="2" applyNumberFormat="1" applyFont="1" applyFill="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182" fontId="72" fillId="0" borderId="5" xfId="0" applyNumberFormat="1" applyFont="1" applyBorder="1" applyAlignment="1" applyProtection="1">
      <alignment horizontal="center" vertical="center"/>
      <protection locked="0"/>
    </xf>
    <xf numFmtId="0" fontId="270" fillId="0" borderId="4" xfId="0" applyFont="1" applyFill="1" applyBorder="1" applyAlignment="1" applyProtection="1">
      <alignment horizontal="center" vertical="center" wrapText="1"/>
      <protection locked="0"/>
    </xf>
    <xf numFmtId="0" fontId="272" fillId="0" borderId="74" xfId="0" applyNumberFormat="1" applyFont="1" applyFill="1" applyBorder="1" applyAlignment="1" applyProtection="1">
      <alignment horizontal="center" vertical="center" wrapText="1"/>
      <protection locked="0"/>
    </xf>
    <xf numFmtId="0" fontId="272" fillId="0" borderId="71"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protection locked="0"/>
    </xf>
    <xf numFmtId="0" fontId="154" fillId="6" borderId="64" xfId="0" applyNumberFormat="1" applyFont="1" applyFill="1" applyBorder="1" applyAlignment="1" applyProtection="1">
      <alignment horizontal="center" vertical="center" wrapText="1"/>
      <protection locked="0"/>
    </xf>
    <xf numFmtId="14" fontId="72" fillId="0" borderId="62" xfId="0" applyNumberFormat="1" applyFont="1" applyFill="1" applyBorder="1" applyAlignment="1" applyProtection="1">
      <alignment horizontal="center" vertical="center" wrapText="1"/>
      <protection locked="0"/>
    </xf>
    <xf numFmtId="0" fontId="72" fillId="2" borderId="42" xfId="0" applyNumberFormat="1" applyFont="1" applyFill="1" applyBorder="1" applyAlignment="1" applyProtection="1">
      <alignment horizontal="center" vertical="center" wrapText="1"/>
      <protection locked="0"/>
    </xf>
    <xf numFmtId="0" fontId="72" fillId="2" borderId="9" xfId="0" applyNumberFormat="1" applyFont="1" applyFill="1" applyBorder="1" applyAlignment="1" applyProtection="1">
      <alignment horizontal="center" vertical="center" wrapText="1"/>
      <protection locked="0"/>
    </xf>
    <xf numFmtId="0" fontId="85" fillId="2" borderId="9"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85" fillId="2" borderId="42" xfId="0" applyNumberFormat="1" applyFont="1" applyFill="1" applyBorder="1" applyAlignment="1" applyProtection="1">
      <alignment horizontal="center" vertical="center" wrapText="1"/>
      <protection locked="0"/>
    </xf>
    <xf numFmtId="0" fontId="85" fillId="6" borderId="9" xfId="0" applyNumberFormat="1" applyFont="1" applyFill="1" applyBorder="1" applyAlignment="1" applyProtection="1">
      <alignment horizontal="center" vertical="center" wrapText="1"/>
      <protection locked="0"/>
    </xf>
    <xf numFmtId="0" fontId="72" fillId="2" borderId="1"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269" fillId="0" borderId="6" xfId="0" applyNumberFormat="1" applyFont="1" applyFill="1" applyBorder="1" applyAlignment="1" applyProtection="1">
      <alignment horizontal="center" vertical="center" wrapText="1"/>
      <protection locked="0"/>
    </xf>
    <xf numFmtId="0" fontId="273" fillId="6" borderId="1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58" fontId="72" fillId="0" borderId="64" xfId="0" applyNumberFormat="1" applyFont="1" applyFill="1" applyBorder="1" applyAlignment="1" applyProtection="1">
      <alignment horizontal="center" vertical="center" wrapText="1"/>
      <protection locked="0"/>
    </xf>
    <xf numFmtId="0" fontId="116" fillId="0" borderId="2" xfId="0" applyFont="1" applyFill="1" applyBorder="1" applyAlignment="1" applyProtection="1">
      <alignment horizontal="center" vertical="center"/>
      <protection locked="0"/>
    </xf>
    <xf numFmtId="0" fontId="83" fillId="0" borderId="2" xfId="0" applyFont="1" applyBorder="1" applyProtection="1">
      <alignment vertical="center"/>
      <protection locked="0"/>
    </xf>
    <xf numFmtId="0" fontId="11" fillId="0" borderId="105" xfId="0" applyNumberFormat="1" applyFont="1" applyFill="1" applyBorder="1" applyAlignment="1" applyProtection="1">
      <alignment horizontal="center" vertical="center" wrapText="1"/>
      <protection locked="0"/>
    </xf>
    <xf numFmtId="0" fontId="11" fillId="0" borderId="31" xfId="0" applyNumberFormat="1" applyFont="1" applyFill="1" applyBorder="1" applyAlignment="1" applyProtection="1">
      <alignment horizontal="center" vertical="center" wrapText="1"/>
      <protection locked="0"/>
    </xf>
    <xf numFmtId="0" fontId="85" fillId="0" borderId="58"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85" fillId="0" borderId="53" xfId="0" applyNumberFormat="1" applyFont="1" applyFill="1" applyBorder="1" applyAlignment="1" applyProtection="1">
      <alignment horizontal="center" vertical="center" wrapText="1"/>
      <protection locked="0"/>
    </xf>
    <xf numFmtId="0" fontId="273" fillId="6" borderId="9" xfId="0" applyNumberFormat="1" applyFont="1" applyFill="1" applyBorder="1" applyAlignment="1" applyProtection="1">
      <alignment horizontal="center" vertical="center" wrapText="1"/>
      <protection locked="0"/>
    </xf>
    <xf numFmtId="0" fontId="154" fillId="6" borderId="11" xfId="0" applyNumberFormat="1" applyFont="1" applyFill="1" applyBorder="1" applyAlignment="1" applyProtection="1">
      <alignment horizontal="center" vertical="center" wrapText="1"/>
      <protection locked="0"/>
    </xf>
    <xf numFmtId="0" fontId="20" fillId="2" borderId="24" xfId="0" applyNumberFormat="1" applyFont="1" applyFill="1" applyBorder="1" applyAlignment="1" applyProtection="1">
      <alignment horizontal="center" vertical="center" wrapText="1"/>
      <protection locked="0"/>
    </xf>
    <xf numFmtId="49" fontId="145" fillId="0" borderId="32" xfId="0" applyNumberFormat="1" applyFont="1" applyFill="1" applyBorder="1" applyAlignment="1" applyProtection="1">
      <alignment horizontal="center" vertical="center" wrapText="1"/>
      <protection locked="0"/>
    </xf>
    <xf numFmtId="0" fontId="83" fillId="0" borderId="0" xfId="0" applyFont="1" applyProtection="1">
      <alignment vertical="center"/>
      <protection locked="0"/>
    </xf>
    <xf numFmtId="0" fontId="82" fillId="8" borderId="0" xfId="0" applyFont="1" applyFill="1" applyAlignment="1" applyProtection="1">
      <protection locked="0"/>
    </xf>
    <xf numFmtId="0" fontId="85" fillId="0" borderId="22" xfId="0" applyNumberFormat="1" applyFont="1" applyFill="1" applyBorder="1" applyAlignment="1" applyProtection="1">
      <alignment horizontal="center" vertical="center" wrapText="1"/>
      <protection locked="0"/>
    </xf>
    <xf numFmtId="0" fontId="146" fillId="0" borderId="0" xfId="15" applyNumberFormat="1" applyAlignment="1"/>
    <xf numFmtId="192" fontId="146" fillId="0" borderId="0" xfId="15" applyAlignment="1"/>
    <xf numFmtId="0" fontId="146" fillId="0" borderId="0" xfId="15" applyNumberFormat="1" applyFill="1" applyAlignment="1"/>
    <xf numFmtId="192" fontId="146" fillId="0" borderId="0" xfId="15" applyFill="1" applyAlignment="1"/>
    <xf numFmtId="0" fontId="146" fillId="6" borderId="0" xfId="15" applyNumberFormat="1" applyFill="1" applyAlignment="1"/>
    <xf numFmtId="192" fontId="146" fillId="6" borderId="0" xfId="15" applyFill="1" applyAlignment="1"/>
    <xf numFmtId="0" fontId="146" fillId="0" borderId="0" xfId="15" applyNumberFormat="1">
      <alignment vertical="center"/>
    </xf>
    <xf numFmtId="0" fontId="229" fillId="8" borderId="0" xfId="0" applyFont="1" applyFill="1" applyProtection="1">
      <alignment vertical="center"/>
      <protection locked="0"/>
    </xf>
    <xf numFmtId="0" fontId="229" fillId="8" borderId="0" xfId="0" applyFont="1" applyFill="1" applyAlignment="1" applyProtection="1">
      <protection locked="0"/>
    </xf>
    <xf numFmtId="177" fontId="101" fillId="8" borderId="0" xfId="0" applyNumberFormat="1" applyFont="1" applyFill="1" applyProtection="1">
      <alignment vertical="center"/>
      <protection locked="0"/>
    </xf>
    <xf numFmtId="0" fontId="274" fillId="17" borderId="2" xfId="0" applyFont="1" applyFill="1" applyBorder="1" applyAlignment="1" applyProtection="1">
      <alignment vertical="center"/>
      <protection locked="0"/>
    </xf>
    <xf numFmtId="176" fontId="274" fillId="17" borderId="2" xfId="0" applyNumberFormat="1" applyFont="1" applyFill="1" applyBorder="1" applyAlignment="1" applyProtection="1">
      <alignment horizontal="center" vertical="center"/>
    </xf>
    <xf numFmtId="176" fontId="275" fillId="17" borderId="2" xfId="0" applyNumberFormat="1" applyFont="1" applyFill="1" applyBorder="1" applyAlignment="1" applyProtection="1">
      <alignment horizontal="center" vertical="center"/>
    </xf>
    <xf numFmtId="0" fontId="277" fillId="8" borderId="0" xfId="0" applyFont="1" applyFill="1" applyAlignment="1" applyProtection="1">
      <protection locked="0"/>
    </xf>
    <xf numFmtId="177" fontId="81" fillId="8" borderId="0" xfId="0" applyNumberFormat="1" applyFont="1" applyFill="1" applyProtection="1">
      <alignment vertical="center"/>
      <protection locked="0"/>
    </xf>
    <xf numFmtId="178" fontId="81" fillId="6" borderId="0" xfId="0" applyNumberFormat="1" applyFont="1" applyFill="1" applyProtection="1">
      <alignment vertical="center"/>
      <protection locked="0"/>
    </xf>
    <xf numFmtId="185" fontId="229" fillId="8" borderId="0" xfId="0" applyNumberFormat="1" applyFont="1" applyFill="1" applyProtection="1">
      <alignment vertical="center"/>
      <protection locked="0"/>
    </xf>
    <xf numFmtId="178" fontId="77" fillId="8" borderId="0" xfId="0" applyNumberFormat="1" applyFont="1" applyFill="1" applyProtection="1">
      <alignment vertical="center"/>
      <protection locked="0"/>
    </xf>
    <xf numFmtId="0" fontId="186"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0" fontId="188" fillId="8" borderId="5" xfId="0" applyNumberFormat="1" applyFont="1" applyFill="1" applyBorder="1" applyAlignment="1" applyProtection="1">
      <alignment horizontal="left" vertical="center"/>
      <protection locked="0"/>
    </xf>
    <xf numFmtId="0" fontId="188" fillId="8" borderId="8" xfId="0" applyNumberFormat="1" applyFont="1" applyFill="1" applyBorder="1" applyAlignment="1" applyProtection="1">
      <alignment horizontal="left" vertical="center"/>
      <protection locked="0"/>
    </xf>
    <xf numFmtId="0"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269" fillId="0" borderId="12" xfId="0" applyNumberFormat="1" applyFont="1" applyFill="1" applyBorder="1" applyAlignment="1" applyProtection="1">
      <alignment horizontal="center" vertical="center" wrapText="1"/>
      <protection locked="0"/>
    </xf>
    <xf numFmtId="0" fontId="269" fillId="0" borderId="43" xfId="0" applyNumberFormat="1" applyFont="1" applyFill="1" applyBorder="1" applyAlignment="1" applyProtection="1">
      <alignment horizontal="center" vertical="center" wrapText="1"/>
      <protection locked="0"/>
    </xf>
    <xf numFmtId="0" fontId="269" fillId="0" borderId="46"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59" fillId="0" borderId="2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32"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59" fillId="0" borderId="9"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center" vertical="center" wrapText="1"/>
      <protection locked="0"/>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269" fillId="0" borderId="25" xfId="0" applyNumberFormat="1" applyFont="1" applyFill="1" applyBorder="1" applyAlignment="1" applyProtection="1">
      <alignment horizontal="center" vertical="center" wrapText="1"/>
      <protection locked="0"/>
    </xf>
    <xf numFmtId="0" fontId="269" fillId="0" borderId="4" xfId="0" applyNumberFormat="1" applyFont="1" applyFill="1" applyBorder="1" applyAlignment="1" applyProtection="1">
      <alignment horizontal="center" vertical="center" wrapText="1"/>
      <protection locked="0"/>
    </xf>
    <xf numFmtId="0" fontId="20" fillId="0" borderId="9" xfId="0" applyNumberFormat="1" applyFont="1" applyFill="1" applyBorder="1" applyAlignment="1" applyProtection="1">
      <alignment horizontal="center" vertical="center" wrapText="1"/>
      <protection locked="0"/>
    </xf>
    <xf numFmtId="0" fontId="20" fillId="0" borderId="5" xfId="0" applyNumberFormat="1"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145" fillId="0" borderId="9" xfId="0" applyNumberFormat="1" applyFont="1" applyFill="1" applyBorder="1" applyAlignment="1" applyProtection="1">
      <alignment horizontal="center" vertical="center" wrapText="1"/>
      <protection locked="0"/>
    </xf>
    <xf numFmtId="0" fontId="269" fillId="0" borderId="5" xfId="0" applyNumberFormat="1" applyFont="1" applyFill="1" applyBorder="1" applyAlignment="1" applyProtection="1">
      <alignment horizontal="center" vertical="center" wrapText="1"/>
      <protection locked="0"/>
    </xf>
    <xf numFmtId="0" fontId="20" fillId="0" borderId="22" xfId="0" applyFont="1" applyFill="1" applyBorder="1" applyAlignment="1" applyProtection="1">
      <alignment horizontal="center" vertical="center" wrapText="1"/>
      <protection locked="0"/>
    </xf>
    <xf numFmtId="0" fontId="20" fillId="0" borderId="11" xfId="0" applyFont="1" applyFill="1" applyBorder="1" applyAlignment="1" applyProtection="1">
      <alignment horizontal="center" vertical="center" wrapText="1"/>
      <protection locked="0"/>
    </xf>
    <xf numFmtId="0" fontId="59" fillId="0" borderId="43" xfId="0" applyNumberFormat="1" applyFont="1" applyFill="1" applyBorder="1" applyAlignment="1" applyProtection="1">
      <alignment horizontal="center" vertical="center" wrapText="1"/>
      <protection locked="0"/>
    </xf>
    <xf numFmtId="0" fontId="146" fillId="0" borderId="0" xfId="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66</xdr:row>
      <xdr:rowOff>0</xdr:rowOff>
    </xdr:from>
    <xdr:to>
      <xdr:col>3</xdr:col>
      <xdr:colOff>294556</xdr:colOff>
      <xdr:row>103</xdr:row>
      <xdr:rowOff>170636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315700"/>
          <a:ext cx="5752381" cy="6514286"/>
        </a:xfrm>
        <a:prstGeom prst="rect">
          <a:avLst/>
        </a:prstGeom>
      </xdr:spPr>
    </xdr:pic>
    <xdr:clientData/>
  </xdr:twoCellAnchor>
  <xdr:twoCellAnchor editAs="oneCell">
    <xdr:from>
      <xdr:col>10</xdr:col>
      <xdr:colOff>0</xdr:colOff>
      <xdr:row>71</xdr:row>
      <xdr:rowOff>0</xdr:rowOff>
    </xdr:from>
    <xdr:to>
      <xdr:col>27</xdr:col>
      <xdr:colOff>17494</xdr:colOff>
      <xdr:row>89</xdr:row>
      <xdr:rowOff>47234</xdr:rowOff>
    </xdr:to>
    <xdr:pic>
      <xdr:nvPicPr>
        <xdr:cNvPr id="3" name="图片 2"/>
        <xdr:cNvPicPr>
          <a:picLocks noChangeAspect="1"/>
        </xdr:cNvPicPr>
      </xdr:nvPicPr>
      <xdr:blipFill>
        <a:blip xmlns:r="http://schemas.openxmlformats.org/officeDocument/2006/relationships" r:embed="rId2"/>
        <a:stretch>
          <a:fillRect/>
        </a:stretch>
      </xdr:blipFill>
      <xdr:spPr>
        <a:xfrm>
          <a:off x="10258425" y="12172950"/>
          <a:ext cx="12457144" cy="31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07;/07&#22303;&#22320;&#35843;&#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9;&#20255;&#40485;/2017/&#36164;&#20135;&#39033;&#30446;/&#27888;&#31166;52&#39033;&#30446;/&#12304;&#12304;&#12304;&#38754;&#31215;&#35828;&#26126;&#12305;&#12305;&#123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9;&#20255;&#40485;/2017/C/&#39044;&#20272;&#20989;/&#26124;&#24179;/54&#35843;&#20540;(&#2098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19;&#20255;&#40485;/2017/C/&#39044;&#20272;&#20989;/&#26124;&#24179;/07&#22303;&#22320;&#35843;&#2054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0170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407;/&#26032;&#24314;&#25991;&#20214;&#22841;/07&#22303;&#22320;&#35843;&#2054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407;/&#26032;&#24314;&#25991;&#20214;&#22841;/54&#35843;&#20540;(&#2098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1407;/&#21407;&#26469;/&#12304;&#27979;&#31639;&#12305;&#21335;&#37045;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2303;&#223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比较法-仓储"/>
      <sheetName val="不动产收益法-仓储"/>
      <sheetName val="酒店收入计算"/>
      <sheetName val="成本逼近法"/>
      <sheetName val="不动产比较法-多层"/>
      <sheetName val="不动产比较法-小高层"/>
      <sheetName val="典型户型修正-多层"/>
      <sheetName val="不动产比较法-商业"/>
      <sheetName val="典型户型修正-商业"/>
      <sheetName val="不动产比较法-办公"/>
      <sheetName val="不动产比较法-工业"/>
      <sheetName val="不动产比较法-车位"/>
      <sheetName val="典型户型修正-车位"/>
      <sheetName val="存贷款利率"/>
      <sheetName val="抵押物清单"/>
      <sheetName val="土地案例"/>
      <sheetName val="Sheet6"/>
      <sheetName val="车位"/>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row>
        <row r="13">
          <cell r="D13"/>
        </row>
        <row r="14">
          <cell r="D14"/>
        </row>
        <row r="15">
          <cell r="D15" t="str">
            <v>杨红英</v>
          </cell>
        </row>
        <row r="16">
          <cell r="D16" t="str">
            <v>刘梅</v>
          </cell>
        </row>
        <row r="17">
          <cell r="D17" t="str">
            <v>杨爽</v>
          </cell>
        </row>
        <row r="18">
          <cell r="D18" t="str">
            <v>高鹏</v>
          </cell>
        </row>
        <row r="19">
          <cell r="D19"/>
        </row>
        <row r="20">
          <cell r="D20"/>
        </row>
        <row r="21">
          <cell r="D21" t="str">
            <v>赵雯</v>
          </cell>
        </row>
        <row r="22">
          <cell r="D22" t="str">
            <v>刘敬东</v>
          </cell>
        </row>
        <row r="23">
          <cell r="D23"/>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不动产收益法-仓储</v>
          </cell>
          <cell r="C8" t="str">
            <v>七级</v>
          </cell>
          <cell r="F8" t="str">
            <v>车库—办公</v>
          </cell>
          <cell r="H8"/>
          <cell r="I8" t="str">
            <v>0-10（含）</v>
          </cell>
        </row>
        <row r="9">
          <cell r="A9" t="str">
            <v>双拼</v>
          </cell>
          <cell r="B9" t="str">
            <v>不动产比较法-多层</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不动产收益法-商业办公</v>
          </cell>
        </row>
        <row r="16">
          <cell r="A16" t="str">
            <v>特殊厂房</v>
          </cell>
          <cell r="B16" t="str">
            <v>不动产收益法-办公</v>
          </cell>
        </row>
        <row r="17">
          <cell r="A17" t="str">
            <v>办公楼</v>
          </cell>
          <cell r="B17" t="str">
            <v>不动产收益法-车库</v>
          </cell>
        </row>
        <row r="18">
          <cell r="A18" t="str">
            <v>宿舍</v>
          </cell>
          <cell r="B18" t="str">
            <v>不动产比较法-小高层</v>
          </cell>
        </row>
        <row r="19">
          <cell r="A19" t="str">
            <v>食堂</v>
          </cell>
          <cell r="B19" t="str">
            <v>典型户型修正-多层</v>
          </cell>
        </row>
        <row r="20">
          <cell r="A20" t="str">
            <v>车库-办公商业</v>
          </cell>
          <cell r="B20" t="str">
            <v>典型户型修正-车位</v>
          </cell>
        </row>
        <row r="21">
          <cell r="A21" t="str">
            <v>戊类库房</v>
          </cell>
          <cell r="B21" t="str">
            <v>典型户型修正-商业</v>
          </cell>
        </row>
        <row r="22">
          <cell r="A22" t="str">
            <v>燃品库房</v>
          </cell>
          <cell r="B22" t="str">
            <v>不动产收益法-仓储</v>
          </cell>
        </row>
        <row r="23">
          <cell r="A23" t="str">
            <v>非燃品库房</v>
          </cell>
          <cell r="B23" t="str">
            <v>*</v>
          </cell>
        </row>
        <row r="24">
          <cell r="A24" t="str">
            <v>车库-住宅</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下沉式广场-1</v>
          </cell>
          <cell r="B30" t="str">
            <v>*</v>
          </cell>
        </row>
        <row r="31">
          <cell r="A31" t="str">
            <v>小高层</v>
          </cell>
          <cell r="B31" t="str">
            <v>*</v>
          </cell>
        </row>
        <row r="32">
          <cell r="A32" t="str">
            <v>公租房</v>
          </cell>
          <cell r="B32" t="str">
            <v>*</v>
          </cell>
        </row>
        <row r="33">
          <cell r="A33" t="str">
            <v>办公楼</v>
          </cell>
          <cell r="B33" t="str">
            <v>*</v>
          </cell>
        </row>
        <row r="34">
          <cell r="A34" t="str">
            <v>多层住宅</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住宅-多层</v>
          </cell>
        </row>
        <row r="20">
          <cell r="C20" t="str">
            <v>住宅-小高层</v>
          </cell>
        </row>
        <row r="21">
          <cell r="C21" t="str">
            <v>公租房</v>
          </cell>
        </row>
        <row r="22">
          <cell r="C22" t="str">
            <v>办公</v>
          </cell>
        </row>
        <row r="23">
          <cell r="C23" t="str">
            <v>地下车库-办公商业</v>
          </cell>
        </row>
        <row r="24">
          <cell r="C24" t="str">
            <v>地下车库-住宅</v>
          </cell>
        </row>
        <row r="25">
          <cell r="C25" t="str">
            <v>住宅底商</v>
          </cell>
        </row>
        <row r="26">
          <cell r="C26" t="str">
            <v>办公底商</v>
          </cell>
        </row>
        <row r="27">
          <cell r="C27" t="str">
            <v>下沉式广场</v>
          </cell>
        </row>
        <row r="28">
          <cell r="C28" t="str">
            <v>独立商业</v>
          </cell>
        </row>
        <row r="29">
          <cell r="C29" t="str">
            <v>仓储</v>
          </cell>
        </row>
        <row r="30">
          <cell r="C30"/>
        </row>
      </sheetData>
      <sheetData sheetId="13">
        <row r="57">
          <cell r="A57" t="str">
            <v>城镇土地纳税等级分级范围</v>
          </cell>
        </row>
        <row r="58">
          <cell r="A58" t="str">
            <v>一级</v>
          </cell>
        </row>
        <row r="59">
          <cell r="A59" t="str">
            <v>二级</v>
          </cell>
        </row>
        <row r="60">
          <cell r="A60" t="str">
            <v>三级</v>
          </cell>
        </row>
        <row r="61">
          <cell r="A61" t="str">
            <v>四级</v>
          </cell>
        </row>
        <row r="62">
          <cell r="A62" t="str">
            <v>五级</v>
          </cell>
        </row>
        <row r="63">
          <cell r="A63" t="str">
            <v>六级</v>
          </cell>
        </row>
        <row r="64">
          <cell r="A64"/>
        </row>
        <row r="65">
          <cell r="A65"/>
        </row>
        <row r="66">
          <cell r="A66"/>
        </row>
        <row r="67">
          <cell r="A67"/>
        </row>
      </sheetData>
      <sheetData sheetId="14">
        <row r="10">
          <cell r="C10" t="str">
            <v>城市支路——南中路</v>
          </cell>
        </row>
      </sheetData>
      <sheetData sheetId="15"/>
      <sheetData sheetId="16">
        <row r="7">
          <cell r="C7" t="str">
            <v>昌平区南邵镇0303-07地块</v>
          </cell>
          <cell r="D7"/>
        </row>
        <row r="8">
          <cell r="C8" t="str">
            <v>昌平区南邵镇（中关村科技园昌平园东区二期）0303-07地块住宅混合公建用地（配建“限价商品住房”）</v>
          </cell>
          <cell r="D8"/>
        </row>
        <row r="13">
          <cell r="K13">
            <v>1</v>
          </cell>
        </row>
        <row r="19">
          <cell r="K19">
            <v>5</v>
          </cell>
        </row>
        <row r="34">
          <cell r="C34" t="str">
            <v>城市支路——南中路</v>
          </cell>
        </row>
        <row r="75">
          <cell r="A75" t="str">
            <v>交易情况</v>
          </cell>
          <cell r="B75"/>
          <cell r="C75" t="str">
            <v>正常</v>
          </cell>
          <cell r="D75" t="str">
            <v>其他情况</v>
          </cell>
          <cell r="E75"/>
          <cell r="F75"/>
          <cell r="G75"/>
          <cell r="H75"/>
          <cell r="I75"/>
          <cell r="J75"/>
          <cell r="K75"/>
          <cell r="L75"/>
          <cell r="M75"/>
        </row>
        <row r="77">
          <cell r="B77" t="str">
            <v>用途</v>
          </cell>
          <cell r="C77" t="str">
            <v>城镇住宅</v>
          </cell>
          <cell r="D77" t="str">
            <v>二类居住</v>
          </cell>
          <cell r="E77"/>
          <cell r="F77"/>
          <cell r="G77"/>
          <cell r="H77"/>
          <cell r="I77"/>
          <cell r="J77"/>
          <cell r="K77"/>
          <cell r="L77"/>
          <cell r="M77"/>
        </row>
        <row r="108">
          <cell r="B108" t="str">
            <v>毗邻道路的类型与等级</v>
          </cell>
          <cell r="C108" t="str">
            <v>高速路</v>
          </cell>
          <cell r="D108" t="str">
            <v>快速路</v>
          </cell>
          <cell r="E108" t="str">
            <v>主干道</v>
          </cell>
          <cell r="F108" t="str">
            <v>次干道</v>
          </cell>
          <cell r="G108" t="str">
            <v>支路</v>
          </cell>
          <cell r="H108"/>
          <cell r="I108"/>
          <cell r="J108"/>
          <cell r="K108"/>
          <cell r="L108"/>
          <cell r="M108"/>
        </row>
        <row r="110">
          <cell r="B110" t="str">
            <v>土地级别</v>
          </cell>
          <cell r="C110" t="str">
            <v>1级</v>
          </cell>
          <cell r="D110" t="str">
            <v>2级</v>
          </cell>
          <cell r="E110" t="str">
            <v>3级</v>
          </cell>
          <cell r="F110"/>
          <cell r="G110"/>
          <cell r="H110"/>
          <cell r="I110"/>
          <cell r="J110"/>
          <cell r="K110"/>
          <cell r="L110"/>
          <cell r="M110"/>
        </row>
        <row r="121">
          <cell r="B121" t="str">
            <v>宗地形状</v>
          </cell>
          <cell r="C121" t="str">
            <v>规则</v>
          </cell>
          <cell r="D121" t="str">
            <v>较规则</v>
          </cell>
          <cell r="E121" t="str">
            <v>较不规则</v>
          </cell>
          <cell r="F121" t="str">
            <v>不规则</v>
          </cell>
          <cell r="G121"/>
          <cell r="H121"/>
          <cell r="I121"/>
          <cell r="J121"/>
          <cell r="K121"/>
          <cell r="L121"/>
          <cell r="M121"/>
        </row>
        <row r="123">
          <cell r="B123" t="str">
            <v>临街宽度及深度</v>
          </cell>
          <cell r="C123" t="str">
            <v>比例适宜</v>
          </cell>
          <cell r="D123" t="str">
            <v>比例较适宜</v>
          </cell>
          <cell r="E123" t="str">
            <v>比较较不适宜</v>
          </cell>
          <cell r="F123"/>
          <cell r="G123"/>
          <cell r="H123"/>
          <cell r="I123"/>
          <cell r="J123"/>
          <cell r="K123"/>
          <cell r="L123"/>
          <cell r="M123"/>
        </row>
        <row r="125">
          <cell r="B125" t="str">
            <v>宗地开发程度</v>
          </cell>
          <cell r="C125" t="str">
            <v>七通一平</v>
          </cell>
          <cell r="D125" t="str">
            <v>六通一平</v>
          </cell>
          <cell r="E125" t="str">
            <v>五通一平</v>
          </cell>
          <cell r="F125" t="str">
            <v>四通一平</v>
          </cell>
          <cell r="G125" t="str">
            <v>三通一平</v>
          </cell>
          <cell r="H125"/>
          <cell r="I125"/>
          <cell r="J125"/>
          <cell r="K125"/>
          <cell r="L125"/>
          <cell r="M125"/>
        </row>
        <row r="127">
          <cell r="B127" t="str">
            <v>工程地质条件</v>
          </cell>
          <cell r="C127" t="str">
            <v>好</v>
          </cell>
          <cell r="D127" t="str">
            <v>较好</v>
          </cell>
          <cell r="E127" t="str">
            <v>一般</v>
          </cell>
          <cell r="F127" t="str">
            <v>较差</v>
          </cell>
          <cell r="G127" t="str">
            <v>差</v>
          </cell>
          <cell r="H127"/>
          <cell r="I127"/>
          <cell r="J127"/>
          <cell r="K127"/>
          <cell r="L127"/>
          <cell r="M127"/>
        </row>
      </sheetData>
      <sheetData sheetId="17"/>
      <sheetData sheetId="18"/>
      <sheetData sheetId="19">
        <row r="72">
          <cell r="B72" t="str">
            <v>用途</v>
          </cell>
          <cell r="C72" t="str">
            <v>工业</v>
          </cell>
          <cell r="D72" t="str">
            <v>科教</v>
          </cell>
          <cell r="E72"/>
          <cell r="F72"/>
          <cell r="G72"/>
          <cell r="H72"/>
          <cell r="I72"/>
          <cell r="J72"/>
          <cell r="K72"/>
          <cell r="L72"/>
          <cell r="M72"/>
        </row>
        <row r="101">
          <cell r="B101" t="str">
            <v>土地级别</v>
          </cell>
          <cell r="C101" t="str">
            <v>1级</v>
          </cell>
          <cell r="D101" t="str">
            <v>2级</v>
          </cell>
          <cell r="E101" t="str">
            <v>3级</v>
          </cell>
          <cell r="F101" t="str">
            <v>4级</v>
          </cell>
          <cell r="G101" t="str">
            <v>5级</v>
          </cell>
          <cell r="H101"/>
          <cell r="I101"/>
          <cell r="J101"/>
          <cell r="K101"/>
          <cell r="L101"/>
          <cell r="M101"/>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2"/>
      <sheetData sheetId="23"/>
      <sheetData sheetId="24"/>
      <sheetData sheetId="25"/>
      <sheetData sheetId="26"/>
      <sheetData sheetId="27">
        <row r="49">
          <cell r="A49" t="str">
            <v>交易情况</v>
          </cell>
          <cell r="B49"/>
          <cell r="C49" t="str">
            <v>正常</v>
          </cell>
          <cell r="D49" t="str">
            <v>其他情况</v>
          </cell>
          <cell r="E49"/>
          <cell r="F49"/>
          <cell r="G49"/>
          <cell r="H49"/>
          <cell r="I49"/>
          <cell r="J49"/>
          <cell r="K49"/>
          <cell r="L49"/>
          <cell r="M49"/>
        </row>
        <row r="51">
          <cell r="B51" t="str">
            <v>用途</v>
          </cell>
          <cell r="C51" t="str">
            <v>仓储</v>
          </cell>
          <cell r="D51"/>
          <cell r="E51"/>
          <cell r="F51"/>
          <cell r="G51"/>
          <cell r="H51"/>
          <cell r="I51"/>
          <cell r="J51"/>
          <cell r="K51"/>
          <cell r="L51"/>
          <cell r="M51"/>
        </row>
        <row r="69">
          <cell r="B69" t="str">
            <v>楼层</v>
          </cell>
          <cell r="C69" t="str">
            <v>地下1-层</v>
          </cell>
          <cell r="D69" t="str">
            <v>地下1-2层</v>
          </cell>
          <cell r="E69"/>
          <cell r="F69"/>
          <cell r="G69"/>
          <cell r="H69"/>
          <cell r="I69"/>
          <cell r="J69"/>
          <cell r="K69"/>
          <cell r="L69"/>
          <cell r="M69"/>
        </row>
        <row r="77">
          <cell r="B77" t="str">
            <v>公共部分装修</v>
          </cell>
          <cell r="C77" t="str">
            <v>普通装修</v>
          </cell>
          <cell r="D77" t="str">
            <v>简装修</v>
          </cell>
          <cell r="E77"/>
          <cell r="F77"/>
          <cell r="G77"/>
          <cell r="H77"/>
          <cell r="I77"/>
          <cell r="J77"/>
          <cell r="K77"/>
          <cell r="L77"/>
          <cell r="M77"/>
        </row>
        <row r="82">
          <cell r="B82" t="str">
            <v>物业等级</v>
          </cell>
          <cell r="C82" t="str">
            <v>甲级</v>
          </cell>
          <cell r="D82" t="str">
            <v>乙级</v>
          </cell>
          <cell r="E82" t="str">
            <v>丙级</v>
          </cell>
          <cell r="F82"/>
          <cell r="G82"/>
          <cell r="H82"/>
          <cell r="I82"/>
          <cell r="J82"/>
          <cell r="K82"/>
          <cell r="L82"/>
          <cell r="M82"/>
        </row>
        <row r="84">
          <cell r="B84" t="str">
            <v>有无电梯</v>
          </cell>
          <cell r="C84" t="str">
            <v>无</v>
          </cell>
          <cell r="D84" t="str">
            <v>有</v>
          </cell>
          <cell r="E84"/>
          <cell r="F84"/>
          <cell r="G84"/>
          <cell r="H84"/>
          <cell r="I84"/>
          <cell r="J84"/>
          <cell r="K84"/>
          <cell r="L84"/>
          <cell r="M84"/>
        </row>
        <row r="89">
          <cell r="B89" t="str">
            <v>是否封闭</v>
          </cell>
          <cell r="C89" t="str">
            <v>否</v>
          </cell>
          <cell r="D89" t="str">
            <v>是</v>
          </cell>
          <cell r="E89"/>
          <cell r="F89"/>
          <cell r="G89"/>
          <cell r="H89"/>
          <cell r="I89"/>
          <cell r="J89"/>
          <cell r="K89"/>
          <cell r="L89"/>
          <cell r="M89"/>
        </row>
      </sheetData>
      <sheetData sheetId="28"/>
      <sheetData sheetId="29"/>
      <sheetData sheetId="30"/>
      <sheetData sheetId="31">
        <row r="5">
          <cell r="C5" t="str">
            <v>昌平区南邵镇0303-07地块</v>
          </cell>
          <cell r="D5"/>
        </row>
        <row r="6">
          <cell r="C6" t="str">
            <v>昌平区南邵镇（中关村科技园昌平园东区二期）0303-07地块住宅混合公建用地（配建“限价商品住房”）</v>
          </cell>
          <cell r="D6"/>
        </row>
        <row r="10">
          <cell r="K10">
            <v>2</v>
          </cell>
        </row>
        <row r="11">
          <cell r="K11">
            <v>1</v>
          </cell>
        </row>
        <row r="17">
          <cell r="K17">
            <v>2</v>
          </cell>
        </row>
        <row r="19">
          <cell r="K19">
            <v>2</v>
          </cell>
        </row>
        <row r="34">
          <cell r="K34">
            <v>2</v>
          </cell>
        </row>
        <row r="36">
          <cell r="K36">
            <v>2</v>
          </cell>
        </row>
        <row r="37">
          <cell r="C37">
            <v>1</v>
          </cell>
          <cell r="K37">
            <v>2</v>
          </cell>
        </row>
        <row r="38">
          <cell r="K38">
            <v>3</v>
          </cell>
        </row>
        <row r="39">
          <cell r="K39">
            <v>1</v>
          </cell>
        </row>
        <row r="42">
          <cell r="K42">
            <v>2</v>
          </cell>
        </row>
        <row r="43">
          <cell r="K43">
            <v>2</v>
          </cell>
        </row>
        <row r="61">
          <cell r="A61" t="str">
            <v>交易情况</v>
          </cell>
          <cell r="B61"/>
          <cell r="C61" t="str">
            <v>正常</v>
          </cell>
          <cell r="D61" t="str">
            <v>其他情况</v>
          </cell>
          <cell r="E61"/>
          <cell r="F61"/>
          <cell r="G61"/>
          <cell r="H61"/>
          <cell r="I61"/>
          <cell r="J61"/>
          <cell r="K61"/>
          <cell r="L61"/>
          <cell r="M61"/>
        </row>
        <row r="63">
          <cell r="B63" t="str">
            <v>用途</v>
          </cell>
          <cell r="C63" t="str">
            <v>住宅</v>
          </cell>
          <cell r="D63" t="str">
            <v>商住</v>
          </cell>
          <cell r="E63"/>
          <cell r="F63"/>
          <cell r="G63"/>
          <cell r="H63"/>
          <cell r="I63"/>
          <cell r="J63"/>
          <cell r="K63"/>
          <cell r="L63"/>
          <cell r="M63"/>
        </row>
        <row r="86">
          <cell r="B86" t="str">
            <v>楼层-1</v>
          </cell>
          <cell r="C86">
            <v>15</v>
          </cell>
          <cell r="D86">
            <v>10</v>
          </cell>
          <cell r="E86">
            <v>8</v>
          </cell>
          <cell r="F86">
            <v>7</v>
          </cell>
          <cell r="G86">
            <v>3</v>
          </cell>
          <cell r="H86"/>
          <cell r="I86"/>
          <cell r="J86"/>
          <cell r="K86"/>
          <cell r="L86"/>
          <cell r="M86"/>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多层</v>
          </cell>
          <cell r="D100" t="str">
            <v>小高层</v>
          </cell>
          <cell r="E100" t="str">
            <v>高板</v>
          </cell>
          <cell r="F100" t="str">
            <v>高塔</v>
          </cell>
          <cell r="G100"/>
          <cell r="H100"/>
          <cell r="I100"/>
          <cell r="J100"/>
          <cell r="K100"/>
          <cell r="L100"/>
          <cell r="M100"/>
        </row>
        <row r="105">
          <cell r="B105" t="str">
            <v>建筑结构</v>
          </cell>
          <cell r="C105" t="str">
            <v>钢结构</v>
          </cell>
          <cell r="D105" t="str">
            <v>钢混</v>
          </cell>
          <cell r="E105" t="str">
            <v>砖混</v>
          </cell>
          <cell r="F105"/>
          <cell r="G105"/>
          <cell r="H105"/>
          <cell r="I105"/>
          <cell r="J105"/>
          <cell r="K105"/>
          <cell r="L105"/>
          <cell r="M105"/>
        </row>
        <row r="107">
          <cell r="B107" t="str">
            <v>建筑品质</v>
          </cell>
          <cell r="C107" t="str">
            <v>高档</v>
          </cell>
          <cell r="D107" t="str">
            <v>中档</v>
          </cell>
          <cell r="E107"/>
          <cell r="F107"/>
          <cell r="G107"/>
          <cell r="H107"/>
          <cell r="I107"/>
          <cell r="J107"/>
          <cell r="K107"/>
          <cell r="L107"/>
          <cell r="M107"/>
        </row>
        <row r="109">
          <cell r="B109" t="str">
            <v>公共部分装修</v>
          </cell>
          <cell r="C109" t="str">
            <v>精装修</v>
          </cell>
          <cell r="D109" t="str">
            <v>普通装修</v>
          </cell>
          <cell r="E109" t="str">
            <v>简装</v>
          </cell>
          <cell r="F109" t="str">
            <v>毛坯</v>
          </cell>
          <cell r="G109"/>
          <cell r="H109"/>
          <cell r="I109"/>
          <cell r="J109"/>
          <cell r="K109"/>
          <cell r="L109"/>
          <cell r="M109"/>
        </row>
        <row r="114">
          <cell r="B114" t="str">
            <v>物业管理</v>
          </cell>
          <cell r="C114" t="str">
            <v>专业</v>
          </cell>
          <cell r="D114" t="str">
            <v>普通</v>
          </cell>
          <cell r="E114"/>
          <cell r="F114"/>
          <cell r="G114"/>
          <cell r="H114"/>
          <cell r="I114"/>
          <cell r="J114"/>
          <cell r="K114"/>
          <cell r="L114"/>
          <cell r="M114"/>
        </row>
        <row r="116">
          <cell r="B116" t="str">
            <v>市政基础设施</v>
          </cell>
          <cell r="C116" t="str">
            <v>七通</v>
          </cell>
          <cell r="D116" t="str">
            <v>六通</v>
          </cell>
          <cell r="E116" t="str">
            <v>五通</v>
          </cell>
          <cell r="F116" t="str">
            <v>四通</v>
          </cell>
          <cell r="G116" t="str">
            <v>三通</v>
          </cell>
          <cell r="H116"/>
          <cell r="I116"/>
          <cell r="J116"/>
          <cell r="K116"/>
          <cell r="L116"/>
          <cell r="M116"/>
        </row>
        <row r="118">
          <cell r="B118" t="str">
            <v>房型</v>
          </cell>
          <cell r="C118" t="str">
            <v>跃层</v>
          </cell>
          <cell r="D118" t="str">
            <v>平层</v>
          </cell>
          <cell r="E118"/>
          <cell r="F118"/>
          <cell r="G118"/>
          <cell r="H118"/>
          <cell r="I118"/>
          <cell r="J118"/>
          <cell r="K118"/>
          <cell r="L118"/>
          <cell r="M118"/>
        </row>
        <row r="122">
          <cell r="B122" t="str">
            <v>内部装修</v>
          </cell>
          <cell r="C122" t="str">
            <v>精装修</v>
          </cell>
          <cell r="D122" t="str">
            <v>普通装修</v>
          </cell>
          <cell r="E122" t="str">
            <v>简装</v>
          </cell>
          <cell r="F122" t="str">
            <v>毛坯</v>
          </cell>
          <cell r="G122"/>
          <cell r="H122"/>
          <cell r="I122"/>
          <cell r="J122"/>
          <cell r="K122"/>
          <cell r="L122"/>
          <cell r="M122"/>
        </row>
      </sheetData>
      <sheetData sheetId="32"/>
      <sheetData sheetId="33"/>
      <sheetData sheetId="34">
        <row r="5">
          <cell r="C5" t="str">
            <v>昌平区南邵镇0303-07地块</v>
          </cell>
          <cell r="D5"/>
        </row>
        <row r="6">
          <cell r="C6" t="str">
            <v>昌平区南邵镇（中关村科技园昌平园东区二期）0303-07地块住宅混合公建用地（配建“限价商品住房”）</v>
          </cell>
          <cell r="D6"/>
          <cell r="E6" t="str">
            <v>昌平区中关村科技园昌平园东区二期0303-04地块住宅混合公建用地项目</v>
          </cell>
          <cell r="F6"/>
        </row>
        <row r="10">
          <cell r="K10">
            <v>2</v>
          </cell>
        </row>
        <row r="11">
          <cell r="E11">
            <v>2.2000000000000002</v>
          </cell>
          <cell r="K11">
            <v>1</v>
          </cell>
        </row>
        <row r="33">
          <cell r="E33">
            <v>169000</v>
          </cell>
        </row>
        <row r="34">
          <cell r="K34">
            <v>2</v>
          </cell>
        </row>
        <row r="35">
          <cell r="K35">
            <v>2</v>
          </cell>
        </row>
        <row r="36">
          <cell r="K36">
            <v>2</v>
          </cell>
        </row>
        <row r="37">
          <cell r="K37">
            <v>1</v>
          </cell>
        </row>
        <row r="39">
          <cell r="K39">
            <v>2</v>
          </cell>
        </row>
        <row r="61">
          <cell r="A61" t="str">
            <v>交易情况</v>
          </cell>
          <cell r="B61"/>
          <cell r="C61" t="str">
            <v>正常</v>
          </cell>
          <cell r="D61" t="str">
            <v>其他情况</v>
          </cell>
          <cell r="E61"/>
          <cell r="F61"/>
          <cell r="G61"/>
          <cell r="H61"/>
          <cell r="I61"/>
          <cell r="J61"/>
          <cell r="K61"/>
          <cell r="L61"/>
          <cell r="M61"/>
        </row>
        <row r="63">
          <cell r="B63" t="str">
            <v>用途</v>
          </cell>
          <cell r="C63" t="str">
            <v>商业</v>
          </cell>
          <cell r="D63" t="str">
            <v>商住</v>
          </cell>
          <cell r="E63"/>
          <cell r="F63"/>
          <cell r="G63"/>
          <cell r="H63"/>
          <cell r="I63"/>
          <cell r="J63"/>
          <cell r="K63"/>
          <cell r="L63"/>
          <cell r="M63"/>
        </row>
        <row r="86">
          <cell r="B86" t="str">
            <v>临街状况</v>
          </cell>
          <cell r="C86" t="str">
            <v>多面临街</v>
          </cell>
          <cell r="D86" t="str">
            <v>双面临街</v>
          </cell>
          <cell r="E86" t="str">
            <v>单面临街</v>
          </cell>
          <cell r="F86" t="str">
            <v>不临街</v>
          </cell>
          <cell r="G86"/>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1层</v>
          </cell>
          <cell r="D92" t="str">
            <v>1-2层</v>
          </cell>
          <cell r="E92"/>
          <cell r="F92"/>
          <cell r="G92"/>
          <cell r="H92"/>
          <cell r="I92"/>
          <cell r="J92"/>
          <cell r="K92"/>
          <cell r="L92"/>
          <cell r="M92"/>
        </row>
        <row r="100">
          <cell r="B100" t="str">
            <v>商业类型</v>
          </cell>
          <cell r="C100" t="str">
            <v>独栋商业</v>
          </cell>
          <cell r="D100" t="str">
            <v>商业街</v>
          </cell>
          <cell r="E100" t="str">
            <v>写字楼底商</v>
          </cell>
          <cell r="F100" t="str">
            <v>住宅底商</v>
          </cell>
          <cell r="G100"/>
          <cell r="H100"/>
          <cell r="I100"/>
          <cell r="J100"/>
          <cell r="K100"/>
          <cell r="L100"/>
          <cell r="M100"/>
        </row>
        <row r="105">
          <cell r="B105" t="str">
            <v>建筑结构</v>
          </cell>
          <cell r="C105" t="str">
            <v>钢结构</v>
          </cell>
          <cell r="D105" t="str">
            <v>钢混</v>
          </cell>
          <cell r="E105" t="str">
            <v>砖混</v>
          </cell>
          <cell r="F105"/>
          <cell r="G105"/>
          <cell r="H105"/>
          <cell r="I105"/>
          <cell r="J105"/>
          <cell r="K105"/>
          <cell r="L105"/>
          <cell r="M105"/>
        </row>
        <row r="107">
          <cell r="B107" t="str">
            <v>公共部分装修</v>
          </cell>
          <cell r="C107" t="str">
            <v>精装修</v>
          </cell>
          <cell r="D107" t="str">
            <v>普通装修</v>
          </cell>
          <cell r="E107" t="str">
            <v>简装</v>
          </cell>
          <cell r="F107" t="str">
            <v>毛坯</v>
          </cell>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超高层高</v>
          </cell>
          <cell r="D116" t="str">
            <v>标准层高</v>
          </cell>
          <cell r="E116"/>
          <cell r="F116"/>
          <cell r="G116"/>
          <cell r="H116"/>
          <cell r="I116"/>
          <cell r="J116"/>
          <cell r="K116"/>
          <cell r="L116"/>
          <cell r="M116"/>
        </row>
        <row r="120">
          <cell r="B120" t="str">
            <v>进深比</v>
          </cell>
          <cell r="C120" t="str">
            <v>适宜</v>
          </cell>
          <cell r="D120" t="str">
            <v>较适宜</v>
          </cell>
          <cell r="E120" t="str">
            <v>较不适宜</v>
          </cell>
          <cell r="F120"/>
          <cell r="G120"/>
          <cell r="H120"/>
          <cell r="I120"/>
          <cell r="J120"/>
          <cell r="K120"/>
          <cell r="L120"/>
          <cell r="M120"/>
        </row>
        <row r="122">
          <cell r="B122" t="str">
            <v>内部装修</v>
          </cell>
          <cell r="C122" t="str">
            <v>精装修</v>
          </cell>
          <cell r="D122" t="str">
            <v>普通装修</v>
          </cell>
          <cell r="E122" t="str">
            <v>简装</v>
          </cell>
          <cell r="F122" t="str">
            <v>毛坯</v>
          </cell>
          <cell r="G122"/>
          <cell r="H122"/>
          <cell r="I122"/>
          <cell r="J122"/>
          <cell r="K122"/>
          <cell r="L122"/>
          <cell r="M122"/>
        </row>
      </sheetData>
      <sheetData sheetId="35"/>
      <sheetData sheetId="36">
        <row r="36">
          <cell r="K36">
            <v>2</v>
          </cell>
        </row>
        <row r="37">
          <cell r="K37">
            <v>2</v>
          </cell>
        </row>
        <row r="38">
          <cell r="K38">
            <v>2</v>
          </cell>
        </row>
        <row r="62">
          <cell r="A62" t="str">
            <v>交易情况</v>
          </cell>
          <cell r="B62"/>
          <cell r="C62" t="str">
            <v>正常</v>
          </cell>
          <cell r="D62" t="str">
            <v>其他情况</v>
          </cell>
          <cell r="E62"/>
          <cell r="F62"/>
          <cell r="G62"/>
          <cell r="H62"/>
          <cell r="I62"/>
          <cell r="J62"/>
          <cell r="K62"/>
          <cell r="L62"/>
          <cell r="M62"/>
        </row>
        <row r="64">
          <cell r="B64" t="str">
            <v>用途</v>
          </cell>
          <cell r="C64" t="str">
            <v>办公</v>
          </cell>
          <cell r="D64" t="str">
            <v>商住</v>
          </cell>
          <cell r="E64"/>
          <cell r="F64"/>
          <cell r="G64"/>
          <cell r="H64"/>
          <cell r="I64"/>
          <cell r="J64"/>
          <cell r="K64"/>
          <cell r="L64"/>
          <cell r="M64"/>
        </row>
        <row r="87">
          <cell r="B87" t="str">
            <v>毗邻道路的类型与等级</v>
          </cell>
          <cell r="C87" t="str">
            <v>高速路</v>
          </cell>
          <cell r="D87" t="str">
            <v>快速路</v>
          </cell>
          <cell r="E87" t="str">
            <v>主干道</v>
          </cell>
          <cell r="F87" t="str">
            <v>次干道</v>
          </cell>
          <cell r="G87" t="str">
            <v>支路</v>
          </cell>
          <cell r="H87"/>
          <cell r="I87"/>
          <cell r="J87"/>
          <cell r="K87"/>
          <cell r="L87"/>
          <cell r="M87"/>
        </row>
        <row r="89">
          <cell r="B89" t="str">
            <v>楼层</v>
          </cell>
          <cell r="C89" t="str">
            <v>高区</v>
          </cell>
          <cell r="D89" t="str">
            <v>中区</v>
          </cell>
          <cell r="E89" t="str">
            <v>低区</v>
          </cell>
          <cell r="F89"/>
          <cell r="G89"/>
          <cell r="H89"/>
          <cell r="I89"/>
          <cell r="J89"/>
          <cell r="K89"/>
          <cell r="L89"/>
          <cell r="M89"/>
        </row>
        <row r="91">
          <cell r="B91" t="str">
            <v>朝向</v>
          </cell>
          <cell r="C91" t="str">
            <v>东</v>
          </cell>
          <cell r="D91" t="str">
            <v>南</v>
          </cell>
          <cell r="E91" t="str">
            <v>西</v>
          </cell>
          <cell r="F91" t="str">
            <v>北</v>
          </cell>
          <cell r="G91"/>
          <cell r="H91"/>
          <cell r="I91"/>
          <cell r="J91"/>
          <cell r="K91"/>
          <cell r="L91"/>
          <cell r="M91"/>
        </row>
        <row r="101">
          <cell r="B101" t="str">
            <v>建筑类型</v>
          </cell>
          <cell r="C101" t="str">
            <v>超高层</v>
          </cell>
          <cell r="D101" t="str">
            <v>高层</v>
          </cell>
          <cell r="E101" t="str">
            <v>中高层</v>
          </cell>
          <cell r="F101" t="str">
            <v>低层</v>
          </cell>
          <cell r="G101" t="str">
            <v>标准写字楼</v>
          </cell>
          <cell r="H101" t="str">
            <v>异形建筑</v>
          </cell>
          <cell r="I101"/>
          <cell r="J101"/>
          <cell r="K101"/>
          <cell r="L101"/>
          <cell r="M101"/>
        </row>
        <row r="106">
          <cell r="B106" t="str">
            <v>建筑结构</v>
          </cell>
          <cell r="C106" t="str">
            <v>钢结构</v>
          </cell>
          <cell r="D106" t="str">
            <v>钢混</v>
          </cell>
          <cell r="E106" t="str">
            <v>砖混</v>
          </cell>
          <cell r="F106"/>
          <cell r="G106"/>
          <cell r="H106"/>
          <cell r="I106"/>
          <cell r="J106"/>
          <cell r="K106"/>
          <cell r="L106"/>
          <cell r="M106"/>
        </row>
        <row r="108">
          <cell r="B108" t="str">
            <v>公共部分装修</v>
          </cell>
          <cell r="C108" t="str">
            <v>精装修</v>
          </cell>
          <cell r="D108" t="str">
            <v>普通装修</v>
          </cell>
          <cell r="E108" t="str">
            <v>简装</v>
          </cell>
          <cell r="F108" t="str">
            <v>毛坯</v>
          </cell>
          <cell r="G108"/>
          <cell r="H108"/>
          <cell r="I108"/>
          <cell r="J108"/>
          <cell r="K108"/>
          <cell r="L108"/>
          <cell r="M108"/>
        </row>
        <row r="113">
          <cell r="B113" t="str">
            <v>写字楼等级</v>
          </cell>
          <cell r="C113" t="str">
            <v>甲级</v>
          </cell>
          <cell r="D113" t="str">
            <v>乙级</v>
          </cell>
          <cell r="E113" t="str">
            <v>丙级</v>
          </cell>
          <cell r="F113"/>
          <cell r="G113"/>
          <cell r="H113"/>
          <cell r="I113"/>
          <cell r="J113"/>
          <cell r="K113"/>
          <cell r="L113"/>
          <cell r="M113"/>
        </row>
        <row r="115">
          <cell r="B115" t="str">
            <v>物业管理</v>
          </cell>
          <cell r="C115" t="str">
            <v>专业</v>
          </cell>
          <cell r="D115" t="str">
            <v>普通</v>
          </cell>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超高层高</v>
          </cell>
          <cell r="D119" t="str">
            <v>标准层高</v>
          </cell>
          <cell r="E119"/>
          <cell r="F119"/>
          <cell r="G119"/>
          <cell r="H119"/>
          <cell r="I119"/>
          <cell r="J119"/>
          <cell r="K119"/>
          <cell r="L119"/>
          <cell r="M119"/>
        </row>
        <row r="123">
          <cell r="B123" t="str">
            <v>内部装修</v>
          </cell>
          <cell r="C123" t="str">
            <v>精装修</v>
          </cell>
          <cell r="D123" t="str">
            <v>普通装修</v>
          </cell>
          <cell r="E123" t="str">
            <v>简装</v>
          </cell>
          <cell r="F123" t="str">
            <v>毛坯</v>
          </cell>
          <cell r="G123"/>
          <cell r="H123"/>
          <cell r="I123"/>
          <cell r="J123"/>
          <cell r="K123"/>
          <cell r="L123"/>
          <cell r="M123"/>
        </row>
      </sheetData>
      <sheetData sheetId="37">
        <row r="55">
          <cell r="A55" t="str">
            <v>交易情况</v>
          </cell>
          <cell r="B55"/>
          <cell r="C55" t="str">
            <v>正常</v>
          </cell>
          <cell r="D55" t="str">
            <v>其他情况</v>
          </cell>
          <cell r="E55"/>
          <cell r="F55"/>
          <cell r="G55"/>
          <cell r="H55"/>
          <cell r="I55"/>
          <cell r="J55"/>
          <cell r="K55"/>
          <cell r="L55"/>
          <cell r="M55"/>
        </row>
        <row r="57">
          <cell r="B57" t="str">
            <v>用途</v>
          </cell>
          <cell r="C57" t="str">
            <v>工业</v>
          </cell>
          <cell r="D57" t="str">
            <v>科教</v>
          </cell>
          <cell r="E57"/>
          <cell r="F57"/>
          <cell r="G57"/>
          <cell r="H57"/>
          <cell r="I57"/>
          <cell r="J57"/>
          <cell r="K57"/>
          <cell r="L57"/>
          <cell r="M57"/>
        </row>
        <row r="88">
          <cell r="B88" t="str">
            <v>建筑类型</v>
          </cell>
          <cell r="C88" t="str">
            <v>标准厂房</v>
          </cell>
          <cell r="D88" t="str">
            <v>特殊厂房</v>
          </cell>
          <cell r="E88"/>
          <cell r="F88"/>
          <cell r="G88"/>
          <cell r="H88"/>
          <cell r="I88"/>
          <cell r="J88"/>
          <cell r="K88"/>
          <cell r="L88"/>
          <cell r="M88"/>
        </row>
        <row r="93">
          <cell r="B93" t="str">
            <v>建筑结构</v>
          </cell>
          <cell r="C93" t="str">
            <v>钢结构</v>
          </cell>
          <cell r="D93" t="str">
            <v>钢混</v>
          </cell>
          <cell r="E93" t="str">
            <v>砖混</v>
          </cell>
          <cell r="F93"/>
          <cell r="G93"/>
          <cell r="H93"/>
          <cell r="I93"/>
          <cell r="J93"/>
          <cell r="K93"/>
          <cell r="L93"/>
          <cell r="M93"/>
        </row>
        <row r="95">
          <cell r="B95" t="str">
            <v>公共部分装修</v>
          </cell>
          <cell r="C95" t="str">
            <v>精装修</v>
          </cell>
          <cell r="D95" t="str">
            <v>普通装修</v>
          </cell>
          <cell r="E95" t="str">
            <v>简装</v>
          </cell>
          <cell r="F95" t="str">
            <v>毛坯</v>
          </cell>
          <cell r="G95"/>
          <cell r="H95"/>
          <cell r="I95"/>
          <cell r="J95"/>
          <cell r="K95"/>
          <cell r="L95"/>
          <cell r="M95"/>
        </row>
        <row r="100">
          <cell r="B100" t="str">
            <v>物业管理</v>
          </cell>
          <cell r="C100" t="str">
            <v>专业</v>
          </cell>
          <cell r="D100" t="str">
            <v>普通</v>
          </cell>
          <cell r="E100"/>
          <cell r="F100"/>
          <cell r="G100"/>
          <cell r="H100"/>
          <cell r="I100"/>
          <cell r="J100"/>
          <cell r="K100"/>
          <cell r="L100"/>
          <cell r="M100"/>
        </row>
        <row r="102">
          <cell r="B102" t="str">
            <v>市政基础设施</v>
          </cell>
          <cell r="C102" t="str">
            <v>七通</v>
          </cell>
          <cell r="D102" t="str">
            <v>六通</v>
          </cell>
          <cell r="E102" t="str">
            <v>五通</v>
          </cell>
          <cell r="F102" t="str">
            <v>四通</v>
          </cell>
          <cell r="G102" t="str">
            <v>三通</v>
          </cell>
          <cell r="H102"/>
          <cell r="I102"/>
          <cell r="J102"/>
          <cell r="K102"/>
          <cell r="L102"/>
          <cell r="M102"/>
        </row>
        <row r="104">
          <cell r="B104" t="str">
            <v>内部装修</v>
          </cell>
          <cell r="C104" t="str">
            <v>精装修</v>
          </cell>
          <cell r="D104" t="str">
            <v>普通装修</v>
          </cell>
          <cell r="E104" t="str">
            <v>简装修</v>
          </cell>
          <cell r="F104" t="str">
            <v>毛坯</v>
          </cell>
          <cell r="G104"/>
          <cell r="H104"/>
          <cell r="I104"/>
          <cell r="J104"/>
          <cell r="K104"/>
          <cell r="L104"/>
          <cell r="M104"/>
        </row>
      </sheetData>
      <sheetData sheetId="38">
        <row r="51">
          <cell r="A51" t="str">
            <v>交易情况</v>
          </cell>
          <cell r="B51"/>
          <cell r="C51" t="str">
            <v>正常</v>
          </cell>
          <cell r="D51" t="str">
            <v>其他情况</v>
          </cell>
          <cell r="E51"/>
          <cell r="F51"/>
          <cell r="G51"/>
          <cell r="H51"/>
          <cell r="I51"/>
          <cell r="J51"/>
          <cell r="K51"/>
          <cell r="L51"/>
          <cell r="M51"/>
        </row>
        <row r="53">
          <cell r="B53" t="str">
            <v>用途</v>
          </cell>
          <cell r="C53" t="str">
            <v>车库</v>
          </cell>
          <cell r="D53"/>
          <cell r="E53"/>
          <cell r="F53"/>
          <cell r="G53"/>
          <cell r="H53"/>
          <cell r="I53"/>
          <cell r="J53"/>
          <cell r="K53"/>
          <cell r="L53"/>
          <cell r="M53"/>
        </row>
        <row r="71">
          <cell r="B71" t="str">
            <v>楼层</v>
          </cell>
          <cell r="C71" t="str">
            <v>地下1层</v>
          </cell>
          <cell r="D71" t="str">
            <v>地下2层</v>
          </cell>
          <cell r="E71"/>
          <cell r="F71"/>
          <cell r="G71"/>
          <cell r="H71"/>
          <cell r="I71"/>
          <cell r="J71"/>
          <cell r="K71"/>
          <cell r="L71"/>
          <cell r="M71"/>
        </row>
        <row r="79">
          <cell r="B79" t="str">
            <v>配套类型（地上主用途）</v>
          </cell>
          <cell r="C79" t="str">
            <v>住宅</v>
          </cell>
          <cell r="D79" t="str">
            <v>办公、商业</v>
          </cell>
          <cell r="E79"/>
          <cell r="F79"/>
          <cell r="G79"/>
          <cell r="H79"/>
          <cell r="I79"/>
          <cell r="J79"/>
          <cell r="K79"/>
          <cell r="L79"/>
          <cell r="M79"/>
        </row>
        <row r="83">
          <cell r="B83" t="str">
            <v>公共部分装修</v>
          </cell>
          <cell r="C83" t="str">
            <v>普通装修</v>
          </cell>
          <cell r="D83" t="str">
            <v>简装修</v>
          </cell>
          <cell r="E83"/>
          <cell r="F83"/>
          <cell r="G83"/>
          <cell r="H83"/>
          <cell r="I83"/>
          <cell r="J83"/>
          <cell r="K83"/>
          <cell r="L83"/>
          <cell r="M83"/>
        </row>
        <row r="88">
          <cell r="B88" t="str">
            <v>物业等级</v>
          </cell>
          <cell r="C88" t="str">
            <v>甲级</v>
          </cell>
          <cell r="D88" t="str">
            <v>乙级</v>
          </cell>
          <cell r="E88" t="str">
            <v>丙级</v>
          </cell>
          <cell r="F88"/>
          <cell r="G88"/>
          <cell r="H88"/>
          <cell r="I88"/>
          <cell r="J88"/>
          <cell r="K88"/>
          <cell r="L88"/>
          <cell r="M88"/>
        </row>
        <row r="93">
          <cell r="B93" t="str">
            <v>车位类型</v>
          </cell>
          <cell r="C93" t="str">
            <v>平面车位</v>
          </cell>
          <cell r="D93" t="str">
            <v>立体车位</v>
          </cell>
          <cell r="E93"/>
          <cell r="F93"/>
          <cell r="G93"/>
          <cell r="H93"/>
          <cell r="I93"/>
          <cell r="J93"/>
          <cell r="K93"/>
          <cell r="L93"/>
          <cell r="M93"/>
        </row>
        <row r="95">
          <cell r="B95" t="str">
            <v>是否直接入户</v>
          </cell>
          <cell r="C95" t="str">
            <v>是</v>
          </cell>
          <cell r="D95" t="str">
            <v>否</v>
          </cell>
          <cell r="E95"/>
          <cell r="F95"/>
          <cell r="G95"/>
          <cell r="H95"/>
          <cell r="I95"/>
          <cell r="J95"/>
          <cell r="K95"/>
          <cell r="L95"/>
          <cell r="M95"/>
        </row>
      </sheetData>
      <sheetData sheetId="39">
        <row r="5">
          <cell r="A5"/>
          <cell r="B5" t="str">
            <v>配套类型</v>
          </cell>
          <cell r="C5" t="str">
            <v>住宅</v>
          </cell>
          <cell r="D5" t="str">
            <v>办公、商业</v>
          </cell>
          <cell r="E5"/>
          <cell r="F5"/>
          <cell r="G5"/>
          <cell r="H5"/>
          <cell r="I5"/>
          <cell r="J5"/>
          <cell r="K5"/>
          <cell r="L5"/>
          <cell r="M5"/>
          <cell r="N5"/>
          <cell r="O5"/>
          <cell r="P5"/>
          <cell r="Q5"/>
          <cell r="R5"/>
          <cell r="S5"/>
          <cell r="T5">
            <v>-2</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cell r="C7"/>
          <cell r="D7"/>
          <cell r="E7"/>
          <cell r="F7"/>
          <cell r="G7"/>
          <cell r="H7"/>
          <cell r="I7"/>
          <cell r="J7"/>
          <cell r="K7"/>
          <cell r="L7"/>
          <cell r="M7"/>
          <cell r="N7"/>
          <cell r="O7"/>
          <cell r="P7"/>
          <cell r="Q7"/>
          <cell r="R7"/>
          <cell r="S7"/>
          <cell r="T7">
            <v>0.5</v>
          </cell>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v>311</v>
          </cell>
          <cell r="D9">
            <v>312</v>
          </cell>
          <cell r="E9">
            <v>313</v>
          </cell>
          <cell r="F9">
            <v>314</v>
          </cell>
          <cell r="G9">
            <v>315</v>
          </cell>
          <cell r="H9"/>
          <cell r="I9"/>
          <cell r="J9"/>
          <cell r="K9"/>
          <cell r="L9"/>
          <cell r="M9"/>
          <cell r="N9"/>
          <cell r="O9"/>
          <cell r="P9"/>
          <cell r="Q9"/>
          <cell r="R9"/>
          <cell r="S9"/>
          <cell r="T9">
            <v>1.5</v>
          </cell>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v>411</v>
          </cell>
          <cell r="D11">
            <v>412</v>
          </cell>
          <cell r="E11">
            <v>413</v>
          </cell>
          <cell r="F11">
            <v>414</v>
          </cell>
          <cell r="G11">
            <v>415</v>
          </cell>
          <cell r="H11"/>
          <cell r="I11"/>
          <cell r="J11"/>
          <cell r="K11"/>
          <cell r="L11"/>
          <cell r="M11"/>
          <cell r="N11"/>
          <cell r="O11"/>
          <cell r="P11"/>
          <cell r="Q11"/>
          <cell r="R11"/>
          <cell r="S11"/>
          <cell r="T11">
            <v>0.5</v>
          </cell>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v>611</v>
          </cell>
          <cell r="D13">
            <v>612</v>
          </cell>
          <cell r="E13">
            <v>613</v>
          </cell>
          <cell r="F13">
            <v>614</v>
          </cell>
          <cell r="G13">
            <v>615</v>
          </cell>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v>711</v>
          </cell>
          <cell r="D15">
            <v>712</v>
          </cell>
          <cell r="E15">
            <v>713</v>
          </cell>
          <cell r="F15">
            <v>714</v>
          </cell>
          <cell r="G15">
            <v>715</v>
          </cell>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0"/>
      <sheetData sheetId="41"/>
      <sheetData sheetId="42">
        <row r="13">
          <cell r="A13" t="str">
            <v>大兴区黄村镇四街、五街、六街村项目DX00-0208-6001等地块</v>
          </cell>
          <cell r="F13" t="str">
            <v>大兴区黄村镇四街、五街、六街村项目DX00-0208-6001等地块</v>
          </cell>
          <cell r="K13">
            <v>45195.85</v>
          </cell>
          <cell r="M13">
            <v>2.67</v>
          </cell>
          <cell r="S13" t="str">
            <v>2016-02-23</v>
          </cell>
          <cell r="Y13">
            <v>32338.58</v>
          </cell>
          <cell r="AB13" t="str">
            <v>居住70年、商业40年、办公50年</v>
          </cell>
        </row>
        <row r="56">
          <cell r="A56" t="str">
            <v>顺义新城第21街区21-18-001a、21-18-001c地块R2二类居住用地、C9其他公共设施用地</v>
          </cell>
          <cell r="F56" t="str">
            <v>顺义新城第21街区</v>
          </cell>
          <cell r="K56">
            <v>103665</v>
          </cell>
          <cell r="M56">
            <v>0.97</v>
          </cell>
          <cell r="S56" t="str">
            <v>2014-07-14</v>
          </cell>
          <cell r="Y56">
            <v>29263.7</v>
          </cell>
          <cell r="AB56" t="str">
            <v>居住70年、商业40年、综合50年</v>
          </cell>
        </row>
        <row r="57">
          <cell r="A57" t="str">
            <v>昌平区沙河镇北沙河北侧(丽春湖土地一级开发项目)LCH-008地块R2二类居住用地</v>
          </cell>
          <cell r="F57" t="str">
            <v>昌平区沙河镇北沙河北侧</v>
          </cell>
          <cell r="K57">
            <v>78813.75</v>
          </cell>
          <cell r="M57">
            <v>1.05</v>
          </cell>
          <cell r="S57" t="str">
            <v>2014-07-14</v>
          </cell>
          <cell r="Y57">
            <v>28155.74</v>
          </cell>
          <cell r="AB57" t="str">
            <v>住宅70年、商业40年、综合50年</v>
          </cell>
        </row>
      </sheetData>
      <sheetData sheetId="43"/>
      <sheetData sheetId="44">
        <row r="23">
          <cell r="A23" t="str">
            <v>顶秀青溪</v>
          </cell>
        </row>
        <row r="32">
          <cell r="H32">
            <v>31</v>
          </cell>
        </row>
        <row r="76">
          <cell r="A76" t="str">
            <v>京基鹭府</v>
          </cell>
        </row>
        <row r="83">
          <cell r="H83">
            <v>58</v>
          </cell>
        </row>
      </sheetData>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0">
          <cell r="N20">
            <v>9.5322060000000004</v>
          </cell>
        </row>
        <row r="21">
          <cell r="N21">
            <v>4.6878320000000002</v>
          </cell>
        </row>
        <row r="22">
          <cell r="N22">
            <v>4.1257830000000002</v>
          </cell>
        </row>
        <row r="23">
          <cell r="N23">
            <v>8.3062140000000007</v>
          </cell>
        </row>
        <row r="25">
          <cell r="N25">
            <v>5.0805769999999999</v>
          </cell>
        </row>
        <row r="26">
          <cell r="N26">
            <v>3.3186E-2</v>
          </cell>
        </row>
        <row r="27">
          <cell r="N27">
            <v>9.5982269999999996</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项目基本情况"/>
      <sheetName val="定义"/>
      <sheetName val="数据-基础表"/>
      <sheetName val="抵押物清单（分楼）"/>
      <sheetName val="数据-汇总表"/>
      <sheetName val="数据-取费表"/>
      <sheetName val="估价对象房地状况"/>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比较法-仓储"/>
      <sheetName val="不动产收益法-仓储"/>
      <sheetName val="酒店收入计算"/>
      <sheetName val="成本逼近法"/>
      <sheetName val="不动产比较法-多层"/>
      <sheetName val="不动产比较法-小高层"/>
      <sheetName val="典型户型修正-多层"/>
      <sheetName val="不动产比较法-商业"/>
      <sheetName val="典型户型修正-商业"/>
      <sheetName val="不动产比较法-办公"/>
      <sheetName val="不动产比较法-工业"/>
      <sheetName val="不动产比较法-车位"/>
      <sheetName val="典型户型修正-车位"/>
      <sheetName val="典型户型修正-车"/>
      <sheetName val="存贷款利率"/>
      <sheetName val="抵押物清单"/>
      <sheetName val="土地案例"/>
      <sheetName val="Sheet6"/>
      <sheetName val="车位"/>
      <sheetName val="经济技术指标"/>
    </sheetNames>
    <sheetDataSet>
      <sheetData sheetId="0"/>
      <sheetData sheetId="1"/>
      <sheetData sheetId="2"/>
      <sheetData sheetId="3"/>
      <sheetData sheetId="4"/>
      <sheetData sheetId="5"/>
      <sheetData sheetId="6"/>
      <sheetData sheetId="7"/>
      <sheetData sheetId="8"/>
      <sheetData sheetId="9"/>
      <sheetData sheetId="10">
        <row r="3">
          <cell r="A3">
            <v>83893</v>
          </cell>
        </row>
      </sheetData>
      <sheetData sheetId="11"/>
      <sheetData sheetId="12"/>
      <sheetData sheetId="13"/>
      <sheetData sheetId="14"/>
      <sheetData sheetId="15">
        <row r="19">
          <cell r="G19">
            <v>559167</v>
          </cell>
        </row>
        <row r="38">
          <cell r="K38">
            <v>78611.33</v>
          </cell>
          <cell r="L38">
            <v>347179.79</v>
          </cell>
          <cell r="N38">
            <v>16106</v>
          </cell>
        </row>
      </sheetData>
      <sheetData sheetId="16"/>
      <sheetData sheetId="17">
        <row r="6">
          <cell r="C6">
            <v>931600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比较法-仓储"/>
      <sheetName val="不动产收益法-仓储"/>
      <sheetName val="酒店收入计算"/>
      <sheetName val="成本逼近法"/>
      <sheetName val="不动产比较法-多层"/>
      <sheetName val="不动产比较法-小高层"/>
      <sheetName val="典型户型修正-多层"/>
      <sheetName val="不动产比较法-商业"/>
      <sheetName val="典型户型修正-商业"/>
      <sheetName val="不动产比较法-办公"/>
      <sheetName val="不动产比较法-工业"/>
      <sheetName val="不动产比较法-车位"/>
      <sheetName val="典型户型修正-车位"/>
      <sheetName val="存贷款利率"/>
      <sheetName val="抵押物清单"/>
      <sheetName val="土地案例"/>
      <sheetName val="Sheet6"/>
      <sheetName val="车位"/>
      <sheetName val="Sheet1"/>
    </sheetNames>
    <sheetDataSet>
      <sheetData sheetId="0"/>
      <sheetData sheetId="1"/>
      <sheetData sheetId="2"/>
      <sheetData sheetId="3"/>
      <sheetData sheetId="4"/>
      <sheetData sheetId="5"/>
      <sheetData sheetId="6"/>
      <sheetData sheetId="7"/>
      <sheetData sheetId="8"/>
      <sheetData sheetId="9"/>
      <sheetData sheetId="10">
        <row r="3">
          <cell r="A3">
            <v>48775.519999999997</v>
          </cell>
        </row>
      </sheetData>
      <sheetData sheetId="11"/>
      <sheetData sheetId="12"/>
      <sheetData sheetId="13"/>
      <sheetData sheetId="14"/>
      <sheetData sheetId="15">
        <row r="19">
          <cell r="G19">
            <v>251558</v>
          </cell>
        </row>
        <row r="38">
          <cell r="K38">
            <v>33722.78</v>
          </cell>
          <cell r="L38">
            <v>136015.80000000002</v>
          </cell>
          <cell r="N38">
            <v>18495</v>
          </cell>
        </row>
      </sheetData>
      <sheetData sheetId="16"/>
      <sheetData sheetId="17">
        <row r="6">
          <cell r="C6">
            <v>391649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住宅 (2)"/>
      <sheetName val="典型户型修正 (2)"/>
      <sheetName val="不动产比较法-商业"/>
      <sheetName val="典型户型修正"/>
      <sheetName val="不动产比较法-办公"/>
      <sheetName val="不动产比较法-工业"/>
      <sheetName val="不动产比较法-车位"/>
      <sheetName val="不动产比较法-仓储"/>
      <sheetName val="存贷款利率"/>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O14">
            <v>809520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比较法-仓储"/>
      <sheetName val="不动产收益法-仓储"/>
      <sheetName val="酒店收入计算"/>
      <sheetName val="成本逼近法"/>
      <sheetName val="不动产比较法-多层"/>
      <sheetName val="不动产比较法-小高层"/>
      <sheetName val="典型户型修正-多层"/>
      <sheetName val="不动产比较法-商业"/>
      <sheetName val="典型户型修正-商业"/>
      <sheetName val="不动产比较法-办公"/>
      <sheetName val="不动产比较法-工业"/>
      <sheetName val="不动产比较法-车位"/>
      <sheetName val="典型户型修正-车位"/>
      <sheetName val="存贷款利率"/>
      <sheetName val="抵押物清单"/>
      <sheetName val="土地案例"/>
      <sheetName val="Sheet6"/>
      <sheetName val="车位"/>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9">
          <cell r="C9">
            <v>34163</v>
          </cell>
          <cell r="D9">
            <v>5594.3</v>
          </cell>
          <cell r="E9">
            <v>0</v>
          </cell>
          <cell r="F9">
            <v>28054.6</v>
          </cell>
          <cell r="G9">
            <v>4221</v>
          </cell>
          <cell r="H9">
            <v>22238.59</v>
          </cell>
          <cell r="I9">
            <v>2994.2</v>
          </cell>
          <cell r="J9">
            <v>533</v>
          </cell>
          <cell r="K9">
            <v>6300</v>
          </cell>
          <cell r="L9">
            <v>3954.7</v>
          </cell>
          <cell r="M9">
            <v>16691.059999999998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项目基本情况"/>
      <sheetName val="定义"/>
      <sheetName val="数据-基础表"/>
      <sheetName val="抵押物清单（分楼）"/>
      <sheetName val="数据-汇总表"/>
      <sheetName val="数据-取费表"/>
      <sheetName val="估价对象房地状况"/>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比较法-仓储"/>
      <sheetName val="不动产收益法-仓储"/>
      <sheetName val="酒店收入计算"/>
      <sheetName val="成本逼近法"/>
      <sheetName val="不动产比较法-多层"/>
      <sheetName val="不动产比较法-小高层"/>
      <sheetName val="典型户型修正-多层"/>
      <sheetName val="不动产比较法-商业"/>
      <sheetName val="典型户型修正-商业"/>
      <sheetName val="不动产比较法-办公"/>
      <sheetName val="不动产比较法-工业"/>
      <sheetName val="不动产比较法-车位"/>
      <sheetName val="典型户型修正-车位"/>
      <sheetName val="典型户型修正-车"/>
      <sheetName val="存贷款利率"/>
      <sheetName val="抵押物清单"/>
      <sheetName val="土地案例"/>
      <sheetName val="Sheet6"/>
      <sheetName val="车位"/>
      <sheetName val="经济技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9">
          <cell r="C9">
            <v>54253.8</v>
          </cell>
          <cell r="D9">
            <v>43558.2</v>
          </cell>
          <cell r="E9">
            <v>48294</v>
          </cell>
          <cell r="F9">
            <v>24211</v>
          </cell>
          <cell r="G9">
            <v>3115</v>
          </cell>
          <cell r="H9">
            <v>5329</v>
          </cell>
          <cell r="I9">
            <v>26380</v>
          </cell>
          <cell r="J9">
            <v>27060</v>
          </cell>
          <cell r="K9">
            <v>41536.800000000003</v>
          </cell>
          <cell r="L9">
            <v>15158</v>
          </cell>
          <cell r="M9">
            <v>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收益还原法"/>
      <sheetName val="比较法-住宅、综合"/>
      <sheetName val="剩余法-待开发"/>
      <sheetName val="剩余法-现房"/>
      <sheetName val="比较法-工业"/>
      <sheetName val="修正"/>
      <sheetName val="成本逼近法"/>
      <sheetName val="基准地价"/>
      <sheetName val="基准地价-因素"/>
      <sheetName val="区片价"/>
      <sheetName val="容积率修正"/>
      <sheetName val="因素修正幅度"/>
      <sheetName val="不动产收益法（独栋商业）"/>
      <sheetName val="不动产收益法 (住宅底商)"/>
      <sheetName val="不动产收益法 (地下商业) "/>
      <sheetName val="不动产比较法-洋房"/>
      <sheetName val="不动产比较法-小高层"/>
      <sheetName val="不动产比较法-大高层"/>
      <sheetName val="不动产比较法-独立商业"/>
      <sheetName val="不动产比较法-办公"/>
      <sheetName val="不动产比较法-工业"/>
      <sheetName val="不动产比较法-地商"/>
      <sheetName val="不动产比较法-住宅底商"/>
      <sheetName val="不动产比较法-集中商业"/>
      <sheetName val="典型户型修正（集中商业和地下商业）"/>
      <sheetName val="不动产比较法-独栋商业"/>
      <sheetName val="典型户型修正（独栋商业）"/>
      <sheetName val="不动产比较法-住宅车位"/>
      <sheetName val="不动产比较法-仓储"/>
      <sheetName val="不动产比较法-商业车位"/>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F9" t="str">
            <v>昌平区南邵镇（中关村科技园昌平园东区二期）0303-07地块住宅混合公建用地（配建“限价商品住房”）</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5">
          <cell r="E5" t="str">
            <v>青秀尚园</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18">
          <cell r="D18" t="str">
            <v>高鹏</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3">
          <cell r="D3" t="e">
            <v>#DIV/0!</v>
          </cell>
          <cell r="E3">
            <v>0</v>
          </cell>
        </row>
        <row r="17">
          <cell r="C17" t="str">
            <v>项目类型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row r="42">
          <cell r="C42" t="e">
            <v>#REF!</v>
          </cell>
        </row>
        <row r="44">
          <cell r="C44" t="str">
            <v>——</v>
          </cell>
        </row>
        <row r="45">
          <cell r="C45" t="str">
            <v>——</v>
          </cell>
        </row>
        <row r="46">
          <cell r="C46" t="str">
            <v>——</v>
          </cell>
        </row>
      </sheetData>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101">
          <cell r="B101" t="str">
            <v>土地级别</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2935</v>
      </c>
      <c r="B1" s="2909" t="s">
        <v>3036</v>
      </c>
    </row>
    <row r="2" spans="1:55" s="2913" customFormat="1" ht="15" thickTop="1">
      <c r="A2" s="2911" t="s">
        <v>2939</v>
      </c>
      <c r="B2" s="2912" t="str">
        <f>'预评函-封皮'!B37</f>
        <v>北京市07出让国有建设用地使用权抵押价格预评估</v>
      </c>
      <c r="AX2" s="2914"/>
      <c r="AZ2" s="2914"/>
      <c r="BA2" s="2915"/>
      <c r="BC2" s="2915"/>
    </row>
    <row r="3" spans="1:55" s="2916" customFormat="1">
      <c r="A3" s="2895" t="s">
        <v>2940</v>
      </c>
      <c r="B3" s="2898" t="str">
        <f>'预评函-封皮'!B40</f>
        <v>交通银行北分</v>
      </c>
    </row>
    <row r="4" spans="1:55" s="2897" customFormat="1">
      <c r="A4" s="2895" t="s">
        <v>2941</v>
      </c>
      <c r="B4" s="2896" t="str">
        <f>'预评函-封皮'!B46</f>
        <v>欧红伟、梁津</v>
      </c>
      <c r="N4" s="2897" t="str">
        <f>'预评函-1'!A28</f>
        <v/>
      </c>
    </row>
    <row r="5" spans="1:55" s="2910" customFormat="1" ht="15" thickBot="1">
      <c r="A5" s="2917" t="s">
        <v>2942</v>
      </c>
      <c r="B5" s="2918" t="str">
        <f>'预评函-封皮'!B49</f>
        <v>康正预评字2017-1-001-F1号</v>
      </c>
    </row>
    <row r="6" spans="1:55" s="2919" customFormat="1" ht="15" thickTop="1">
      <c r="A6" s="2911" t="s">
        <v>2985</v>
      </c>
      <c r="B6" s="2912" t="str">
        <f>'预评函-1'!A4</f>
        <v>受贵公司委托，我公司对北京市07出让国有建设用地使用权抵押价格进行了预评估。</v>
      </c>
      <c r="AM6" s="2920"/>
    </row>
    <row r="7" spans="1:55" s="2894" customFormat="1">
      <c r="A7" s="2895" t="s">
        <v>2936</v>
      </c>
      <c r="B7" s="2896" t="str">
        <f>'预评函-1'!A6</f>
        <v>估价对象为BB公司使用的、位于北京市07出让国有建设用地使用权。根据《国有土地使用证》[]，估价对象（分摊）出让国有建设用地使用权面积为114029.21平方米。根据《建设工程规划许可证》[]、《出让合同》[]，估价对象规划建筑面积为507462.25平方米。</v>
      </c>
    </row>
    <row r="8" spans="1:55" s="2894" customFormat="1">
      <c r="A8" s="2895" t="s">
        <v>2937</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2989</v>
      </c>
      <c r="B9" s="2896" t="str">
        <f>'预评函-1'!A9</f>
        <v>中信开发拟使用北京市07出让国有建设用地使用权作为抵押担保物，向交通银行北分办理贷款手续。交通银行北分特委托北京康正宏基房地产评估有限公司对上述抵押物进行评估。本次评估为确定标的物之抵押贷款额度提供参考依据而评估出让国有建设用地使用权抵押价格。</v>
      </c>
    </row>
    <row r="10" spans="1:55" s="2894" customFormat="1">
      <c r="A10" s="2895" t="s">
        <v>2938</v>
      </c>
      <c r="B10" s="2896" t="str">
        <f>'预评函-1'!A11</f>
        <v>2017年6月12日（评估专业人员勘察现场之日）</v>
      </c>
    </row>
    <row r="11" spans="1:55" s="2894" customFormat="1">
      <c r="A11" s="2895" t="s">
        <v>2944</v>
      </c>
      <c r="B11" s="2896" t="str">
        <f>'预评函-1'!A14</f>
        <v>根据，本次评估估价对象证载（地类）用途为。</v>
      </c>
    </row>
    <row r="12" spans="1:55" s="2894" customFormat="1">
      <c r="A12" s="2895" t="s">
        <v>2945</v>
      </c>
      <c r="B12" s="2896" t="str">
        <f>'预评函-1'!A15</f>
        <v>本次评估设定用途即为证载用途。</v>
      </c>
    </row>
    <row r="13" spans="1:55" s="2894" customFormat="1">
      <c r="A13" s="2895" t="s">
        <v>2946</v>
      </c>
      <c r="B13" s="2896"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894" customFormat="1">
      <c r="A14" s="2895" t="s">
        <v>2947</v>
      </c>
      <c r="B14" s="289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4" customFormat="1">
      <c r="A15" s="2895" t="s">
        <v>2943</v>
      </c>
      <c r="B15" s="2896" t="str">
        <f>'预评函-1'!A20</f>
        <v>根据《国有土地使用证》[]，估价对象（分摊）出让国有建设用地使用权面积为114029.21平方米。根据《建设工程规划许可证》[]、《出让合同》[]，估价对象规划建筑面积为507462.25平方米。</v>
      </c>
    </row>
    <row r="16" spans="1:55" s="2894" customFormat="1">
      <c r="A16" s="2895" t="s">
        <v>2948</v>
      </c>
      <c r="B16" s="2896" t="str">
        <f>'预评函-1'!A22</f>
        <v>本次估价对象为出让国有建设用地使用权，证载土地终止日期为住宅2085年11月11日、商业2055年11月11日、办公及地下办公2065年11月11日、地下车库2065年11月11日、地下仓储2065年11月11日。截至估价期日，出让国有建设用地使用权剩余土地使用年限为。</v>
      </c>
    </row>
    <row r="17" spans="1:48" s="2894" customFormat="1">
      <c r="A17" s="2895" t="s">
        <v>2949</v>
      </c>
      <c r="B17" s="2896" t="str">
        <f>'预评函-1'!A23</f>
        <v>本次评估设定估价对象剩余土地使用年限为。</v>
      </c>
    </row>
    <row r="18" spans="1:48" s="2894" customFormat="1">
      <c r="A18" s="2895" t="s">
        <v>2950</v>
      </c>
      <c r="B18" s="2896" t="str">
        <f>'预评函-1'!A25</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剩余土地使用年限为的出让国有建设用地使用权价格。</v>
      </c>
    </row>
    <row r="19" spans="1:48" s="2894" customFormat="1">
      <c r="A19" s="2895" t="s">
        <v>2951</v>
      </c>
      <c r="B19" s="2896" t="str">
        <f>'预评函-1'!A26</f>
        <v>本次估价的“抵押价格”是指估价对象在估价期日的“出让国有建设用地使用权价格”扣减估价师于估价期日所知悉的法定优先受偿款后的余额。</v>
      </c>
    </row>
    <row r="20" spans="1:48" s="2894" customFormat="1">
      <c r="A20" s="2895" t="s">
        <v>2952</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2953</v>
      </c>
      <c r="B21" s="2918" t="str">
        <f>'预评函-1'!A28</f>
        <v/>
      </c>
    </row>
    <row r="22" spans="1:48" ht="15" thickTop="1">
      <c r="A22" s="2906" t="s">
        <v>2954</v>
      </c>
      <c r="B22" s="2907" t="str">
        <f>'预评函-1'!A30</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23" spans="1:48">
      <c r="A23" s="2895" t="s">
        <v>2955</v>
      </c>
      <c r="B23" s="2896" t="str">
        <f>'预评函-2'!K2</f>
        <v>估价期日：2017年6月12日</v>
      </c>
    </row>
    <row r="24" spans="1:48">
      <c r="A24" s="2895" t="s">
        <v>2956</v>
      </c>
      <c r="B24" s="2896" t="str">
        <f>'预评函-2'!R2</f>
        <v>估价期日的国有建设用地使用权性质：出让</v>
      </c>
    </row>
    <row r="25" spans="1:48">
      <c r="A25" s="2895" t="s">
        <v>3014</v>
      </c>
      <c r="B25" s="2896" t="str">
        <f>'预评函-2'!A3</f>
        <v>估价期日土地使用者</v>
      </c>
    </row>
    <row r="26" spans="1:48">
      <c r="A26" s="2895" t="s">
        <v>2990</v>
      </c>
      <c r="B26" s="2896" t="str">
        <f>'预评函-2'!A5</f>
        <v>中信开发</v>
      </c>
    </row>
    <row r="27" spans="1:48">
      <c r="A27" s="2895" t="s">
        <v>3015</v>
      </c>
      <c r="B27" s="2896" t="str">
        <f>'预评函-2'!B3</f>
        <v>宗地编号/不动产单元号</v>
      </c>
    </row>
    <row r="28" spans="1:48">
      <c r="A28" s="2895" t="s">
        <v>2991</v>
      </c>
      <c r="B28" s="2896" t="str">
        <f>'预评函-2'!B5</f>
        <v>11111111111</v>
      </c>
    </row>
    <row r="29" spans="1:48">
      <c r="A29" s="2895" t="s">
        <v>3017</v>
      </c>
      <c r="B29" s="2896">
        <f>'预评函-2'!C5</f>
        <v>22</v>
      </c>
    </row>
    <row r="30" spans="1:48">
      <c r="A30" s="2895" t="s">
        <v>3018</v>
      </c>
      <c r="B30" s="2896" t="str">
        <f>'预评函-2'!D3</f>
        <v>土地使用证编号/不动产权证书编号</v>
      </c>
    </row>
    <row r="31" spans="1:48">
      <c r="A31" s="2895" t="s">
        <v>2992</v>
      </c>
      <c r="B31" s="2896" t="str">
        <f>'预评函-2'!D5</f>
        <v>京国土字第111号</v>
      </c>
    </row>
    <row r="32" spans="1:48">
      <c r="A32" s="2895" t="s">
        <v>2993</v>
      </c>
      <c r="B32" s="2896">
        <f>'预评函-2'!E5</f>
        <v>0</v>
      </c>
      <c r="AV32" s="2900"/>
    </row>
    <row r="33" spans="1:2">
      <c r="A33" s="2895" t="s">
        <v>2994</v>
      </c>
      <c r="B33" s="2896">
        <f>'预评函-2'!F5</f>
        <v>258</v>
      </c>
    </row>
    <row r="34" spans="1:2">
      <c r="A34" s="2895" t="s">
        <v>2995</v>
      </c>
      <c r="B34" s="2896">
        <f>'预评函-2'!G5</f>
        <v>0</v>
      </c>
    </row>
    <row r="35" spans="1:2">
      <c r="A35" s="2895" t="s">
        <v>2996</v>
      </c>
      <c r="B35" s="2896">
        <f>'预评函-2'!H5</f>
        <v>1.5</v>
      </c>
    </row>
    <row r="36" spans="1:2">
      <c r="A36" s="2895" t="s">
        <v>2997</v>
      </c>
      <c r="B36" s="2896">
        <f>'预评函-2'!I5</f>
        <v>1.5</v>
      </c>
    </row>
    <row r="37" spans="1:2">
      <c r="A37" s="2895" t="s">
        <v>2998</v>
      </c>
      <c r="B37" s="2896">
        <f>'预评函-2'!J5</f>
        <v>1.5</v>
      </c>
    </row>
    <row r="38" spans="1:2">
      <c r="A38" s="2895" t="s">
        <v>2999</v>
      </c>
      <c r="B38" s="2896" t="str">
        <f>'预评函-2'!K5</f>
        <v>红线外七通、宗地红线内宗地内已开工建设</v>
      </c>
    </row>
    <row r="39" spans="1:2">
      <c r="A39" s="2895" t="s">
        <v>3000</v>
      </c>
      <c r="B39" s="2896" t="str">
        <f>'预评函-2'!L5</f>
        <v>红线外七通、宗地红线内场地平整</v>
      </c>
    </row>
    <row r="40" spans="1:2">
      <c r="A40" s="2895" t="s">
        <v>3019</v>
      </c>
      <c r="B40" s="2896" t="str">
        <f>'预评函-2'!M3</f>
        <v>（剩余）土地使用年限/年</v>
      </c>
    </row>
    <row r="41" spans="1:2">
      <c r="A41" s="2895" t="s">
        <v>3001</v>
      </c>
      <c r="B41" s="2896">
        <f>'预评函-2'!M5</f>
        <v>0</v>
      </c>
    </row>
    <row r="42" spans="1:2">
      <c r="A42" s="2895" t="s">
        <v>3020</v>
      </c>
      <c r="B42" s="2896" t="str">
        <f>'预评函-2'!N3</f>
        <v>（分摊）出让国有建设用地使用权面积/㎡</v>
      </c>
    </row>
    <row r="43" spans="1:2">
      <c r="A43" s="2895" t="s">
        <v>3002</v>
      </c>
      <c r="B43" s="2896">
        <f>'预评函-2'!N5</f>
        <v>114029.21</v>
      </c>
    </row>
    <row r="44" spans="1:2">
      <c r="A44" s="2895" t="s">
        <v>3021</v>
      </c>
      <c r="B44" s="2896" t="str">
        <f>'预评函-2'!O3</f>
        <v>规划建筑面积/㎡</v>
      </c>
    </row>
    <row r="45" spans="1:2">
      <c r="A45" s="2895" t="s">
        <v>3003</v>
      </c>
      <c r="B45" s="2896">
        <f>'预评函-2'!O5</f>
        <v>507462.25</v>
      </c>
    </row>
    <row r="46" spans="1:2">
      <c r="A46" s="2895" t="s">
        <v>3004</v>
      </c>
      <c r="B46" s="2896" t="e">
        <f ca="1">'预评函-2'!P5</f>
        <v>#REF!</v>
      </c>
    </row>
    <row r="47" spans="1:2">
      <c r="A47" s="2895" t="s">
        <v>3005</v>
      </c>
      <c r="B47" s="2896" t="e">
        <f ca="1">'预评函-2'!Q5</f>
        <v>#REF!</v>
      </c>
    </row>
    <row r="48" spans="1:2">
      <c r="A48" s="2895" t="s">
        <v>3006</v>
      </c>
      <c r="B48" s="2896" t="e">
        <f ca="1">'预评函-2'!R5</f>
        <v>#REF!</v>
      </c>
    </row>
    <row r="49" spans="1:2">
      <c r="A49" s="2895" t="s">
        <v>3022</v>
      </c>
      <c r="B49" s="2896" t="str">
        <f>'预评函-2'!A6</f>
        <v>抵押价格</v>
      </c>
    </row>
    <row r="50" spans="1:2">
      <c r="A50" s="2895" t="s">
        <v>3007</v>
      </c>
      <c r="B50" s="2896" t="e">
        <f ca="1">'预评函-2'!R6</f>
        <v>#REF!</v>
      </c>
    </row>
    <row r="51" spans="1:2">
      <c r="A51" s="2895" t="s">
        <v>3023</v>
      </c>
      <c r="B51" s="2896" t="str">
        <f>'预评函-2'!A7</f>
        <v>——</v>
      </c>
    </row>
    <row r="52" spans="1:2">
      <c r="A52" s="2895" t="s">
        <v>3008</v>
      </c>
      <c r="B52" s="2896" t="str">
        <f>'预评函-2'!R7</f>
        <v>——</v>
      </c>
    </row>
    <row r="53" spans="1:2">
      <c r="A53" s="2895" t="s">
        <v>3024</v>
      </c>
      <c r="B53" s="2896" t="str">
        <f>'预评函-2'!A8</f>
        <v>——</v>
      </c>
    </row>
    <row r="54" spans="1:2" s="2910" customFormat="1" ht="15" thickBot="1">
      <c r="A54" s="2917" t="s">
        <v>3009</v>
      </c>
      <c r="B54" s="2918" t="str">
        <f>'预评函-2'!R8</f>
        <v>——</v>
      </c>
    </row>
    <row r="55" spans="1:2" ht="15" thickTop="1">
      <c r="A55" s="2906" t="s">
        <v>2957</v>
      </c>
      <c r="B55" s="2907" t="str">
        <f>'预评函-3'!A2</f>
        <v>1.权利限制：根据估价对象《房屋所有权证》原件、，截至估价期日，估价对象已设定抵押。未设定租赁等其他他项权利。</v>
      </c>
    </row>
    <row r="56" spans="1:2">
      <c r="A56" s="2895" t="s">
        <v>2958</v>
      </c>
      <c r="B56" s="2896" t="str">
        <f>'预评函-3'!A3</f>
        <v>2.基础设施条件：估价对象实际开发程度为红线外七通、宗地红线内宗地内已开工建设；本次评估设定开发程度为红线外七通、宗地红线内场地平整。</v>
      </c>
    </row>
    <row r="57" spans="1:2">
      <c r="A57" s="2895" t="s">
        <v>2959</v>
      </c>
      <c r="B57" s="2896" t="str">
        <f>'预评函-3'!A4</f>
        <v>3.估价规划限制条件：详见《建设工程规划许可证》[]、《出让合同》[]。</v>
      </c>
    </row>
    <row r="58" spans="1:2" s="2910" customFormat="1" ht="15" thickBot="1">
      <c r="A58" s="2917" t="s">
        <v>3010</v>
      </c>
      <c r="B58" s="2918" t="str">
        <f>'预评函-3'!A5</f>
        <v>4.影响价格的其他限定条件：无。</v>
      </c>
    </row>
    <row r="59" spans="1:2" ht="15" thickTop="1">
      <c r="A59" s="2906" t="s">
        <v>2960</v>
      </c>
      <c r="B59" s="2907" t="str">
        <f>'预评函-3'!A8</f>
        <v>2.本《评估意见函》仅供金融机构进行内部审核使用，不做其他目的之用。</v>
      </c>
    </row>
    <row r="60" spans="1:2">
      <c r="A60" s="2895" t="s">
        <v>2961</v>
      </c>
      <c r="B60" s="2896" t="str">
        <f>'预评函-3'!A9</f>
        <v>3.抵押双方在办理抵押登记手续时，应使用本公司出具的正式《土地估价报告》，特提请报告使用者注意。</v>
      </c>
    </row>
    <row r="61" spans="1:2">
      <c r="A61" s="2895" t="s">
        <v>2963</v>
      </c>
      <c r="B61" s="2896" t="str">
        <f>'预评函-3'!A10</f>
        <v>4.估价师所知悉的法定优先受偿款情况为：</v>
      </c>
    </row>
    <row r="62" spans="1:2">
      <c r="A62" s="2895" t="s">
        <v>2962</v>
      </c>
      <c r="B62" s="2896" t="str">
        <f>'预评函-3'!A11</f>
        <v>（1）根据估价对象《房屋所有权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5" t="s">
        <v>2964</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2965</v>
      </c>
      <c r="B64" s="2901" t="str">
        <f>'预评函-3'!A13</f>
        <v>（3）。</v>
      </c>
    </row>
    <row r="65" spans="1:2">
      <c r="A65" s="2895" t="s">
        <v>2966</v>
      </c>
      <c r="B65" s="2902" t="str">
        <f>'预评函-3'!A14</f>
        <v>综上，本次评估不存在估价师知悉的法定优先受偿款</v>
      </c>
    </row>
    <row r="66" spans="1:2">
      <c r="A66" s="2895" t="s">
        <v>2967</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2968</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2971</v>
      </c>
      <c r="B68" s="2921">
        <f>'预评函-3'!D30</f>
        <v>42558</v>
      </c>
    </row>
    <row r="69" spans="1:2" ht="15" thickTop="1">
      <c r="A69" s="2906" t="s">
        <v>2969</v>
      </c>
      <c r="B69" s="2907" t="str">
        <f>'预评函-3'!A20</f>
        <v>欧红伟</v>
      </c>
    </row>
    <row r="70" spans="1:2">
      <c r="A70" s="2895" t="s">
        <v>2969</v>
      </c>
      <c r="B70" s="2902">
        <f ca="1">'预评函-3'!B20</f>
        <v>2000110082</v>
      </c>
    </row>
    <row r="71" spans="1:2">
      <c r="A71" s="2895" t="s">
        <v>2970</v>
      </c>
      <c r="B71" s="2896" t="str">
        <f>'预评函-3'!A21</f>
        <v>梁津</v>
      </c>
    </row>
    <row r="72" spans="1:2" s="2910" customFormat="1" ht="15" thickBot="1">
      <c r="A72" s="2917" t="s">
        <v>2970</v>
      </c>
      <c r="B72" s="2923">
        <f ca="1">'预评函-3'!B21</f>
        <v>96010014</v>
      </c>
    </row>
    <row r="73" spans="1:2" ht="15" thickTop="1">
      <c r="A73" s="2906" t="s">
        <v>3033</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3034</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3035</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3072</v>
      </c>
      <c r="B76" s="2905"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Z38" sqref="Z38"/>
    </sheetView>
  </sheetViews>
  <sheetFormatPr defaultRowHeight="14.25"/>
  <cols>
    <col min="1" max="1" width="10.375" style="1164" customWidth="1"/>
    <col min="2" max="2" width="18.875" style="114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2" customWidth="1"/>
    <col min="25" max="25" width="7.25" style="1142" customWidth="1"/>
    <col min="26" max="16384" width="9" style="1142"/>
  </cols>
  <sheetData>
    <row r="1" spans="1:23" s="1163" customFormat="1" ht="27">
      <c r="A1" s="946" t="s">
        <v>1044</v>
      </c>
      <c r="B1" s="5" t="s">
        <v>118</v>
      </c>
      <c r="C1" s="1531" t="s">
        <v>1920</v>
      </c>
      <c r="D1" s="6" t="s">
        <v>119</v>
      </c>
      <c r="E1" s="6" t="s">
        <v>120</v>
      </c>
      <c r="F1" s="6" t="s">
        <v>121</v>
      </c>
      <c r="G1" s="6" t="s">
        <v>122</v>
      </c>
      <c r="H1" s="6" t="s">
        <v>123</v>
      </c>
      <c r="I1" s="6" t="s">
        <v>124</v>
      </c>
      <c r="J1" s="6" t="s">
        <v>125</v>
      </c>
      <c r="K1" s="6" t="s">
        <v>126</v>
      </c>
      <c r="L1" s="6" t="s">
        <v>127</v>
      </c>
      <c r="M1" s="6" t="s">
        <v>128</v>
      </c>
      <c r="N1" s="6" t="s">
        <v>129</v>
      </c>
      <c r="O1" s="6" t="s">
        <v>130</v>
      </c>
      <c r="P1" s="6" t="s">
        <v>131</v>
      </c>
      <c r="Q1" s="2595" t="s">
        <v>2812</v>
      </c>
      <c r="R1" s="2594" t="s">
        <v>2804</v>
      </c>
      <c r="S1" s="6" t="s">
        <v>132</v>
      </c>
      <c r="T1" s="7" t="s">
        <v>133</v>
      </c>
      <c r="U1" s="6" t="s">
        <v>134</v>
      </c>
      <c r="V1" s="6" t="s">
        <v>135</v>
      </c>
      <c r="W1" s="983" t="s">
        <v>1063</v>
      </c>
    </row>
    <row r="2" spans="1:23">
      <c r="A2" s="8" t="s">
        <v>3192</v>
      </c>
      <c r="B2" s="8" t="s">
        <v>3193</v>
      </c>
      <c r="C2" s="1532" t="s">
        <v>1921</v>
      </c>
      <c r="D2" s="9" t="s">
        <v>85</v>
      </c>
      <c r="E2" s="9" t="s">
        <v>113</v>
      </c>
      <c r="F2" s="9" t="s">
        <v>114</v>
      </c>
      <c r="G2" s="9">
        <v>40</v>
      </c>
      <c r="H2" s="9" t="s">
        <v>115</v>
      </c>
      <c r="I2" s="9" t="s">
        <v>116</v>
      </c>
      <c r="J2" s="9" t="s">
        <v>117</v>
      </c>
      <c r="K2" s="9" t="s">
        <v>86</v>
      </c>
      <c r="L2" s="9" t="s">
        <v>86</v>
      </c>
      <c r="M2" s="9" t="s">
        <v>86</v>
      </c>
      <c r="N2" s="9" t="s">
        <v>86</v>
      </c>
      <c r="O2" s="9" t="s">
        <v>86</v>
      </c>
      <c r="P2" s="985" t="s">
        <v>1070</v>
      </c>
      <c r="Q2" s="9" t="s">
        <v>86</v>
      </c>
      <c r="R2" s="985" t="s">
        <v>2806</v>
      </c>
      <c r="S2" s="9" t="s">
        <v>86</v>
      </c>
      <c r="T2" s="9" t="s">
        <v>87</v>
      </c>
      <c r="U2" s="9" t="s">
        <v>86</v>
      </c>
      <c r="V2" s="9" t="s">
        <v>88</v>
      </c>
      <c r="W2" s="9" t="s">
        <v>1064</v>
      </c>
    </row>
    <row r="3" spans="1:23">
      <c r="A3" s="8" t="s">
        <v>3194</v>
      </c>
      <c r="B3" s="10" t="s">
        <v>3195</v>
      </c>
      <c r="C3" s="1533" t="s">
        <v>1922</v>
      </c>
      <c r="D3" s="9" t="s">
        <v>89</v>
      </c>
      <c r="E3" s="9" t="s">
        <v>6</v>
      </c>
      <c r="F3" s="9" t="s">
        <v>90</v>
      </c>
      <c r="G3" s="9">
        <v>50</v>
      </c>
      <c r="H3" s="9" t="s">
        <v>91</v>
      </c>
      <c r="I3" s="9" t="s">
        <v>92</v>
      </c>
      <c r="J3" s="9" t="s">
        <v>93</v>
      </c>
      <c r="K3" s="9" t="s">
        <v>94</v>
      </c>
      <c r="L3" s="9" t="s">
        <v>94</v>
      </c>
      <c r="M3" s="9" t="s">
        <v>94</v>
      </c>
      <c r="N3" s="9" t="s">
        <v>94</v>
      </c>
      <c r="O3" s="9" t="s">
        <v>94</v>
      </c>
      <c r="P3" s="985" t="s">
        <v>625</v>
      </c>
      <c r="Q3" s="9" t="s">
        <v>94</v>
      </c>
      <c r="R3" s="985" t="s">
        <v>2807</v>
      </c>
      <c r="S3" s="9" t="s">
        <v>94</v>
      </c>
      <c r="T3" s="9" t="s">
        <v>95</v>
      </c>
      <c r="U3" s="9" t="s">
        <v>94</v>
      </c>
      <c r="V3" s="9" t="s">
        <v>96</v>
      </c>
      <c r="W3" s="9" t="s">
        <v>1065</v>
      </c>
    </row>
    <row r="4" spans="1:23">
      <c r="A4" s="8" t="s">
        <v>3196</v>
      </c>
      <c r="B4" s="8" t="s">
        <v>3197</v>
      </c>
      <c r="C4" s="1532" t="s">
        <v>1923</v>
      </c>
      <c r="D4" s="9" t="s">
        <v>2218</v>
      </c>
      <c r="E4" s="9" t="s">
        <v>97</v>
      </c>
      <c r="F4" s="9" t="s">
        <v>98</v>
      </c>
      <c r="G4" s="9">
        <v>70</v>
      </c>
      <c r="H4" s="9" t="s">
        <v>99</v>
      </c>
      <c r="I4" s="9" t="s">
        <v>100</v>
      </c>
      <c r="K4" s="9" t="s">
        <v>101</v>
      </c>
      <c r="L4" s="9" t="s">
        <v>101</v>
      </c>
      <c r="M4" s="9" t="s">
        <v>101</v>
      </c>
      <c r="N4" s="9" t="s">
        <v>101</v>
      </c>
      <c r="O4" s="9" t="s">
        <v>101</v>
      </c>
      <c r="P4" s="985" t="s">
        <v>851</v>
      </c>
      <c r="Q4" s="9" t="s">
        <v>101</v>
      </c>
      <c r="R4" s="985" t="s">
        <v>2808</v>
      </c>
      <c r="S4" s="9" t="s">
        <v>101</v>
      </c>
      <c r="T4" s="9" t="s">
        <v>102</v>
      </c>
      <c r="U4" s="9" t="s">
        <v>101</v>
      </c>
      <c r="W4" s="9" t="s">
        <v>1066</v>
      </c>
    </row>
    <row r="5" spans="1:23">
      <c r="A5" s="8" t="s">
        <v>3198</v>
      </c>
      <c r="B5" s="8" t="s">
        <v>3199</v>
      </c>
      <c r="C5" s="1532" t="s">
        <v>1924</v>
      </c>
      <c r="F5" s="9" t="s">
        <v>103</v>
      </c>
      <c r="H5" s="9" t="s">
        <v>82</v>
      </c>
      <c r="I5" s="9" t="s">
        <v>104</v>
      </c>
      <c r="K5" s="9" t="s">
        <v>105</v>
      </c>
      <c r="L5" s="9" t="s">
        <v>105</v>
      </c>
      <c r="M5" s="9" t="s">
        <v>105</v>
      </c>
      <c r="N5" s="9" t="s">
        <v>105</v>
      </c>
      <c r="O5" s="9" t="s">
        <v>105</v>
      </c>
      <c r="P5" s="985" t="s">
        <v>538</v>
      </c>
      <c r="Q5" s="9" t="s">
        <v>105</v>
      </c>
      <c r="R5" s="985" t="s">
        <v>2810</v>
      </c>
      <c r="S5" s="9" t="s">
        <v>105</v>
      </c>
      <c r="T5" s="9" t="s">
        <v>106</v>
      </c>
      <c r="U5" s="9" t="s">
        <v>105</v>
      </c>
      <c r="W5" s="9" t="s">
        <v>1067</v>
      </c>
    </row>
    <row r="6" spans="1:23">
      <c r="A6" s="8" t="s">
        <v>3200</v>
      </c>
      <c r="B6" s="1128" t="s">
        <v>3201</v>
      </c>
      <c r="C6" s="1534" t="s">
        <v>1925</v>
      </c>
      <c r="F6" s="9" t="s">
        <v>83</v>
      </c>
      <c r="H6" s="9" t="s">
        <v>84</v>
      </c>
      <c r="I6" s="9" t="s">
        <v>107</v>
      </c>
      <c r="K6" s="9" t="s">
        <v>108</v>
      </c>
      <c r="L6" s="9" t="s">
        <v>108</v>
      </c>
      <c r="M6" s="9" t="s">
        <v>108</v>
      </c>
      <c r="N6" s="9" t="s">
        <v>108</v>
      </c>
      <c r="O6" s="9" t="s">
        <v>108</v>
      </c>
      <c r="P6" s="985" t="s">
        <v>1071</v>
      </c>
      <c r="Q6" s="9" t="s">
        <v>108</v>
      </c>
      <c r="R6" s="985" t="s">
        <v>2811</v>
      </c>
      <c r="S6" s="9" t="s">
        <v>108</v>
      </c>
      <c r="T6" s="9"/>
      <c r="U6" s="9" t="s">
        <v>108</v>
      </c>
      <c r="W6" s="9" t="s">
        <v>1068</v>
      </c>
    </row>
    <row r="7" spans="1:23">
      <c r="A7" s="8" t="s">
        <v>3202</v>
      </c>
      <c r="B7" s="8" t="s">
        <v>3203</v>
      </c>
      <c r="C7" s="1532" t="s">
        <v>1926</v>
      </c>
      <c r="F7" s="9" t="s">
        <v>136</v>
      </c>
      <c r="H7" s="9" t="s">
        <v>109</v>
      </c>
      <c r="I7" s="9" t="s">
        <v>110</v>
      </c>
    </row>
    <row r="8" spans="1:23">
      <c r="A8" s="8" t="s">
        <v>3204</v>
      </c>
      <c r="B8" s="1128" t="s">
        <v>3205</v>
      </c>
      <c r="C8" s="1532" t="s">
        <v>1927</v>
      </c>
      <c r="F8" s="9" t="s">
        <v>137</v>
      </c>
      <c r="H8" s="9"/>
      <c r="I8" s="9" t="s">
        <v>111</v>
      </c>
    </row>
    <row r="9" spans="1:23">
      <c r="A9" s="8" t="s">
        <v>3206</v>
      </c>
      <c r="B9" s="3057" t="s">
        <v>3207</v>
      </c>
      <c r="C9" s="1532" t="s">
        <v>1928</v>
      </c>
      <c r="F9" s="9" t="s">
        <v>112</v>
      </c>
      <c r="H9" s="9"/>
    </row>
    <row r="10" spans="1:23">
      <c r="A10" s="8" t="s">
        <v>3208</v>
      </c>
      <c r="B10" s="8" t="s">
        <v>3209</v>
      </c>
      <c r="C10" s="1532" t="s">
        <v>1929</v>
      </c>
      <c r="F10" s="9" t="s">
        <v>6</v>
      </c>
    </row>
    <row r="11" spans="1:23">
      <c r="A11" s="1128" t="s">
        <v>3210</v>
      </c>
      <c r="B11" s="8" t="s">
        <v>3211</v>
      </c>
      <c r="C11" s="1532" t="s">
        <v>1930</v>
      </c>
    </row>
    <row r="12" spans="1:23">
      <c r="A12" s="1128" t="s">
        <v>3212</v>
      </c>
      <c r="B12" s="8" t="s">
        <v>3213</v>
      </c>
      <c r="C12" s="1532" t="s">
        <v>1931</v>
      </c>
    </row>
    <row r="13" spans="1:23">
      <c r="A13" s="8" t="s">
        <v>3214</v>
      </c>
      <c r="B13" s="8" t="s">
        <v>3215</v>
      </c>
      <c r="C13" s="1532" t="s">
        <v>1932</v>
      </c>
    </row>
    <row r="14" spans="1:23">
      <c r="A14" s="8" t="s">
        <v>3216</v>
      </c>
      <c r="B14" s="8" t="s">
        <v>3217</v>
      </c>
      <c r="C14" s="1535" t="s">
        <v>2110</v>
      </c>
    </row>
    <row r="15" spans="1:23">
      <c r="A15" s="8" t="s">
        <v>3218</v>
      </c>
      <c r="B15" s="3057" t="s">
        <v>3219</v>
      </c>
      <c r="C15" s="1535"/>
    </row>
    <row r="16" spans="1:23">
      <c r="A16" s="8" t="s">
        <v>3220</v>
      </c>
      <c r="B16" s="8" t="s">
        <v>3221</v>
      </c>
      <c r="C16" s="1535"/>
    </row>
    <row r="17" spans="1:3">
      <c r="A17" s="8" t="s">
        <v>3222</v>
      </c>
      <c r="B17" s="8" t="s">
        <v>3223</v>
      </c>
      <c r="C17" s="1535"/>
    </row>
    <row r="18" spans="1:3">
      <c r="A18" s="8" t="s">
        <v>3224</v>
      </c>
      <c r="B18" s="3057" t="s">
        <v>3225</v>
      </c>
      <c r="C18" s="1535"/>
    </row>
    <row r="19" spans="1:3">
      <c r="A19" s="8" t="s">
        <v>3226</v>
      </c>
      <c r="B19" s="8" t="s">
        <v>3227</v>
      </c>
      <c r="C19" s="1535"/>
    </row>
    <row r="20" spans="1:3">
      <c r="A20" s="1128" t="s">
        <v>3228</v>
      </c>
      <c r="B20" s="8" t="s">
        <v>3229</v>
      </c>
      <c r="C20" s="1535"/>
    </row>
    <row r="21" spans="1:3">
      <c r="A21" s="8" t="s">
        <v>3230</v>
      </c>
      <c r="B21" s="8" t="s">
        <v>3231</v>
      </c>
      <c r="C21" s="1535"/>
    </row>
    <row r="22" spans="1:3">
      <c r="A22" s="8" t="s">
        <v>3232</v>
      </c>
      <c r="B22" s="3090" t="s">
        <v>3233</v>
      </c>
      <c r="C22" s="1535"/>
    </row>
    <row r="23" spans="1:3">
      <c r="A23" s="8" t="s">
        <v>3234</v>
      </c>
      <c r="B23" s="8" t="s">
        <v>3235</v>
      </c>
      <c r="C23" s="1535"/>
    </row>
    <row r="24" spans="1:3">
      <c r="A24" s="1128" t="s">
        <v>3236</v>
      </c>
      <c r="B24" s="8" t="s">
        <v>3235</v>
      </c>
      <c r="C24" s="1535"/>
    </row>
    <row r="25" spans="1:3">
      <c r="A25" s="8" t="s">
        <v>3237</v>
      </c>
      <c r="B25" s="8" t="s">
        <v>3235</v>
      </c>
      <c r="C25" s="1535"/>
    </row>
    <row r="26" spans="1:3">
      <c r="A26" s="8" t="s">
        <v>3238</v>
      </c>
      <c r="B26" s="8" t="s">
        <v>3235</v>
      </c>
      <c r="C26" s="1535"/>
    </row>
    <row r="27" spans="1:3">
      <c r="A27" s="8" t="s">
        <v>3235</v>
      </c>
      <c r="B27" s="8" t="s">
        <v>3235</v>
      </c>
      <c r="C27" s="1535"/>
    </row>
    <row r="28" spans="1:3">
      <c r="A28" s="8" t="s">
        <v>3235</v>
      </c>
      <c r="B28" s="8" t="s">
        <v>3235</v>
      </c>
      <c r="C28" s="1535"/>
    </row>
    <row r="29" spans="1:3">
      <c r="A29" s="8" t="s">
        <v>3235</v>
      </c>
      <c r="B29" s="8" t="s">
        <v>3235</v>
      </c>
      <c r="C29" s="1535"/>
    </row>
    <row r="30" spans="1:3">
      <c r="A30" s="3090" t="s">
        <v>3300</v>
      </c>
      <c r="B30" s="8" t="s">
        <v>3235</v>
      </c>
      <c r="C30" s="1535"/>
    </row>
    <row r="31" spans="1:3">
      <c r="A31" s="3090" t="s">
        <v>3291</v>
      </c>
      <c r="B31" s="8" t="s">
        <v>3235</v>
      </c>
      <c r="C31" s="1535"/>
    </row>
    <row r="32" spans="1:3">
      <c r="A32" s="3090" t="s">
        <v>3239</v>
      </c>
      <c r="B32" s="8" t="s">
        <v>3235</v>
      </c>
      <c r="C32" s="1535"/>
    </row>
    <row r="33" spans="1:3">
      <c r="A33" s="3090" t="s">
        <v>3240</v>
      </c>
      <c r="B33" s="8" t="s">
        <v>3235</v>
      </c>
      <c r="C33" s="1535"/>
    </row>
    <row r="34" spans="1:3">
      <c r="A34" s="3090" t="s">
        <v>3241</v>
      </c>
      <c r="B34" s="8" t="s">
        <v>3235</v>
      </c>
      <c r="C34" s="1535"/>
    </row>
    <row r="35" spans="1:3">
      <c r="A35" s="3090" t="s">
        <v>3301</v>
      </c>
      <c r="B35" s="8" t="s">
        <v>1842</v>
      </c>
      <c r="C35" s="1535"/>
    </row>
    <row r="36" spans="1:3">
      <c r="A36" s="3090" t="s">
        <v>3305</v>
      </c>
      <c r="B36" s="8" t="s">
        <v>1842</v>
      </c>
      <c r="C36" s="1535"/>
    </row>
    <row r="37" spans="1:3">
      <c r="A37" s="3090" t="s">
        <v>3306</v>
      </c>
      <c r="B37" s="8" t="s">
        <v>1842</v>
      </c>
      <c r="C37" s="1535"/>
    </row>
    <row r="38" spans="1:3">
      <c r="A38" s="8" t="s">
        <v>1842</v>
      </c>
      <c r="B38" s="8" t="s">
        <v>1842</v>
      </c>
      <c r="C38" s="1535"/>
    </row>
    <row r="39" spans="1:3">
      <c r="A39" s="8" t="s">
        <v>1842</v>
      </c>
      <c r="B39" s="8" t="s">
        <v>1842</v>
      </c>
      <c r="C39" s="1535"/>
    </row>
    <row r="40" spans="1:3">
      <c r="A40" s="8" t="s">
        <v>1842</v>
      </c>
      <c r="B40" s="8" t="s">
        <v>1842</v>
      </c>
      <c r="C40" s="1535"/>
    </row>
    <row r="41" spans="1:3">
      <c r="A41" s="8" t="s">
        <v>1842</v>
      </c>
      <c r="B41" s="8" t="s">
        <v>1842</v>
      </c>
      <c r="C41" s="1535"/>
    </row>
    <row r="42" spans="1:3">
      <c r="A42" s="8" t="s">
        <v>1842</v>
      </c>
      <c r="B42" s="8" t="s">
        <v>1842</v>
      </c>
      <c r="C42" s="1535"/>
    </row>
    <row r="43" spans="1:3">
      <c r="A43" s="8" t="s">
        <v>1842</v>
      </c>
      <c r="B43" s="8" t="s">
        <v>1842</v>
      </c>
      <c r="C43" s="1535"/>
    </row>
    <row r="44" spans="1:3">
      <c r="A44" s="8" t="s">
        <v>1842</v>
      </c>
      <c r="B44" s="8" t="s">
        <v>1842</v>
      </c>
      <c r="C44" s="1535"/>
    </row>
    <row r="45" spans="1:3">
      <c r="A45" s="8" t="s">
        <v>1842</v>
      </c>
      <c r="B45" s="8" t="s">
        <v>1842</v>
      </c>
      <c r="C45" s="1535"/>
    </row>
    <row r="46" spans="1:3">
      <c r="A46" s="8" t="s">
        <v>1842</v>
      </c>
      <c r="B46" s="8" t="s">
        <v>1842</v>
      </c>
      <c r="C46" s="1535"/>
    </row>
    <row r="47" spans="1:3">
      <c r="A47" s="8" t="s">
        <v>1842</v>
      </c>
      <c r="B47" s="8" t="s">
        <v>1842</v>
      </c>
      <c r="C47" s="1535"/>
    </row>
    <row r="48" spans="1:3">
      <c r="A48" s="8" t="s">
        <v>1842</v>
      </c>
      <c r="B48" s="8" t="s">
        <v>1842</v>
      </c>
      <c r="C48" s="1535"/>
    </row>
    <row r="49" spans="1:5">
      <c r="A49" s="8" t="s">
        <v>1842</v>
      </c>
      <c r="B49" s="8" t="s">
        <v>1842</v>
      </c>
      <c r="C49" s="1535"/>
    </row>
    <row r="50" spans="1:5">
      <c r="A50" s="8" t="s">
        <v>1842</v>
      </c>
      <c r="B50" s="8" t="s">
        <v>1842</v>
      </c>
      <c r="C50" s="1535"/>
    </row>
    <row r="51" spans="1:5">
      <c r="A51" s="1740" t="s">
        <v>2161</v>
      </c>
      <c r="B51" s="174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北分）办理贷款手续过程中，特委托北京康正宏基房地产评估有限公司对估价对象进行评估。本次评估为确定标的物之抵押贷款额度提供参考依据而评估出让国有建设用地使用权抵押价格。</v>
      </c>
      <c r="C51" s="17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信开发拟使用北京市07出让国有建设用地使用权作为抵押担保物，向交通银行北分办理贷款手续。交通银行北分特委托北京康正宏基房地产评估有限公司对上述抵押物进行评估。本次评估为确定标的物之抵押贷款额度提供参考依据而评估出让国有建设用地使用权抵押价格。</v>
      </c>
      <c r="D51" s="174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2"/>
    </row>
    <row r="52" spans="1:5">
      <c r="A52" s="1740" t="s">
        <v>2210</v>
      </c>
      <c r="B52" s="1743" t="s">
        <v>2211</v>
      </c>
      <c r="C52" s="1741" t="s">
        <v>2212</v>
      </c>
      <c r="D52" s="1741" t="s">
        <v>2213</v>
      </c>
      <c r="E52" s="1742"/>
    </row>
    <row r="53" spans="1:5">
      <c r="A53" s="3256" t="s">
        <v>2214</v>
      </c>
      <c r="B53" s="1741" t="s">
        <v>2221</v>
      </c>
      <c r="C53" s="174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剩余土地使用年限为的出让国有建设用地使用权价格。</v>
      </c>
      <c r="D53" s="1742"/>
      <c r="E53" s="1742"/>
    </row>
    <row r="54" spans="1:5">
      <c r="A54" s="3256"/>
      <c r="B54" s="1741" t="s">
        <v>2222</v>
      </c>
      <c r="C54" s="174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2"/>
      <c r="E54" s="1742"/>
    </row>
    <row r="55" spans="1:5">
      <c r="A55" s="3256"/>
      <c r="B55" s="1741" t="s">
        <v>2215</v>
      </c>
      <c r="C55" s="174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2"/>
      <c r="E55" s="1742"/>
    </row>
    <row r="56" spans="1:5">
      <c r="A56" s="3256"/>
      <c r="B56" s="1741" t="s">
        <v>2216</v>
      </c>
      <c r="C56" s="174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2"/>
      <c r="E56" s="1742"/>
    </row>
    <row r="57" spans="1:5">
      <c r="A57" s="3256"/>
      <c r="B57" s="1741" t="s">
        <v>2217</v>
      </c>
      <c r="C57" s="17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2"/>
      <c r="E57" s="1742"/>
    </row>
    <row r="58" spans="1:5">
      <c r="A58" s="1744" t="s">
        <v>2274</v>
      </c>
      <c r="B58" s="1741" t="s">
        <v>2275</v>
      </c>
      <c r="C58" s="11" t="s">
        <v>2276</v>
      </c>
      <c r="D58" s="1304" t="s">
        <v>2277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J12" sqref="J12"/>
    </sheetView>
  </sheetViews>
  <sheetFormatPr defaultColWidth="10" defaultRowHeight="14.25"/>
  <cols>
    <col min="1" max="1" width="15.375" style="1667" customWidth="1"/>
    <col min="2" max="2" width="11.375" style="1667" customWidth="1"/>
    <col min="3" max="3" width="12.625" style="1667" customWidth="1"/>
    <col min="4" max="4" width="10" style="1667" customWidth="1"/>
    <col min="5" max="5" width="12.5" style="1667" customWidth="1"/>
    <col min="6" max="6" width="11.375" style="1667" customWidth="1"/>
    <col min="7" max="7" width="12.375" style="1667" customWidth="1"/>
    <col min="8" max="8" width="10" style="1667" customWidth="1"/>
    <col min="9" max="9" width="12.5" style="1669" customWidth="1"/>
    <col min="10" max="10" width="10" style="1667" customWidth="1"/>
    <col min="11" max="11" width="10" style="1746" customWidth="1"/>
    <col min="12" max="13" width="10" style="1668" customWidth="1"/>
    <col min="14" max="14" width="10" style="1667" customWidth="1"/>
    <col min="15" max="15" width="10" style="1669" customWidth="1"/>
    <col min="16" max="17" width="10" style="1667"/>
    <col min="18" max="18" width="10" style="1667" customWidth="1"/>
    <col min="19" max="16384" width="10" style="1667"/>
  </cols>
  <sheetData>
    <row r="1" spans="1:21" ht="15" thickBot="1">
      <c r="A1" s="1639" t="s">
        <v>2156</v>
      </c>
      <c r="B1" s="3272" t="str">
        <f>IF(B10="北京市","北京市",C10)&amp;F10&amp;B16&amp;"国有建设用地使用权"&amp;B9&amp;"预评估"</f>
        <v>北京市07出让国有建设用地使用权抵押价格预评估</v>
      </c>
      <c r="C1" s="3273"/>
      <c r="D1" s="3273"/>
      <c r="E1" s="3273"/>
      <c r="F1" s="3273"/>
      <c r="G1" s="3273"/>
      <c r="H1" s="3273"/>
      <c r="I1" s="3274"/>
      <c r="J1" s="1670"/>
      <c r="K1" s="2466" t="str">
        <f>IF(B10="北京市","北京市",C10)&amp;F10&amp;B16&amp;"国有建设用地使用权"&amp;B9</f>
        <v>北京市07出让国有建设用地使用权抵押价格</v>
      </c>
      <c r="L1" s="1696"/>
      <c r="M1" s="1696"/>
      <c r="N1" s="1670"/>
      <c r="O1" s="1671"/>
      <c r="P1" s="1670"/>
      <c r="Q1" s="1670"/>
      <c r="R1" s="1670"/>
      <c r="S1" s="1670"/>
      <c r="T1" s="1670"/>
      <c r="U1" s="1670"/>
    </row>
    <row r="2" spans="1:21">
      <c r="A2" s="1640" t="s">
        <v>2157</v>
      </c>
      <c r="B2" s="1814" t="s">
        <v>3026</v>
      </c>
      <c r="D2" s="1670"/>
      <c r="E2" s="1670"/>
      <c r="F2" s="1670"/>
      <c r="G2" s="1670"/>
      <c r="H2" s="1640"/>
      <c r="I2" s="1671"/>
      <c r="J2" s="1670"/>
      <c r="K2" s="2466" t="str">
        <f>IF(B10="北京市","北京市",C10)&amp;F10&amp;B16&amp;"国有建设用地使用权"</f>
        <v>北京市07出让国有建设用地使用权</v>
      </c>
      <c r="L2" s="1696"/>
      <c r="M2" s="1696"/>
      <c r="N2" s="1670"/>
      <c r="O2" s="1671"/>
      <c r="P2" s="1670"/>
      <c r="Q2" s="1670"/>
      <c r="R2" s="1670"/>
      <c r="S2" s="1670"/>
      <c r="T2" s="1670"/>
      <c r="U2" s="1670"/>
    </row>
    <row r="3" spans="1:21">
      <c r="A3" s="1641" t="s">
        <v>2158</v>
      </c>
      <c r="B3" s="1642">
        <v>42898</v>
      </c>
      <c r="C3" s="1643" t="s">
        <v>2219</v>
      </c>
      <c r="D3" s="1642">
        <f>B3</f>
        <v>42898</v>
      </c>
      <c r="E3" s="1670"/>
      <c r="F3" s="1670"/>
      <c r="G3" s="1670"/>
      <c r="H3" s="1640"/>
      <c r="I3" s="1671"/>
      <c r="J3" s="1670"/>
      <c r="K3" s="1747"/>
      <c r="L3" s="1696"/>
      <c r="M3" s="1696"/>
      <c r="N3" s="1670"/>
      <c r="O3" s="1671"/>
      <c r="P3" s="1670"/>
      <c r="Q3" s="1670"/>
      <c r="R3" s="1670"/>
      <c r="S3" s="1670"/>
      <c r="T3" s="1670"/>
      <c r="U3" s="1670"/>
    </row>
    <row r="4" spans="1:21" ht="15" thickBot="1">
      <c r="A4" s="1644" t="s">
        <v>2159</v>
      </c>
      <c r="B4" s="3071" t="s">
        <v>3177</v>
      </c>
      <c r="C4" s="1817">
        <f ca="1">SUMIF(土地估价师,B4,估价师及机构信息!E3:E24)</f>
        <v>2000110082</v>
      </c>
      <c r="D4" s="3071" t="s">
        <v>3178</v>
      </c>
      <c r="E4" s="1817">
        <f ca="1">SUMIF(土地估价师,D4,估价师及机构信息!E3:E24)</f>
        <v>96010014</v>
      </c>
      <c r="F4" s="1815" t="s">
        <v>1149</v>
      </c>
      <c r="G4" s="1817">
        <f>SUMIF(土地估价师,F4,估价师及机构信息!E3:E24)</f>
        <v>0</v>
      </c>
      <c r="H4" s="1815" t="s">
        <v>1149</v>
      </c>
      <c r="I4" s="1817">
        <f>SUMIF(土地估价师,H4,估价师及机构信息!E3:E24)</f>
        <v>0</v>
      </c>
      <c r="J4" s="1670"/>
      <c r="K4" s="2466" t="str">
        <f>IF(AND(F4="——",H4="——"),B4&amp;"、"&amp;D4,IF(AND(F4&lt;&gt;"——",H4="——"),B4&amp;"、"&amp;D4&amp;"、"&amp;F4,B4&amp;"、"&amp;D4&amp;"、"&amp;F4&amp;"、"&amp;H4))</f>
        <v>欧红伟、梁津</v>
      </c>
      <c r="L4" s="1696"/>
      <c r="M4" s="1696"/>
      <c r="N4" s="1670"/>
      <c r="O4" s="1671"/>
      <c r="P4" s="1670"/>
      <c r="Q4" s="1670"/>
      <c r="R4" s="1670"/>
      <c r="S4" s="1670"/>
      <c r="T4" s="1670"/>
      <c r="U4" s="1670"/>
    </row>
    <row r="5" spans="1:21" ht="15" thickTop="1">
      <c r="A5" s="1645" t="s">
        <v>2160</v>
      </c>
      <c r="B5" s="1762" t="s">
        <v>3025</v>
      </c>
      <c r="C5" s="1646"/>
      <c r="D5" s="1647"/>
      <c r="E5" s="1670"/>
      <c r="F5" s="1670"/>
      <c r="G5" s="1670"/>
      <c r="H5" s="1640"/>
      <c r="I5" s="1671"/>
      <c r="J5" s="1670"/>
      <c r="K5" s="1747"/>
      <c r="L5" s="1696"/>
      <c r="M5" s="1696"/>
      <c r="N5" s="1670"/>
      <c r="O5" s="1671"/>
      <c r="P5" s="1670"/>
      <c r="Q5" s="1670"/>
      <c r="R5" s="1670"/>
      <c r="S5" s="1670"/>
      <c r="T5" s="1670"/>
      <c r="U5" s="1670"/>
    </row>
    <row r="6" spans="1:21" ht="26.25">
      <c r="A6" s="1643" t="s">
        <v>2986</v>
      </c>
      <c r="B6" s="1762" t="s">
        <v>3176</v>
      </c>
      <c r="C6" s="1734"/>
      <c r="D6" s="1648"/>
      <c r="E6" s="1670"/>
      <c r="F6" s="1670"/>
      <c r="G6" s="1670"/>
      <c r="H6" s="1640"/>
      <c r="I6" s="1671"/>
      <c r="J6" s="1670"/>
      <c r="K6" s="3058" t="str">
        <f>IF(COUNTIF(B6,"*上海银行*"),"上海银行","")</f>
        <v/>
      </c>
      <c r="L6" s="1696"/>
      <c r="M6" s="1696"/>
      <c r="N6" s="1670"/>
      <c r="O6" s="1671"/>
      <c r="P6" s="1670"/>
      <c r="Q6" s="1670"/>
      <c r="R6" s="1670"/>
      <c r="S6" s="1670"/>
      <c r="T6" s="1670"/>
      <c r="U6" s="1670"/>
    </row>
    <row r="7" spans="1:21">
      <c r="A7" s="1649" t="s">
        <v>2987</v>
      </c>
      <c r="B7" s="1762" t="s">
        <v>2988</v>
      </c>
      <c r="C7" s="1734"/>
      <c r="D7" s="1648"/>
      <c r="E7" s="1670"/>
      <c r="F7" s="1670"/>
      <c r="G7" s="1670"/>
      <c r="H7" s="1640"/>
      <c r="I7" s="1671"/>
      <c r="J7" s="1670"/>
      <c r="K7" s="1747"/>
      <c r="L7" s="1696"/>
      <c r="M7" s="1696"/>
      <c r="N7" s="1670"/>
      <c r="O7" s="1671"/>
      <c r="P7" s="1670"/>
      <c r="Q7" s="1670"/>
      <c r="R7" s="1670"/>
      <c r="S7" s="1670"/>
      <c r="T7" s="1670"/>
      <c r="U7" s="1670"/>
    </row>
    <row r="8" spans="1:21">
      <c r="A8" s="1649" t="s">
        <v>2161</v>
      </c>
      <c r="B8" s="3072" t="s">
        <v>3179</v>
      </c>
      <c r="C8" s="1650"/>
      <c r="D8" s="3278" t="s">
        <v>2163</v>
      </c>
      <c r="E8" s="3076" t="s">
        <v>2220</v>
      </c>
      <c r="F8" s="1651"/>
      <c r="G8" s="1640"/>
      <c r="H8" s="1640"/>
      <c r="I8" s="1681"/>
      <c r="J8" s="1670"/>
      <c r="K8" s="1747"/>
      <c r="L8" s="1696"/>
      <c r="M8" s="1696"/>
      <c r="N8" s="1670"/>
      <c r="O8" s="1671"/>
      <c r="P8" s="1670"/>
      <c r="Q8" s="1670"/>
      <c r="R8" s="1670"/>
      <c r="S8" s="1670"/>
      <c r="T8" s="1670"/>
      <c r="U8" s="1670"/>
    </row>
    <row r="9" spans="1:21" ht="15" thickBot="1">
      <c r="A9" s="1652" t="s">
        <v>2162</v>
      </c>
      <c r="B9" s="3073" t="s">
        <v>2220</v>
      </c>
      <c r="C9" s="1653"/>
      <c r="D9" s="3279"/>
      <c r="E9" s="3073" t="s">
        <v>1149</v>
      </c>
      <c r="F9" s="1720"/>
      <c r="G9" s="1715"/>
      <c r="H9" s="1715"/>
      <c r="I9" s="1716"/>
      <c r="J9" s="1670"/>
      <c r="K9" s="1747"/>
      <c r="L9" s="1696"/>
      <c r="M9" s="1696"/>
      <c r="N9" s="1670"/>
      <c r="O9" s="1671"/>
      <c r="P9" s="1670"/>
      <c r="Q9" s="1670"/>
      <c r="R9" s="1670"/>
      <c r="S9" s="1670"/>
      <c r="T9" s="1670"/>
      <c r="U9" s="1670"/>
    </row>
    <row r="10" spans="1:21" ht="15" thickTop="1">
      <c r="A10" s="1717" t="s">
        <v>2223</v>
      </c>
      <c r="B10" s="3074" t="s">
        <v>2164</v>
      </c>
      <c r="C10" s="1654"/>
      <c r="D10" s="1647"/>
      <c r="E10" s="1655" t="s">
        <v>2165</v>
      </c>
      <c r="F10" s="1656" t="s">
        <v>3180</v>
      </c>
      <c r="G10" s="1718"/>
      <c r="H10" s="1719"/>
      <c r="I10" s="1647"/>
      <c r="J10" s="1670"/>
      <c r="K10" s="1747"/>
      <c r="L10" s="1696"/>
      <c r="M10" s="1696"/>
      <c r="N10" s="1670"/>
      <c r="O10" s="1671"/>
      <c r="P10" s="1670"/>
      <c r="Q10" s="1670"/>
      <c r="R10" s="1670"/>
      <c r="S10" s="1670"/>
      <c r="T10" s="1670"/>
      <c r="U10" s="1670"/>
    </row>
    <row r="11" spans="1:21">
      <c r="A11" s="1673" t="s">
        <v>2224</v>
      </c>
      <c r="B11" s="3075" t="s">
        <v>2166</v>
      </c>
      <c r="C11" s="1657" t="s">
        <v>2273</v>
      </c>
      <c r="D11" s="1735"/>
      <c r="E11" s="1640"/>
      <c r="F11" s="1640"/>
      <c r="G11" s="1640"/>
      <c r="H11" s="1640"/>
      <c r="I11" s="1640"/>
      <c r="J11" s="1670"/>
      <c r="K11" s="1747"/>
      <c r="L11" s="1696"/>
      <c r="M11" s="1696"/>
      <c r="N11" s="1670"/>
      <c r="O11" s="1671"/>
      <c r="P11" s="1670"/>
      <c r="Q11" s="1670"/>
      <c r="R11" s="1670"/>
      <c r="S11" s="1670"/>
      <c r="T11" s="1670"/>
      <c r="U11" s="1670"/>
    </row>
    <row r="12" spans="1:21">
      <c r="A12" s="1758" t="s">
        <v>2285</v>
      </c>
      <c r="B12" s="3275"/>
      <c r="C12" s="3276"/>
      <c r="D12" s="3277"/>
      <c r="E12" s="1674" t="s">
        <v>2288</v>
      </c>
      <c r="F12" s="3293"/>
      <c r="G12" s="3294"/>
      <c r="H12" s="3294"/>
      <c r="I12" s="3295"/>
      <c r="J12" s="1670"/>
      <c r="K12" s="1747"/>
      <c r="L12" s="1696"/>
      <c r="M12" s="1696"/>
      <c r="N12" s="1670"/>
      <c r="O12" s="1671"/>
      <c r="P12" s="1670"/>
      <c r="Q12" s="1670"/>
      <c r="R12" s="1670"/>
      <c r="S12" s="1670"/>
      <c r="T12" s="1670"/>
      <c r="U12" s="1670"/>
    </row>
    <row r="13" spans="1:21">
      <c r="A13" s="1664" t="s">
        <v>2286</v>
      </c>
      <c r="B13" s="3275"/>
      <c r="C13" s="3276"/>
      <c r="D13" s="3277"/>
      <c r="E13" s="1674" t="s">
        <v>2288</v>
      </c>
      <c r="F13" s="3293"/>
      <c r="G13" s="3294"/>
      <c r="H13" s="3294"/>
      <c r="I13" s="3295"/>
      <c r="J13" s="1670"/>
      <c r="K13" s="1747"/>
      <c r="L13" s="1696"/>
      <c r="M13" s="1696"/>
      <c r="N13" s="1670"/>
      <c r="O13" s="1671"/>
      <c r="P13" s="1670"/>
      <c r="Q13" s="1670"/>
      <c r="R13" s="1670"/>
      <c r="S13" s="1670"/>
      <c r="T13" s="1670"/>
      <c r="U13" s="1670"/>
    </row>
    <row r="14" spans="1:21">
      <c r="A14" s="1641" t="s">
        <v>2289</v>
      </c>
      <c r="B14" s="1674"/>
      <c r="C14" s="1816" t="s">
        <v>3182</v>
      </c>
      <c r="D14" s="1706" t="str">
        <f>IF(C14="不一致","是否符合证载地类范围","")</f>
        <v/>
      </c>
      <c r="E14" s="1674"/>
      <c r="F14" s="1763" t="s">
        <v>1149</v>
      </c>
      <c r="G14" s="1701"/>
      <c r="H14" s="1701"/>
      <c r="I14" s="1809"/>
      <c r="J14" s="1670"/>
      <c r="K14" s="1747"/>
      <c r="L14" s="1696"/>
      <c r="M14" s="1696"/>
      <c r="N14" s="1670"/>
      <c r="O14" s="1671"/>
      <c r="P14" s="1670"/>
      <c r="Q14" s="1670"/>
      <c r="R14" s="1670"/>
      <c r="S14" s="1670"/>
      <c r="T14" s="1670"/>
      <c r="U14" s="1670"/>
    </row>
    <row r="15" spans="1:21" hidden="1">
      <c r="A15" s="2658"/>
      <c r="B15" s="1643"/>
      <c r="C15" s="1643"/>
      <c r="D15" s="1739" t="s">
        <v>2169</v>
      </c>
      <c r="E15" s="1739" t="s">
        <v>2170</v>
      </c>
      <c r="F15" s="1739" t="s">
        <v>2171</v>
      </c>
      <c r="G15" s="1663" t="s">
        <v>2172</v>
      </c>
      <c r="H15" s="1663" t="s">
        <v>2173</v>
      </c>
      <c r="I15" s="1663" t="s">
        <v>2174</v>
      </c>
      <c r="J15" s="1670"/>
      <c r="K15" s="1747"/>
      <c r="L15" s="1696"/>
      <c r="M15" s="1696"/>
      <c r="N15" s="1670"/>
      <c r="O15" s="1671"/>
      <c r="P15" s="1670"/>
      <c r="Q15" s="1670"/>
      <c r="R15" s="1670"/>
      <c r="S15" s="1670"/>
      <c r="T15" s="1670"/>
      <c r="U15" s="1670"/>
    </row>
    <row r="16" spans="1:21" ht="57">
      <c r="A16" s="1658" t="s">
        <v>2167</v>
      </c>
      <c r="B16" s="3077" t="s">
        <v>3181</v>
      </c>
      <c r="C16" s="1674" t="s">
        <v>2168</v>
      </c>
      <c r="D16" s="2659" t="s">
        <v>2169</v>
      </c>
      <c r="E16" s="1695" t="s">
        <v>1886</v>
      </c>
      <c r="F16" s="1695" t="s">
        <v>2846</v>
      </c>
      <c r="G16" s="1695" t="s">
        <v>47</v>
      </c>
      <c r="H16" s="1695" t="s">
        <v>2847</v>
      </c>
      <c r="I16" s="1663" t="s">
        <v>2174</v>
      </c>
      <c r="J16" s="1670"/>
      <c r="K16" s="2467" t="str">
        <f>IF(D17="","",D16&amp;TEXT(D17,"yyyy年m月d日;;"))</f>
        <v>住宅2085年11月11日</v>
      </c>
      <c r="L16" s="1674" t="str">
        <f>IF(OR(K16="",M16=""),"","、")</f>
        <v>、</v>
      </c>
      <c r="M16" s="2467" t="str">
        <f>IF(E17="","",E16&amp;TEXT(E17,"yyyy年m月d日;;"))</f>
        <v>商业2055年11月11日</v>
      </c>
      <c r="N16" s="1674" t="str">
        <f>IF(OR(M16="",O16=""),"","、")</f>
        <v>、</v>
      </c>
      <c r="O16" s="2467" t="str">
        <f>IF(F17="","",F16&amp;TEXT(F17,"yyyy年m月d日;;"))</f>
        <v>办公及地下办公2065年11月11日</v>
      </c>
      <c r="P16" s="1674" t="str">
        <f>IF(OR(O16="",Q16=""),"","、")</f>
        <v>、</v>
      </c>
      <c r="Q16" s="2467" t="str">
        <f>IF(G17="","",G16&amp;TEXT(G17,"yyyy年m月d日;;"))</f>
        <v>地下车库2065年11月11日</v>
      </c>
      <c r="R16" s="1674" t="str">
        <f>IF(OR(Q16="",S16=""),"","、")</f>
        <v>、</v>
      </c>
      <c r="S16" s="2467" t="str">
        <f>IF(H17="","",H16&amp;TEXT(H17,"yyyy年m月d日;;"))</f>
        <v>地下仓储2065年11月11日</v>
      </c>
      <c r="T16" s="1674" t="str">
        <f>IF(OR(S16="",U16=""),"","、")</f>
        <v/>
      </c>
      <c r="U16" s="2467" t="str">
        <f>IF(I17="","",I16&amp;TEXT(I17,"yyyy年m月d日;;"))</f>
        <v/>
      </c>
    </row>
    <row r="17" spans="1:21">
      <c r="A17" s="1736"/>
      <c r="B17" s="1659"/>
      <c r="C17" s="1660" t="s">
        <v>2175</v>
      </c>
      <c r="D17" s="3078">
        <v>67887</v>
      </c>
      <c r="E17" s="3078">
        <v>56929</v>
      </c>
      <c r="F17" s="3078">
        <v>60582</v>
      </c>
      <c r="G17" s="3078">
        <f>F17</f>
        <v>60582</v>
      </c>
      <c r="H17" s="3078">
        <f>G17</f>
        <v>60582</v>
      </c>
      <c r="I17" s="1675"/>
      <c r="J17" s="1670"/>
      <c r="K17" s="2466" t="str">
        <f>CONCATENATE(K16,L16,M16,N16,O16,P16,Q16,R16,S16,T16,,U16)</f>
        <v>住宅2085年11月11日、商业2055年11月11日、办公及地下办公2065年11月11日、地下车库2065年11月11日、地下仓储2065年11月11日</v>
      </c>
      <c r="L17" s="1696"/>
      <c r="M17" s="1696"/>
      <c r="N17" s="1670"/>
      <c r="O17" s="1671"/>
      <c r="P17" s="1670"/>
      <c r="Q17" s="1670"/>
      <c r="R17" s="1670"/>
      <c r="S17" s="1670"/>
      <c r="T17" s="1670"/>
      <c r="U17" s="1670"/>
    </row>
    <row r="18" spans="1:21">
      <c r="A18" s="1736"/>
      <c r="B18" s="1659"/>
      <c r="C18" s="1660" t="s">
        <v>2176</v>
      </c>
      <c r="D18" s="1661">
        <v>70</v>
      </c>
      <c r="E18" s="1661">
        <v>40</v>
      </c>
      <c r="F18" s="1661">
        <v>50</v>
      </c>
      <c r="G18" s="1661">
        <v>50</v>
      </c>
      <c r="H18" s="1661">
        <v>50</v>
      </c>
      <c r="I18" s="1661">
        <v>50</v>
      </c>
      <c r="J18" s="1670"/>
      <c r="K18" s="1747"/>
      <c r="L18" s="1696"/>
      <c r="M18" s="1696"/>
      <c r="N18" s="1670"/>
      <c r="O18" s="1671"/>
      <c r="P18" s="1670"/>
      <c r="Q18" s="1670"/>
      <c r="R18" s="1670"/>
      <c r="S18" s="1670"/>
      <c r="T18" s="1670"/>
      <c r="U18" s="1670"/>
    </row>
    <row r="19" spans="1:21">
      <c r="A19" s="1736"/>
      <c r="B19" s="1659"/>
      <c r="C19" s="1640" t="s">
        <v>2177</v>
      </c>
      <c r="D19" s="1731">
        <f>IF(B16="出让",IF(D17="","",ROUNDDOWN(MIN((D17-$D$3)/365,D18),2)),D18)</f>
        <v>68.459999999999994</v>
      </c>
      <c r="E19" s="1662">
        <f>IF(B16="出让",IF(E17="","",ROUNDDOWN(MIN((E17-$D$3)/365,E18),2)),E18)</f>
        <v>38.44</v>
      </c>
      <c r="F19" s="1662">
        <f>IF(B16="出让",IF(F17="","",ROUNDDOWN(MIN((F17-$D$3)/365,F18),2)),F18)</f>
        <v>48.44</v>
      </c>
      <c r="G19" s="1662">
        <f>IF(B16="出让",IF(G17="","",ROUNDDOWN(MIN((G17-$D$3)/365,G18),2)),G18)</f>
        <v>48.44</v>
      </c>
      <c r="H19" s="1662">
        <f>IF(B16="出让",IF(H17="","",ROUNDDOWN(MIN((H17-$D$3)/365,H18),2)),H18)</f>
        <v>48.44</v>
      </c>
      <c r="I19" s="1662" t="str">
        <f>IF(B16="出让",IF(I17="","",ROUNDDOWN(MIN((I17-$D$3)/365,I18),2)),I18)</f>
        <v/>
      </c>
      <c r="J19" s="1670"/>
      <c r="K19" s="1747"/>
      <c r="L19" s="1696"/>
      <c r="M19" s="1696"/>
      <c r="N19" s="1670"/>
      <c r="O19" s="1671"/>
      <c r="P19" s="1670"/>
      <c r="Q19" s="1670"/>
      <c r="R19" s="1670"/>
      <c r="S19" s="1670"/>
      <c r="T19" s="1670"/>
      <c r="U19" s="1670"/>
    </row>
    <row r="20" spans="1:21">
      <c r="A20" s="1759"/>
      <c r="B20" s="1760"/>
      <c r="C20" s="1761" t="s">
        <v>2287</v>
      </c>
      <c r="D20" s="3290"/>
      <c r="E20" s="3291"/>
      <c r="F20" s="3291"/>
      <c r="G20" s="3291"/>
      <c r="H20" s="3291"/>
      <c r="I20" s="3292"/>
      <c r="J20" s="1670"/>
      <c r="K20" s="1747"/>
      <c r="L20" s="1696"/>
      <c r="M20" s="1696"/>
      <c r="N20" s="1670"/>
      <c r="O20" s="1671"/>
      <c r="P20" s="1670"/>
      <c r="Q20" s="1670"/>
      <c r="R20" s="1670"/>
      <c r="S20" s="1670"/>
      <c r="T20" s="1670"/>
      <c r="U20" s="1670"/>
    </row>
    <row r="21" spans="1:21">
      <c r="A21" s="1736" t="s">
        <v>2178</v>
      </c>
      <c r="B21" s="1737" t="s">
        <v>2179</v>
      </c>
      <c r="C21" s="1732">
        <f>'数据-汇总表'!E3</f>
        <v>507462.25</v>
      </c>
      <c r="D21" s="1733" t="s">
        <v>2180</v>
      </c>
      <c r="E21" s="3280" t="s">
        <v>3183</v>
      </c>
      <c r="F21" s="3281"/>
      <c r="G21" s="3281"/>
      <c r="H21" s="3281"/>
      <c r="I21" s="3282"/>
      <c r="J21" s="1670"/>
      <c r="K21" s="1747"/>
      <c r="L21" s="1696"/>
      <c r="M21" s="1696"/>
      <c r="N21" s="1670"/>
      <c r="O21" s="1671"/>
      <c r="P21" s="1670"/>
      <c r="Q21" s="1670"/>
      <c r="R21" s="1670"/>
      <c r="S21" s="1670"/>
      <c r="T21" s="1670"/>
      <c r="U21" s="1670"/>
    </row>
    <row r="22" spans="1:21">
      <c r="A22" s="2650" t="s">
        <v>1149</v>
      </c>
      <c r="B22" s="1641" t="s">
        <v>2181</v>
      </c>
      <c r="C22" s="1663">
        <f>'数据-汇总表'!D3</f>
        <v>114029.21</v>
      </c>
      <c r="D22" s="1664" t="s">
        <v>2180</v>
      </c>
      <c r="E22" s="3280" t="s">
        <v>3184</v>
      </c>
      <c r="F22" s="3281"/>
      <c r="G22" s="3281"/>
      <c r="H22" s="3281"/>
      <c r="I22" s="3282"/>
      <c r="J22" s="1670"/>
      <c r="K22" s="1747"/>
      <c r="L22" s="1696"/>
      <c r="M22" s="1696"/>
      <c r="N22" s="1670"/>
      <c r="O22" s="1671"/>
      <c r="P22" s="1670"/>
      <c r="Q22" s="1670"/>
      <c r="R22" s="1670"/>
      <c r="S22" s="1670"/>
      <c r="T22" s="1670"/>
      <c r="U22" s="1670"/>
    </row>
    <row r="23" spans="1:21" ht="43.5" thickBot="1">
      <c r="A23" s="1738" t="s">
        <v>2182</v>
      </c>
      <c r="B23" s="1676" t="s">
        <v>2183</v>
      </c>
      <c r="C23" s="3079" t="s">
        <v>1889</v>
      </c>
      <c r="D23" s="1677" t="s">
        <v>2184</v>
      </c>
      <c r="E23" s="1678" t="s">
        <v>1885</v>
      </c>
      <c r="F23" s="1679" t="str">
        <f>IF(AND(C23="是",E23="否"),"是否提供他项权证或相关说明","")</f>
        <v>是否提供他项权证或相关说明</v>
      </c>
      <c r="G23" s="1680" t="s">
        <v>1885</v>
      </c>
      <c r="H23" s="1670"/>
      <c r="I23" s="1681"/>
      <c r="J23" s="1670"/>
      <c r="K23" s="1747"/>
      <c r="L23" s="1696"/>
      <c r="M23" s="1696"/>
      <c r="N23" s="1670"/>
      <c r="O23" s="1671"/>
      <c r="P23" s="1670"/>
      <c r="Q23" s="1670"/>
      <c r="R23" s="1670"/>
      <c r="S23" s="1670"/>
      <c r="T23" s="1670"/>
      <c r="U23" s="1670"/>
    </row>
    <row r="24" spans="1:21">
      <c r="A24" s="1723" t="s">
        <v>2185</v>
      </c>
      <c r="B24" s="3283" t="s">
        <v>2186</v>
      </c>
      <c r="C24" s="3284"/>
      <c r="D24" s="3285" t="s">
        <v>2187</v>
      </c>
      <c r="E24" s="3286"/>
      <c r="F24" s="1682" t="s">
        <v>2188</v>
      </c>
      <c r="G24" s="1670"/>
      <c r="H24" s="1670"/>
      <c r="I24" s="1681"/>
      <c r="J24" s="1670"/>
      <c r="K24" s="3271" t="s">
        <v>2189</v>
      </c>
      <c r="L24" s="2468" t="str">
        <f>"根据估价对象"&amp;IF(B26="——",B25&amp;C25,B25&amp;C25&amp;"、"&amp;B26&amp;C26)&amp;"，"&amp;IF(C23="是","截至估价期日，估价对象已设定抵押。","截至估价期日，估价对象抵押权未见登记。")</f>
        <v>根据估价对象《房屋所有权证》原件、，截至估价期日，估价对象已设定抵押。</v>
      </c>
      <c r="M24" s="1696"/>
      <c r="N24" s="1670"/>
      <c r="O24" s="1671"/>
      <c r="P24" s="1670"/>
      <c r="Q24" s="1670"/>
      <c r="R24" s="1670"/>
      <c r="S24" s="1670"/>
      <c r="T24" s="1670"/>
      <c r="U24" s="1670"/>
    </row>
    <row r="25" spans="1:21" ht="28.5">
      <c r="A25" s="1724"/>
      <c r="B25" s="1721" t="s">
        <v>3185</v>
      </c>
      <c r="C25" s="1683" t="s">
        <v>2190</v>
      </c>
      <c r="D25" s="1684"/>
      <c r="E25" s="1685" t="s">
        <v>1149</v>
      </c>
      <c r="F25" s="1686"/>
      <c r="G25" s="1670"/>
      <c r="H25" s="1670"/>
      <c r="I25" s="1681"/>
      <c r="J25" s="1670"/>
      <c r="K25" s="3271"/>
      <c r="L25" s="24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96"/>
      <c r="N25" s="1670"/>
      <c r="O25" s="1671"/>
      <c r="P25" s="1670"/>
      <c r="Q25" s="1670"/>
      <c r="R25" s="1670"/>
      <c r="S25" s="1670"/>
      <c r="T25" s="1670"/>
      <c r="U25" s="1670"/>
    </row>
    <row r="26" spans="1:21" ht="15" thickBot="1">
      <c r="A26" s="1725"/>
      <c r="B26" s="1722"/>
      <c r="C26" s="1683"/>
      <c r="D26" s="1640"/>
      <c r="E26" s="1640"/>
      <c r="F26" s="1665"/>
      <c r="G26" s="1670"/>
      <c r="H26" s="1670"/>
      <c r="I26" s="1681"/>
      <c r="J26" s="1670"/>
      <c r="K26" s="3271"/>
      <c r="L26" s="24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6"/>
      <c r="N26" s="1670"/>
      <c r="O26" s="1671"/>
      <c r="P26" s="1670"/>
      <c r="Q26" s="1670"/>
      <c r="R26" s="1670"/>
      <c r="S26" s="1670"/>
      <c r="T26" s="1670"/>
      <c r="U26" s="1670"/>
    </row>
    <row r="27" spans="1:21">
      <c r="A27" s="1728" t="s">
        <v>2191</v>
      </c>
      <c r="B27" s="1726" t="s">
        <v>2192</v>
      </c>
      <c r="C27" s="1687"/>
      <c r="D27" s="2664" t="s">
        <v>2192</v>
      </c>
      <c r="E27" s="1688"/>
      <c r="F27" s="1665"/>
      <c r="G27" s="1670"/>
      <c r="H27" s="1670"/>
      <c r="I27" s="1681"/>
      <c r="J27" s="1670"/>
      <c r="K27" s="1747"/>
      <c r="L27" s="1696"/>
      <c r="M27" s="1696"/>
      <c r="N27" s="1670"/>
      <c r="O27" s="1671"/>
      <c r="P27" s="1670"/>
      <c r="Q27" s="1670"/>
      <c r="R27" s="1670"/>
      <c r="S27" s="1670"/>
      <c r="T27" s="1670"/>
      <c r="U27" s="1670"/>
    </row>
    <row r="28" spans="1:21">
      <c r="A28" s="1729"/>
      <c r="B28" s="1726" t="s">
        <v>2193</v>
      </c>
      <c r="C28" s="1689"/>
      <c r="D28" s="2665" t="s">
        <v>2193</v>
      </c>
      <c r="E28" s="1690"/>
      <c r="F28" s="1665"/>
      <c r="G28" s="1670"/>
      <c r="H28" s="1670"/>
      <c r="I28" s="1681"/>
      <c r="J28" s="1670"/>
      <c r="K28" s="1747"/>
      <c r="L28" s="1696"/>
      <c r="M28" s="1696"/>
      <c r="N28" s="1670"/>
      <c r="O28" s="1671"/>
      <c r="P28" s="1670"/>
      <c r="Q28" s="1670"/>
      <c r="R28" s="1670"/>
      <c r="S28" s="1670"/>
      <c r="T28" s="1670"/>
      <c r="U28" s="1670"/>
    </row>
    <row r="29" spans="1:21">
      <c r="A29" s="1729"/>
      <c r="B29" s="1726" t="s">
        <v>2194</v>
      </c>
      <c r="C29" s="1689"/>
      <c r="D29" s="2665" t="s">
        <v>2194</v>
      </c>
      <c r="E29" s="1690"/>
      <c r="F29" s="1665"/>
      <c r="G29" s="1670"/>
      <c r="H29" s="1670"/>
      <c r="I29" s="1681"/>
      <c r="J29" s="1670"/>
      <c r="K29" s="1747"/>
      <c r="L29" s="1696"/>
      <c r="M29" s="1696"/>
      <c r="N29" s="1670"/>
      <c r="O29" s="1671"/>
      <c r="P29" s="1670"/>
      <c r="Q29" s="1670"/>
      <c r="R29" s="1670"/>
      <c r="S29" s="1670"/>
      <c r="T29" s="1670"/>
      <c r="U29" s="1670"/>
    </row>
    <row r="30" spans="1:21" ht="15" thickBot="1">
      <c r="A30" s="1730"/>
      <c r="B30" s="1727" t="s">
        <v>2195</v>
      </c>
      <c r="C30" s="1691"/>
      <c r="D30" s="2666" t="s">
        <v>2195</v>
      </c>
      <c r="E30" s="1692"/>
      <c r="F30" s="1666"/>
      <c r="G30" s="1715"/>
      <c r="H30" s="1715"/>
      <c r="I30" s="1716"/>
      <c r="J30" s="1670"/>
      <c r="K30" s="1747"/>
      <c r="L30" s="1696"/>
      <c r="M30" s="1696"/>
      <c r="N30" s="1670"/>
      <c r="O30" s="1671"/>
      <c r="P30" s="1670"/>
      <c r="Q30" s="1670"/>
      <c r="R30" s="1670"/>
      <c r="S30" s="1670"/>
      <c r="T30" s="1670"/>
      <c r="U30" s="1670"/>
    </row>
    <row r="31" spans="1:21" ht="15" thickTop="1">
      <c r="A31" s="3257" t="s">
        <v>2225</v>
      </c>
      <c r="B31" s="1737" t="s">
        <v>2226</v>
      </c>
      <c r="C31" s="3296" t="s">
        <v>3186</v>
      </c>
      <c r="D31" s="3297"/>
      <c r="E31" s="1670"/>
      <c r="F31" s="1670"/>
      <c r="G31" s="1670"/>
      <c r="H31" s="1670"/>
      <c r="I31" s="1681"/>
      <c r="J31" s="1670"/>
      <c r="K31" s="2469"/>
      <c r="L31" s="1670"/>
      <c r="M31" s="1670"/>
      <c r="N31" s="1670"/>
      <c r="O31" s="1670"/>
      <c r="P31" s="1670"/>
      <c r="Q31" s="1670"/>
      <c r="R31" s="1670"/>
      <c r="S31" s="1670"/>
      <c r="T31" s="1670"/>
      <c r="U31" s="1670"/>
    </row>
    <row r="32" spans="1:21">
      <c r="A32" s="3257"/>
      <c r="B32" s="1641" t="s">
        <v>2227</v>
      </c>
      <c r="C32" s="3056" t="s">
        <v>1144</v>
      </c>
      <c r="D32" s="1693"/>
      <c r="E32" s="1670"/>
      <c r="F32" s="1670"/>
      <c r="G32" s="1670"/>
      <c r="H32" s="1670"/>
      <c r="I32" s="1681"/>
      <c r="J32" s="1670"/>
      <c r="K32" s="2469"/>
      <c r="L32" s="1670"/>
      <c r="M32" s="1670"/>
      <c r="N32" s="1670"/>
      <c r="O32" s="1670"/>
      <c r="P32" s="1670"/>
      <c r="Q32" s="1670"/>
      <c r="R32" s="1670"/>
      <c r="S32" s="1670"/>
      <c r="T32" s="1670"/>
      <c r="U32" s="1670"/>
    </row>
    <row r="33" spans="1:21">
      <c r="A33" s="3257"/>
      <c r="B33" s="1641" t="s">
        <v>2228</v>
      </c>
      <c r="C33" s="1694" t="s">
        <v>3187</v>
      </c>
      <c r="D33" s="1810"/>
      <c r="E33" s="1670"/>
      <c r="F33" s="1670"/>
      <c r="G33" s="1670"/>
      <c r="H33" s="1670"/>
      <c r="I33" s="1681"/>
      <c r="J33" s="1670"/>
      <c r="K33" s="2469"/>
      <c r="L33" s="1670"/>
      <c r="M33" s="1670"/>
      <c r="N33" s="1670"/>
      <c r="O33" s="1670"/>
      <c r="P33" s="1670"/>
      <c r="Q33" s="1670"/>
      <c r="R33" s="1670"/>
      <c r="S33" s="1670"/>
      <c r="T33" s="1670"/>
      <c r="U33" s="1670"/>
    </row>
    <row r="34" spans="1:21">
      <c r="A34" s="3258"/>
      <c r="B34" s="1641" t="s">
        <v>2229</v>
      </c>
      <c r="C34" s="3259" t="s">
        <v>3188</v>
      </c>
      <c r="D34" s="3260"/>
      <c r="E34" s="1670"/>
      <c r="F34" s="1670"/>
      <c r="G34" s="1670"/>
      <c r="H34" s="1670"/>
      <c r="I34" s="1681"/>
      <c r="J34" s="1670"/>
      <c r="K34" s="2469"/>
      <c r="L34" s="1670"/>
      <c r="M34" s="1670"/>
      <c r="N34" s="1670"/>
      <c r="O34" s="1670"/>
      <c r="P34" s="1670"/>
      <c r="Q34" s="1670"/>
      <c r="R34" s="1670"/>
      <c r="S34" s="1670"/>
      <c r="T34" s="1670"/>
      <c r="U34" s="1670"/>
    </row>
    <row r="35" spans="1:21" ht="28.5" customHeight="1">
      <c r="A35" s="3261" t="s">
        <v>1035</v>
      </c>
      <c r="B35" s="1695" t="s">
        <v>2931</v>
      </c>
      <c r="C35" s="1749" t="str">
        <f>IF(B35="场地平整","——","具体情况：")</f>
        <v>具体情况：</v>
      </c>
      <c r="D35" s="3263" t="s">
        <v>3189</v>
      </c>
      <c r="E35" s="3264"/>
      <c r="F35" s="3264"/>
      <c r="G35" s="3264"/>
      <c r="H35" s="3264"/>
      <c r="I35" s="3265"/>
      <c r="J35" s="1670"/>
      <c r="K35" s="1748"/>
      <c r="L35" s="1696"/>
      <c r="M35" s="1696"/>
      <c r="N35" s="1670"/>
      <c r="O35" s="1671"/>
      <c r="P35" s="1670"/>
      <c r="Q35" s="1670"/>
      <c r="R35" s="1670"/>
      <c r="S35" s="1670"/>
      <c r="T35" s="1670"/>
      <c r="U35" s="1670"/>
    </row>
    <row r="36" spans="1:21">
      <c r="A36" s="3257"/>
      <c r="B36" s="3266" t="s">
        <v>2280</v>
      </c>
      <c r="C36" s="3267"/>
      <c r="D36" s="1765" t="s">
        <v>2279</v>
      </c>
      <c r="E36" s="3268"/>
      <c r="F36" s="3268"/>
      <c r="G36" s="1664" t="str">
        <f>IF(B35="场地未平整","估价结果处理","")</f>
        <v/>
      </c>
      <c r="H36" s="3269"/>
      <c r="I36" s="3269"/>
      <c r="J36" s="1670"/>
      <c r="K36" s="1748"/>
      <c r="L36" s="1696"/>
      <c r="M36" s="1696"/>
      <c r="N36" s="1670"/>
      <c r="O36" s="1671"/>
      <c r="P36" s="1670"/>
      <c r="Q36" s="1670"/>
      <c r="R36" s="1670"/>
      <c r="S36" s="1670"/>
      <c r="T36" s="1670"/>
      <c r="U36" s="1670"/>
    </row>
    <row r="37" spans="1:21" ht="28.5">
      <c r="A37" s="3257"/>
      <c r="B37" s="3287" t="s">
        <v>1036</v>
      </c>
      <c r="C37" s="1697" t="s">
        <v>1037</v>
      </c>
      <c r="D37" s="1698">
        <v>42680</v>
      </c>
      <c r="E37" s="1699"/>
      <c r="F37" s="1670"/>
      <c r="G37" s="1670"/>
      <c r="H37" s="1670"/>
      <c r="I37" s="1681"/>
      <c r="J37" s="1670"/>
      <c r="K37" s="1748"/>
      <c r="L37" s="1670"/>
      <c r="M37" s="1670"/>
      <c r="N37" s="1670"/>
      <c r="O37" s="1670"/>
      <c r="P37" s="1670"/>
      <c r="Q37" s="1670"/>
      <c r="R37" s="1670"/>
      <c r="S37" s="1670"/>
      <c r="T37" s="1670"/>
      <c r="U37" s="1670"/>
    </row>
    <row r="38" spans="1:21">
      <c r="A38" s="3257"/>
      <c r="B38" s="3288"/>
      <c r="C38" s="1649" t="s">
        <v>1038</v>
      </c>
      <c r="D38" s="1764">
        <f>ROUNDDOWN(MIN(('数据-取费表'!$B$2-D37)/365,D34),1)</f>
        <v>0.5</v>
      </c>
      <c r="E38" s="1700" t="s">
        <v>1039</v>
      </c>
      <c r="F38" s="1670"/>
      <c r="G38" s="1670"/>
      <c r="H38" s="1670"/>
      <c r="I38" s="1681"/>
      <c r="J38" s="1670"/>
      <c r="K38" s="1748"/>
      <c r="L38" s="1670"/>
      <c r="M38" s="1670"/>
      <c r="N38" s="1670"/>
      <c r="O38" s="1670"/>
      <c r="P38" s="1670"/>
      <c r="Q38" s="1670"/>
      <c r="R38" s="1670"/>
      <c r="S38" s="1670"/>
      <c r="T38" s="1670"/>
      <c r="U38" s="1670"/>
    </row>
    <row r="39" spans="1:21">
      <c r="A39" s="3258"/>
      <c r="B39" s="3289"/>
      <c r="C39" s="1673" t="str">
        <f>IF(D38&lt;1,"不存在土地闲置",IF(B35="宗地内已开工建设","已开工，不存在土地闲置","估价对象已涉嫌土地闲置"))</f>
        <v>不存在土地闲置</v>
      </c>
      <c r="D39" s="1701"/>
      <c r="E39" s="1702"/>
      <c r="F39" s="1670"/>
      <c r="G39" s="1670"/>
      <c r="H39" s="1670"/>
      <c r="I39" s="1681"/>
      <c r="J39" s="1670"/>
      <c r="K39" s="1747"/>
      <c r="L39" s="1696"/>
      <c r="M39" s="1696"/>
      <c r="N39" s="1670"/>
      <c r="O39" s="1671"/>
      <c r="P39" s="1670"/>
      <c r="Q39" s="1670"/>
      <c r="R39" s="1670"/>
      <c r="S39" s="1670"/>
      <c r="T39" s="1670"/>
      <c r="U39" s="1670"/>
    </row>
    <row r="40" spans="1:21">
      <c r="A40" s="1664" t="s">
        <v>2196</v>
      </c>
      <c r="B40" s="3080" t="s">
        <v>2197</v>
      </c>
      <c r="C40" s="3080" t="s">
        <v>2198</v>
      </c>
      <c r="D40" s="3080" t="s">
        <v>2199</v>
      </c>
      <c r="E40" s="3080" t="s">
        <v>2200</v>
      </c>
      <c r="F40" s="3080" t="s">
        <v>2201</v>
      </c>
      <c r="G40" s="3080" t="s">
        <v>2930</v>
      </c>
      <c r="H40" s="3080" t="s">
        <v>1904</v>
      </c>
      <c r="I40" s="1681"/>
      <c r="J40" s="1670"/>
      <c r="K40" s="1703">
        <f>COUNTIF(B40:H40,"——")</f>
        <v>0</v>
      </c>
      <c r="L40" s="1674" t="s">
        <v>2202</v>
      </c>
      <c r="M40" s="1672" t="s">
        <v>2203</v>
      </c>
      <c r="N40" s="1672" t="s">
        <v>2204</v>
      </c>
      <c r="O40" s="1672" t="s">
        <v>2205</v>
      </c>
      <c r="P40" s="1672" t="s">
        <v>2206</v>
      </c>
      <c r="Q40" s="1672" t="s">
        <v>2207</v>
      </c>
      <c r="R40" s="1672" t="s">
        <v>2208</v>
      </c>
      <c r="S40" s="3270" t="s">
        <v>2209</v>
      </c>
      <c r="T40" s="1704" t="str">
        <f>NUMBERSTRING(7-K40,1)&amp;"通"</f>
        <v>七通</v>
      </c>
      <c r="U40" s="1670"/>
    </row>
    <row r="41" spans="1:21">
      <c r="A41" s="1643"/>
      <c r="B41" s="3262" t="s">
        <v>1933</v>
      </c>
      <c r="C41" s="3262"/>
      <c r="D41" s="3262"/>
      <c r="E41" s="3262"/>
      <c r="F41" s="1705">
        <f>C10</f>
        <v>0</v>
      </c>
      <c r="G41" s="1670"/>
      <c r="H41" s="1670"/>
      <c r="I41" s="1681"/>
      <c r="J41" s="1670"/>
      <c r="K41" s="1674"/>
      <c r="L41" s="1672" t="str">
        <f>B40</f>
        <v>通路</v>
      </c>
      <c r="M41" s="1706" t="str">
        <f>B40&amp;"、"&amp;C40</f>
        <v>通路、通电</v>
      </c>
      <c r="N41" s="1707" t="str">
        <f>B40&amp;"、"&amp;C40&amp;"、"&amp;D40</f>
        <v>通路、通电、通上水</v>
      </c>
      <c r="O41" s="1707" t="str">
        <f>B40&amp;"、"&amp;C40&amp;"、"&amp;D40&amp;"、"&amp;E40</f>
        <v>通路、通电、通上水、通下水</v>
      </c>
      <c r="P41" s="1707" t="str">
        <f>B40&amp;"、"&amp;C40&amp;"、"&amp;D40&amp;"、"&amp;E40&amp;"、"&amp;F40</f>
        <v>通路、通电、通上水、通下水、通讯</v>
      </c>
      <c r="Q41" s="1707" t="str">
        <f>B40&amp;"、"&amp;C40&amp;"、"&amp;D40&amp;"、"&amp;E40&amp;"、"&amp;F40&amp;"、"&amp;G40</f>
        <v>通路、通电、通上水、通下水、通讯、通热</v>
      </c>
      <c r="R41" s="1707" t="str">
        <f>B40&amp;"、"&amp;C40&amp;"、"&amp;D40&amp;"、"&amp;E40&amp;"、"&amp;F40&amp;"、"&amp;G40&amp;"、"&amp;H40</f>
        <v>通路、通电、通上水、通下水、通讯、通热、燃气</v>
      </c>
      <c r="S41" s="3270"/>
      <c r="T41" s="1706" t="str">
        <f>IF(T40="一通",L41,IF(T40="二通",M41,IF(T40="三通",N41,IF(T40="四通",O41,IF(T40="五通",P41,IF(T40="六通",Q41,R41))))))</f>
        <v>通路、通电、通上水、通下水、通讯、通热、燃气</v>
      </c>
      <c r="U41" s="1670"/>
    </row>
    <row r="42" spans="1:21">
      <c r="A42" s="1708"/>
      <c r="B42" s="1739" t="s">
        <v>2111</v>
      </c>
      <c r="C42" s="1739" t="s">
        <v>2112</v>
      </c>
      <c r="D42" s="1739" t="s">
        <v>2113</v>
      </c>
      <c r="E42" s="1674" t="s">
        <v>2114</v>
      </c>
      <c r="F42" s="1709"/>
      <c r="G42" s="1670"/>
      <c r="H42" s="1670"/>
      <c r="I42" s="1681"/>
      <c r="J42" s="1670"/>
      <c r="K42" s="1747"/>
      <c r="L42" s="1696"/>
      <c r="M42" s="1696"/>
      <c r="N42" s="1670"/>
      <c r="O42" s="1671"/>
      <c r="P42" s="1670"/>
      <c r="Q42" s="1670"/>
      <c r="R42" s="1670"/>
      <c r="S42" s="1670"/>
      <c r="T42" s="1670"/>
      <c r="U42" s="1670"/>
    </row>
    <row r="43" spans="1:21">
      <c r="A43" s="1710" t="s">
        <v>1918</v>
      </c>
      <c r="B43" s="1711" t="s">
        <v>1615</v>
      </c>
      <c r="C43" s="1711" t="s">
        <v>1615</v>
      </c>
      <c r="D43" s="1711" t="s">
        <v>1615</v>
      </c>
      <c r="E43" s="1711"/>
      <c r="F43" s="1712"/>
      <c r="G43" s="1670"/>
      <c r="H43" s="1670"/>
      <c r="I43" s="1681"/>
      <c r="J43" s="1670"/>
      <c r="K43" s="1747"/>
      <c r="L43" s="1696"/>
      <c r="M43" s="1696"/>
      <c r="N43" s="1670"/>
      <c r="O43" s="1671"/>
      <c r="P43" s="1670"/>
      <c r="Q43" s="1670"/>
      <c r="R43" s="1670"/>
      <c r="S43" s="1670"/>
      <c r="T43" s="1670"/>
      <c r="U43" s="1670"/>
    </row>
    <row r="44" spans="1:21">
      <c r="A44" s="1710" t="s">
        <v>1919</v>
      </c>
      <c r="B44" s="1711" t="s">
        <v>3190</v>
      </c>
      <c r="C44" s="1711" t="s">
        <v>3190</v>
      </c>
      <c r="D44" s="1711" t="s">
        <v>3190</v>
      </c>
      <c r="E44" s="1765"/>
      <c r="F44" s="1712"/>
      <c r="G44" s="1670"/>
      <c r="H44" s="1670"/>
      <c r="I44" s="1681"/>
      <c r="J44" s="1670"/>
      <c r="K44" s="1747"/>
      <c r="L44" s="1696"/>
      <c r="M44" s="1696"/>
      <c r="N44" s="1670"/>
      <c r="O44" s="1671"/>
      <c r="P44" s="1670"/>
      <c r="Q44" s="1670"/>
      <c r="R44" s="1670"/>
      <c r="S44" s="1670"/>
      <c r="T44" s="1670"/>
      <c r="U44" s="1670"/>
    </row>
    <row r="45" spans="1:21">
      <c r="A45" s="1670"/>
      <c r="B45" s="1670"/>
      <c r="C45" s="1670"/>
      <c r="D45" s="1670"/>
      <c r="E45" s="1670"/>
      <c r="F45" s="1670"/>
      <c r="G45" s="1670"/>
      <c r="H45" s="1670"/>
      <c r="I45" s="1681"/>
      <c r="J45" s="1670"/>
      <c r="K45" s="1747"/>
      <c r="L45" s="1696"/>
      <c r="M45" s="1696"/>
      <c r="N45" s="1670"/>
      <c r="O45" s="1671"/>
      <c r="P45" s="1670"/>
      <c r="Q45" s="1670"/>
      <c r="R45" s="1670"/>
      <c r="S45" s="1670"/>
      <c r="T45" s="1670"/>
      <c r="U45" s="1670"/>
    </row>
    <row r="46" spans="1:21">
      <c r="A46" s="1670"/>
      <c r="B46" s="1670"/>
      <c r="C46" s="1670"/>
      <c r="D46" s="1670"/>
      <c r="E46" s="1670"/>
      <c r="F46" s="1670"/>
      <c r="G46" s="1670"/>
      <c r="H46" s="1670"/>
      <c r="I46" s="1681"/>
      <c r="J46" s="1670"/>
      <c r="K46" s="1747"/>
      <c r="L46" s="1696"/>
      <c r="M46" s="1696"/>
      <c r="N46" s="1670"/>
      <c r="O46" s="1671"/>
      <c r="P46" s="1670"/>
      <c r="Q46" s="1670"/>
      <c r="R46" s="1670"/>
      <c r="S46" s="1670"/>
      <c r="T46" s="1670"/>
      <c r="U46" s="1670"/>
    </row>
    <row r="47" spans="1:21">
      <c r="A47" s="1713" t="s">
        <v>2230</v>
      </c>
      <c r="B47" s="1714"/>
      <c r="C47" s="1702"/>
      <c r="D47" s="1670"/>
      <c r="E47" s="1670"/>
      <c r="F47" s="1670"/>
      <c r="G47" s="1670"/>
      <c r="H47" s="1670"/>
      <c r="I47" s="1671"/>
      <c r="J47" s="1670"/>
      <c r="K47" s="1747"/>
      <c r="L47" s="1696"/>
      <c r="M47" s="1696"/>
      <c r="N47" s="1670"/>
      <c r="O47" s="1671"/>
      <c r="P47" s="1670"/>
      <c r="Q47" s="1670"/>
      <c r="R47" s="1670"/>
      <c r="S47" s="1670"/>
      <c r="T47" s="1670"/>
      <c r="U47" s="1670"/>
    </row>
    <row r="48" spans="1:21" ht="28.5">
      <c r="A48" s="1674" t="s">
        <v>2231</v>
      </c>
      <c r="B48" s="1663" t="s">
        <v>2232</v>
      </c>
      <c r="C48" s="1663" t="s">
        <v>2233</v>
      </c>
      <c r="D48" s="1663" t="s">
        <v>2234</v>
      </c>
      <c r="E48" s="1663" t="s">
        <v>2235</v>
      </c>
      <c r="F48" s="1663" t="s">
        <v>2236</v>
      </c>
      <c r="G48" s="1663" t="s">
        <v>2237</v>
      </c>
      <c r="H48" s="1663" t="s">
        <v>2238</v>
      </c>
      <c r="I48" s="1663" t="s">
        <v>2239</v>
      </c>
      <c r="J48" s="1745" t="s">
        <v>2240</v>
      </c>
      <c r="K48" s="1739" t="s">
        <v>2241</v>
      </c>
      <c r="L48" s="1739" t="s">
        <v>2242</v>
      </c>
      <c r="M48" s="1739" t="s">
        <v>2243</v>
      </c>
      <c r="N48" s="1663" t="s">
        <v>2244</v>
      </c>
      <c r="O48" s="1663" t="s">
        <v>2245</v>
      </c>
      <c r="P48" s="1663" t="s">
        <v>2246</v>
      </c>
      <c r="Q48" s="1674" t="s">
        <v>2247</v>
      </c>
      <c r="R48" s="1674" t="s">
        <v>2248</v>
      </c>
      <c r="S48" s="1670"/>
      <c r="T48" s="1670"/>
      <c r="U48" s="1670"/>
    </row>
    <row r="49" spans="1:21">
      <c r="A49" s="1672"/>
      <c r="B49" s="1703"/>
      <c r="C49" s="1703"/>
      <c r="D49" s="1703"/>
      <c r="E49" s="1703"/>
      <c r="F49" s="1703"/>
      <c r="G49" s="1703"/>
      <c r="H49" s="1703"/>
      <c r="I49" s="1703"/>
      <c r="J49" s="1811"/>
      <c r="K49" s="1812"/>
      <c r="L49" s="1812"/>
      <c r="M49" s="1703"/>
      <c r="N49" s="1703"/>
      <c r="O49" s="1703"/>
      <c r="P49" s="1703"/>
      <c r="Q49" s="1703"/>
      <c r="R49" s="1703"/>
      <c r="S49" s="1670"/>
      <c r="T49" s="1670"/>
      <c r="U49" s="1670"/>
    </row>
    <row r="50" spans="1:21">
      <c r="A50" s="1672"/>
      <c r="B50" s="1672"/>
      <c r="C50" s="1703"/>
      <c r="D50" s="1703"/>
      <c r="E50" s="1703"/>
      <c r="F50" s="1703"/>
      <c r="G50" s="1703"/>
      <c r="H50" s="1703"/>
      <c r="I50" s="1703"/>
      <c r="J50" s="1811"/>
      <c r="K50" s="1812"/>
      <c r="L50" s="1812"/>
      <c r="M50" s="1703"/>
      <c r="N50" s="1703"/>
      <c r="O50" s="1703"/>
      <c r="P50" s="1703"/>
      <c r="Q50" s="1703"/>
      <c r="R50" s="1703"/>
      <c r="S50" s="1670"/>
      <c r="T50" s="1670"/>
      <c r="U50" s="1670"/>
    </row>
    <row r="51" spans="1:21">
      <c r="A51" s="1672"/>
      <c r="B51" s="1672"/>
      <c r="C51" s="1703"/>
      <c r="D51" s="1703"/>
      <c r="E51" s="1703"/>
      <c r="F51" s="1703"/>
      <c r="G51" s="1703"/>
      <c r="H51" s="1703"/>
      <c r="I51" s="1703"/>
      <c r="J51" s="1811"/>
      <c r="K51" s="1812"/>
      <c r="L51" s="1812"/>
      <c r="M51" s="1703"/>
      <c r="N51" s="1703"/>
      <c r="O51" s="1703"/>
      <c r="P51" s="1703"/>
      <c r="Q51" s="1703"/>
      <c r="R51" s="1703"/>
      <c r="S51" s="1670"/>
      <c r="T51" s="1670"/>
      <c r="U51" s="1670"/>
    </row>
    <row r="52" spans="1:21">
      <c r="A52" s="1672"/>
      <c r="B52" s="1672"/>
      <c r="C52" s="1703"/>
      <c r="D52" s="1703"/>
      <c r="E52" s="1703"/>
      <c r="F52" s="1703"/>
      <c r="G52" s="1703"/>
      <c r="H52" s="1703"/>
      <c r="I52" s="1703"/>
      <c r="J52" s="1811"/>
      <c r="K52" s="1812"/>
      <c r="L52" s="1812"/>
      <c r="M52" s="1703"/>
      <c r="N52" s="1703"/>
      <c r="O52" s="1703"/>
      <c r="P52" s="1703"/>
      <c r="Q52" s="1703"/>
      <c r="R52" s="1703"/>
      <c r="S52" s="1670"/>
      <c r="T52" s="1670"/>
      <c r="U52" s="1670"/>
    </row>
    <row r="53" spans="1:21">
      <c r="A53" s="1672"/>
      <c r="B53" s="1672"/>
      <c r="C53" s="1703"/>
      <c r="D53" s="1703"/>
      <c r="E53" s="1703"/>
      <c r="F53" s="1703"/>
      <c r="G53" s="1703"/>
      <c r="H53" s="1703"/>
      <c r="I53" s="1703"/>
      <c r="J53" s="1811"/>
      <c r="K53" s="1812"/>
      <c r="L53" s="1812"/>
      <c r="M53" s="1703"/>
      <c r="N53" s="1703"/>
      <c r="O53" s="1703"/>
      <c r="P53" s="1703"/>
      <c r="Q53" s="1703"/>
      <c r="R53" s="1703"/>
      <c r="S53" s="1670"/>
      <c r="T53" s="1670"/>
      <c r="U53" s="1670"/>
    </row>
    <row r="54" spans="1:21">
      <c r="A54" s="1672"/>
      <c r="B54" s="1672"/>
      <c r="C54" s="1672"/>
      <c r="D54" s="1672"/>
      <c r="E54" s="1672"/>
      <c r="F54" s="1703"/>
      <c r="G54" s="1672"/>
      <c r="H54" s="1672"/>
      <c r="I54" s="1672"/>
      <c r="J54" s="1813"/>
      <c r="K54" s="1812"/>
      <c r="L54" s="1812"/>
      <c r="M54" s="1812"/>
      <c r="N54" s="1672"/>
      <c r="O54" s="1672"/>
      <c r="P54" s="1672"/>
      <c r="Q54" s="1672"/>
      <c r="R54" s="1672"/>
      <c r="S54" s="1670"/>
      <c r="T54" s="1670"/>
      <c r="U54" s="1670"/>
    </row>
    <row r="55" spans="1:21">
      <c r="A55" s="1672"/>
      <c r="B55" s="1672"/>
      <c r="C55" s="1672"/>
      <c r="D55" s="1672"/>
      <c r="E55" s="1672"/>
      <c r="F55" s="1703"/>
      <c r="G55" s="1672"/>
      <c r="H55" s="1672"/>
      <c r="I55" s="1672"/>
      <c r="J55" s="1813"/>
      <c r="K55" s="1812"/>
      <c r="L55" s="1812"/>
      <c r="M55" s="1812"/>
      <c r="N55" s="1672"/>
      <c r="O55" s="1672"/>
      <c r="P55" s="1672"/>
      <c r="Q55" s="1672"/>
      <c r="R55" s="1672"/>
      <c r="S55" s="1670"/>
      <c r="T55" s="1670"/>
      <c r="U55" s="1670"/>
    </row>
    <row r="56" spans="1:21">
      <c r="A56" s="1672"/>
      <c r="B56" s="1672"/>
      <c r="C56" s="1672"/>
      <c r="D56" s="1672"/>
      <c r="E56" s="1672"/>
      <c r="F56" s="1703"/>
      <c r="G56" s="1672"/>
      <c r="H56" s="1672"/>
      <c r="I56" s="1672"/>
      <c r="J56" s="1813"/>
      <c r="K56" s="1812"/>
      <c r="L56" s="1812"/>
      <c r="M56" s="1812"/>
      <c r="N56" s="1672"/>
      <c r="O56" s="1672"/>
      <c r="P56" s="1672"/>
      <c r="Q56" s="1672"/>
      <c r="R56" s="1672"/>
      <c r="S56" s="1670"/>
      <c r="T56" s="1670"/>
      <c r="U56" s="1670"/>
    </row>
    <row r="57" spans="1:21">
      <c r="A57" s="1672"/>
      <c r="B57" s="1672"/>
      <c r="C57" s="1672"/>
      <c r="D57" s="1672"/>
      <c r="E57" s="1672"/>
      <c r="F57" s="1703"/>
      <c r="G57" s="1672"/>
      <c r="H57" s="1672"/>
      <c r="I57" s="1672"/>
      <c r="J57" s="1813"/>
      <c r="K57" s="1812"/>
      <c r="L57" s="1812"/>
      <c r="M57" s="1812"/>
      <c r="N57" s="1672"/>
      <c r="O57" s="1672"/>
      <c r="P57" s="1672"/>
      <c r="Q57" s="1672"/>
      <c r="R57" s="1672"/>
      <c r="S57" s="1670"/>
      <c r="T57" s="1670"/>
      <c r="U57" s="1670"/>
    </row>
    <row r="58" spans="1:21">
      <c r="A58" s="1672"/>
      <c r="B58" s="1672"/>
      <c r="C58" s="1672"/>
      <c r="D58" s="1672"/>
      <c r="E58" s="1672"/>
      <c r="F58" s="1703"/>
      <c r="G58" s="1672"/>
      <c r="H58" s="1672"/>
      <c r="I58" s="1672"/>
      <c r="J58" s="1813"/>
      <c r="K58" s="1812"/>
      <c r="L58" s="1812"/>
      <c r="M58" s="1812"/>
      <c r="N58" s="1672"/>
      <c r="O58" s="1672"/>
      <c r="P58" s="1672"/>
      <c r="Q58" s="1672"/>
      <c r="R58" s="1672"/>
      <c r="S58" s="1670"/>
      <c r="T58" s="1670"/>
      <c r="U58" s="167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N14" sqref="AN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1" width="17.875" style="15" customWidth="1"/>
    <col min="52"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139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140</v>
      </c>
      <c r="B2" s="17" t="s">
        <v>141</v>
      </c>
      <c r="C2" s="17" t="s">
        <v>142</v>
      </c>
      <c r="D2" s="1172"/>
      <c r="E2" s="982"/>
      <c r="F2" s="41"/>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20" t="s">
        <v>144</v>
      </c>
      <c r="AZ2" s="2340" t="s">
        <v>2567</v>
      </c>
      <c r="BA2" s="2341" t="s">
        <v>2566</v>
      </c>
      <c r="BB2" s="1172"/>
      <c r="BC2" s="1172"/>
      <c r="BD2" s="1172"/>
      <c r="BE2" s="1172"/>
      <c r="BF2" s="1172"/>
      <c r="BG2" s="1172"/>
      <c r="BH2" s="1172"/>
      <c r="BI2" s="1172"/>
      <c r="BJ2" s="1172"/>
      <c r="BK2" s="1172"/>
      <c r="BL2" s="1172"/>
      <c r="BM2" s="1172"/>
      <c r="BN2" s="1172"/>
      <c r="BO2" s="1172"/>
      <c r="BP2" s="1172"/>
      <c r="BQ2" s="1172"/>
      <c r="BR2" s="1172"/>
      <c r="BS2" s="1172"/>
      <c r="BT2" s="1172"/>
    </row>
    <row r="3" spans="1:72" s="18" customFormat="1" ht="12.75">
      <c r="A3" s="3081">
        <f>12.37*10000</f>
        <v>123699.99999999999</v>
      </c>
      <c r="B3" s="21">
        <f>IF(C3="否",G5-AT5,G5)</f>
        <v>507462.25</v>
      </c>
      <c r="C3" s="22" t="s">
        <v>1889</v>
      </c>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23">
        <f>ROUND(B3/550500*A3,2)</f>
        <v>114029.21</v>
      </c>
      <c r="AZ3" s="12"/>
      <c r="BA3" s="2342"/>
      <c r="BB3" s="1172"/>
      <c r="BC3" s="1172"/>
      <c r="BD3" s="1172"/>
      <c r="BE3" s="1172"/>
      <c r="BF3" s="1172"/>
      <c r="BG3" s="1172"/>
      <c r="BH3" s="1172"/>
      <c r="BI3" s="1172"/>
      <c r="BJ3" s="1172"/>
      <c r="BK3" s="1172"/>
      <c r="BL3" s="1172"/>
      <c r="BM3" s="1172"/>
      <c r="BN3" s="1172"/>
      <c r="BO3" s="1172"/>
      <c r="BP3" s="1172"/>
      <c r="BQ3" s="1172"/>
      <c r="BR3" s="1172"/>
      <c r="BS3" s="1172"/>
      <c r="BT3" s="1172"/>
    </row>
    <row r="4" spans="1:72" s="24" customFormat="1" ht="13.5" thickBot="1">
      <c r="A4" s="1173"/>
      <c r="B4" s="1174"/>
      <c r="C4" s="1175"/>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c r="AI4" s="1172"/>
      <c r="AJ4" s="1172"/>
      <c r="AK4" s="1172"/>
      <c r="AL4" s="1172"/>
      <c r="AM4" s="1172"/>
      <c r="AN4" s="1172"/>
      <c r="AO4" s="1172"/>
      <c r="AP4" s="1172"/>
      <c r="AQ4" s="1172"/>
      <c r="AR4" s="1172"/>
      <c r="AS4" s="1172"/>
      <c r="AT4" s="1172"/>
      <c r="AU4" s="1172"/>
      <c r="AV4" s="1172"/>
      <c r="AW4" s="1172"/>
      <c r="AX4" s="1172"/>
      <c r="AY4" s="1172"/>
      <c r="AZ4" s="1172"/>
      <c r="BA4" s="1176"/>
      <c r="BB4" s="1172"/>
      <c r="BC4" s="1172"/>
      <c r="BD4" s="1172"/>
      <c r="BE4" s="1172"/>
      <c r="BF4" s="1172"/>
      <c r="BG4" s="1172"/>
      <c r="BH4" s="1172"/>
      <c r="BI4" s="1172"/>
      <c r="BJ4" s="1172"/>
      <c r="BK4" s="1172"/>
      <c r="BL4" s="1172"/>
      <c r="BM4" s="1172"/>
      <c r="BN4" s="1172"/>
      <c r="BO4" s="1172"/>
      <c r="BP4" s="1172"/>
      <c r="BQ4" s="1172"/>
      <c r="BR4" s="1172"/>
      <c r="BS4" s="1172"/>
      <c r="BT4" s="1172"/>
    </row>
    <row r="5" spans="1:72" s="18" customFormat="1" ht="12.75">
      <c r="A5" s="25" t="s">
        <v>145</v>
      </c>
      <c r="B5" s="968"/>
      <c r="C5" s="968"/>
      <c r="D5" s="975"/>
      <c r="E5" s="26" t="s">
        <v>1</v>
      </c>
      <c r="F5" s="26">
        <f>SUM(F13:F572)</f>
        <v>0</v>
      </c>
      <c r="G5" s="26">
        <f>SUM(G13:G572)</f>
        <v>507462.25</v>
      </c>
      <c r="H5" s="26">
        <f t="shared" ref="H5:AT5" si="0">SUM(H13:H641)</f>
        <v>507130.39</v>
      </c>
      <c r="I5" s="26">
        <f t="shared" si="0"/>
        <v>95322.06</v>
      </c>
      <c r="J5" s="26">
        <f t="shared" si="0"/>
        <v>0</v>
      </c>
      <c r="K5" s="26">
        <f t="shared" si="0"/>
        <v>46878.32</v>
      </c>
      <c r="L5" s="26">
        <f t="shared" si="0"/>
        <v>0</v>
      </c>
      <c r="M5" s="26">
        <f t="shared" si="0"/>
        <v>41257.83</v>
      </c>
      <c r="N5" s="26">
        <f t="shared" si="0"/>
        <v>0</v>
      </c>
      <c r="O5" s="26">
        <f t="shared" si="0"/>
        <v>49000</v>
      </c>
      <c r="P5" s="26">
        <f t="shared" si="0"/>
        <v>0</v>
      </c>
      <c r="Q5" s="26">
        <f t="shared" si="0"/>
        <v>44822</v>
      </c>
      <c r="R5" s="26">
        <f t="shared" si="0"/>
        <v>0</v>
      </c>
      <c r="S5" s="26">
        <f t="shared" si="0"/>
        <v>83062.14</v>
      </c>
      <c r="T5" s="26">
        <f t="shared" si="0"/>
        <v>0</v>
      </c>
      <c r="U5" s="26">
        <f t="shared" si="0"/>
        <v>95982.26999999999</v>
      </c>
      <c r="V5" s="26">
        <f t="shared" si="0"/>
        <v>0</v>
      </c>
      <c r="W5" s="26">
        <f t="shared" si="0"/>
        <v>50805.77</v>
      </c>
      <c r="X5" s="26">
        <f t="shared" si="0"/>
        <v>0</v>
      </c>
      <c r="Y5" s="26">
        <f t="shared" si="0"/>
        <v>0</v>
      </c>
      <c r="Z5" s="26">
        <f t="shared" si="0"/>
        <v>0</v>
      </c>
      <c r="AA5" s="26">
        <f t="shared" si="0"/>
        <v>0</v>
      </c>
      <c r="AB5" s="26">
        <f t="shared" si="0"/>
        <v>0</v>
      </c>
      <c r="AC5" s="26">
        <f t="shared" si="0"/>
        <v>331.86</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331.86</v>
      </c>
      <c r="AO5" s="26">
        <f t="shared" si="0"/>
        <v>0</v>
      </c>
      <c r="AP5" s="26">
        <f t="shared" si="0"/>
        <v>0</v>
      </c>
      <c r="AQ5" s="26">
        <f t="shared" si="0"/>
        <v>0</v>
      </c>
      <c r="AR5" s="26">
        <f t="shared" si="0"/>
        <v>0</v>
      </c>
      <c r="AS5" s="26">
        <f t="shared" si="0"/>
        <v>0</v>
      </c>
      <c r="AT5" s="26">
        <f t="shared" si="0"/>
        <v>0</v>
      </c>
      <c r="AU5" s="967"/>
      <c r="AV5" s="25" t="s">
        <v>145</v>
      </c>
      <c r="AW5" s="968"/>
      <c r="AX5" s="968"/>
      <c r="AY5" s="27" t="s">
        <v>3</v>
      </c>
      <c r="AZ5" s="28">
        <f t="shared" ref="AZ5:BT5" si="1">SUM(AZ13:AZ641)</f>
        <v>507462.25</v>
      </c>
      <c r="BA5" s="28">
        <f t="shared" si="1"/>
        <v>507130.39</v>
      </c>
      <c r="BB5" s="28">
        <f t="shared" si="1"/>
        <v>95322.06</v>
      </c>
      <c r="BC5" s="28">
        <f t="shared" si="1"/>
        <v>46878.32</v>
      </c>
      <c r="BD5" s="28">
        <f t="shared" si="1"/>
        <v>41257.83</v>
      </c>
      <c r="BE5" s="28">
        <f t="shared" si="1"/>
        <v>49000</v>
      </c>
      <c r="BF5" s="28">
        <f t="shared" si="1"/>
        <v>44822</v>
      </c>
      <c r="BG5" s="28">
        <f t="shared" si="1"/>
        <v>83062.14</v>
      </c>
      <c r="BH5" s="28">
        <f t="shared" si="1"/>
        <v>95982.26999999999</v>
      </c>
      <c r="BI5" s="28">
        <f t="shared" si="1"/>
        <v>50805.77</v>
      </c>
      <c r="BJ5" s="28">
        <f t="shared" si="1"/>
        <v>0</v>
      </c>
      <c r="BK5" s="28">
        <f t="shared" si="1"/>
        <v>0</v>
      </c>
      <c r="BL5" s="28">
        <f t="shared" si="1"/>
        <v>331.86</v>
      </c>
      <c r="BM5" s="28">
        <f t="shared" si="1"/>
        <v>0</v>
      </c>
      <c r="BN5" s="28">
        <f t="shared" si="1"/>
        <v>0</v>
      </c>
      <c r="BO5" s="28">
        <f t="shared" si="1"/>
        <v>0</v>
      </c>
      <c r="BP5" s="28">
        <f t="shared" si="1"/>
        <v>0</v>
      </c>
      <c r="BQ5" s="28">
        <f t="shared" si="1"/>
        <v>0</v>
      </c>
      <c r="BR5" s="28">
        <f t="shared" si="1"/>
        <v>331.86</v>
      </c>
      <c r="BS5" s="28">
        <f t="shared" si="1"/>
        <v>0</v>
      </c>
      <c r="BT5" s="29">
        <f t="shared" si="1"/>
        <v>0</v>
      </c>
    </row>
    <row r="6" spans="1:72" s="36" customFormat="1" ht="12.75">
      <c r="A6" s="25" t="s">
        <v>146</v>
      </c>
      <c r="B6" s="30"/>
      <c r="C6" s="30"/>
      <c r="D6" s="31"/>
      <c r="E6" s="26">
        <f>H6+AC6+AT6</f>
        <v>123699.98999999999</v>
      </c>
      <c r="F6" s="26" t="s">
        <v>1</v>
      </c>
      <c r="G6" s="26" t="s">
        <v>2</v>
      </c>
      <c r="H6" s="32">
        <f>SUMIF(I$12:AB$12,"总值",I6:AB6)</f>
        <v>123619.09999999999</v>
      </c>
      <c r="I6" s="26">
        <f t="shared" ref="I6:AB6" si="2">ROUND($A$3*I5/$B$3,2)</f>
        <v>23235.89</v>
      </c>
      <c r="J6" s="26">
        <f t="shared" si="2"/>
        <v>0</v>
      </c>
      <c r="K6" s="26">
        <f t="shared" si="2"/>
        <v>11427.15</v>
      </c>
      <c r="L6" s="26">
        <f t="shared" si="2"/>
        <v>0</v>
      </c>
      <c r="M6" s="26">
        <f t="shared" si="2"/>
        <v>10057.09</v>
      </c>
      <c r="N6" s="26">
        <f t="shared" si="2"/>
        <v>0</v>
      </c>
      <c r="O6" s="26">
        <f t="shared" si="2"/>
        <v>11944.34</v>
      </c>
      <c r="P6" s="26">
        <f t="shared" si="2"/>
        <v>0</v>
      </c>
      <c r="Q6" s="26">
        <f t="shared" si="2"/>
        <v>10925.9</v>
      </c>
      <c r="R6" s="26">
        <f t="shared" si="2"/>
        <v>0</v>
      </c>
      <c r="S6" s="26">
        <f t="shared" si="2"/>
        <v>20247.39</v>
      </c>
      <c r="T6" s="26">
        <f t="shared" si="2"/>
        <v>0</v>
      </c>
      <c r="U6" s="26">
        <f t="shared" si="2"/>
        <v>23396.83</v>
      </c>
      <c r="V6" s="26">
        <f t="shared" si="2"/>
        <v>0</v>
      </c>
      <c r="W6" s="26">
        <f t="shared" si="2"/>
        <v>12384.51</v>
      </c>
      <c r="X6" s="26">
        <f t="shared" si="2"/>
        <v>0</v>
      </c>
      <c r="Y6" s="26">
        <f t="shared" si="2"/>
        <v>0</v>
      </c>
      <c r="Z6" s="26">
        <f t="shared" si="2"/>
        <v>0</v>
      </c>
      <c r="AA6" s="26">
        <f t="shared" si="2"/>
        <v>0</v>
      </c>
      <c r="AB6" s="26">
        <f t="shared" si="2"/>
        <v>0</v>
      </c>
      <c r="AC6" s="32">
        <f>SUMIF(AD$12:AS$12,"总值",AD6:AS6)</f>
        <v>80.89</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80.89</v>
      </c>
      <c r="AO6" s="26">
        <f t="shared" si="3"/>
        <v>0</v>
      </c>
      <c r="AP6" s="26">
        <f t="shared" si="3"/>
        <v>0</v>
      </c>
      <c r="AQ6" s="26">
        <f t="shared" si="3"/>
        <v>0</v>
      </c>
      <c r="AR6" s="26">
        <f t="shared" si="3"/>
        <v>0</v>
      </c>
      <c r="AS6" s="26">
        <f t="shared" si="3"/>
        <v>0</v>
      </c>
      <c r="AT6" s="32">
        <f>IF(C3="是",ROUND($A$3*AT5/$B$3,2),0)</f>
        <v>0</v>
      </c>
      <c r="AU6" s="33"/>
      <c r="AV6" s="25" t="s">
        <v>146</v>
      </c>
      <c r="AW6" s="30"/>
      <c r="AX6" s="30"/>
      <c r="AY6" s="34">
        <f>IF(AY3&gt;0,AY3,ROUND($A$3*AZ5/$B$3,2))</f>
        <v>114029.21</v>
      </c>
      <c r="AZ6" s="26" t="s">
        <v>3</v>
      </c>
      <c r="BA6" s="26">
        <f>ROUND($AY$6*BA5/$AZ$5,2)</f>
        <v>113954.64</v>
      </c>
      <c r="BB6" s="26">
        <f>ROUND($AY$6*BB5/$AZ$5,2)</f>
        <v>21419.33</v>
      </c>
      <c r="BC6" s="26">
        <f t="shared" ref="BC6:BH6" si="4">ROUND($AY$6*BC5/$AZ$5,2)</f>
        <v>10533.78</v>
      </c>
      <c r="BD6" s="26">
        <f t="shared" si="4"/>
        <v>9270.83</v>
      </c>
      <c r="BE6" s="26">
        <f t="shared" si="4"/>
        <v>11010.54</v>
      </c>
      <c r="BF6" s="26">
        <f t="shared" si="4"/>
        <v>10071.719999999999</v>
      </c>
      <c r="BG6" s="26">
        <f t="shared" si="4"/>
        <v>18664.46</v>
      </c>
      <c r="BH6" s="26">
        <f t="shared" si="4"/>
        <v>21567.68</v>
      </c>
      <c r="BI6" s="26">
        <f t="shared" ref="BI6:BT6" si="5">ROUND($AY$6*BI5/$AZ$5,2)</f>
        <v>11416.3</v>
      </c>
      <c r="BJ6" s="26">
        <f t="shared" si="5"/>
        <v>0</v>
      </c>
      <c r="BK6" s="26">
        <f t="shared" si="5"/>
        <v>0</v>
      </c>
      <c r="BL6" s="26">
        <f t="shared" si="5"/>
        <v>74.569999999999993</v>
      </c>
      <c r="BM6" s="26">
        <f t="shared" si="5"/>
        <v>0</v>
      </c>
      <c r="BN6" s="26">
        <f t="shared" si="5"/>
        <v>0</v>
      </c>
      <c r="BO6" s="26">
        <f t="shared" si="5"/>
        <v>0</v>
      </c>
      <c r="BP6" s="26">
        <f t="shared" si="5"/>
        <v>0</v>
      </c>
      <c r="BQ6" s="26">
        <f t="shared" si="5"/>
        <v>0</v>
      </c>
      <c r="BR6" s="26">
        <f t="shared" si="5"/>
        <v>74.569999999999993</v>
      </c>
      <c r="BS6" s="26">
        <f t="shared" si="5"/>
        <v>0</v>
      </c>
      <c r="BT6" s="35">
        <f t="shared" si="5"/>
        <v>0</v>
      </c>
    </row>
    <row r="7" spans="1:72" s="18" customFormat="1" ht="24.75">
      <c r="A7" s="37" t="s">
        <v>147</v>
      </c>
      <c r="B7" s="37" t="s">
        <v>148</v>
      </c>
      <c r="C7" s="37" t="s">
        <v>149</v>
      </c>
      <c r="D7" s="37" t="s">
        <v>150</v>
      </c>
      <c r="E7" s="37" t="s">
        <v>151</v>
      </c>
      <c r="F7" s="37" t="s">
        <v>152</v>
      </c>
      <c r="G7" s="38" t="s">
        <v>153</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45"/>
      <c r="AU7" s="39" t="s">
        <v>154</v>
      </c>
      <c r="AV7" s="40" t="s">
        <v>155</v>
      </c>
      <c r="AW7" s="41" t="s">
        <v>156</v>
      </c>
      <c r="AX7" s="40" t="s">
        <v>157</v>
      </c>
      <c r="AY7" s="968" t="s">
        <v>158</v>
      </c>
      <c r="AZ7" s="42"/>
      <c r="BA7" s="39"/>
      <c r="BB7" s="39"/>
      <c r="BC7" s="39"/>
      <c r="BD7" s="39"/>
      <c r="BE7" s="39"/>
      <c r="BF7" s="39"/>
      <c r="BG7" s="39"/>
      <c r="BH7" s="39"/>
      <c r="BI7" s="39"/>
      <c r="BJ7" s="39"/>
      <c r="BK7" s="39"/>
      <c r="BL7" s="39"/>
      <c r="BM7" s="39"/>
      <c r="BN7" s="39"/>
      <c r="BO7" s="39"/>
      <c r="BP7" s="39"/>
      <c r="BQ7" s="39"/>
      <c r="BR7" s="39"/>
      <c r="BS7" s="39"/>
      <c r="BT7" s="43"/>
    </row>
    <row r="8" spans="1:72" s="56" customFormat="1" ht="12.75">
      <c r="A8" s="44"/>
      <c r="B8" s="44"/>
      <c r="C8" s="44"/>
      <c r="D8" s="44"/>
      <c r="E8" s="44"/>
      <c r="F8" s="44"/>
      <c r="G8" s="45" t="s">
        <v>159</v>
      </c>
      <c r="H8" s="46" t="s">
        <v>160</v>
      </c>
      <c r="I8" s="47"/>
      <c r="J8" s="980"/>
      <c r="K8" s="980"/>
      <c r="L8" s="980"/>
      <c r="M8" s="980"/>
      <c r="N8" s="980"/>
      <c r="O8" s="980"/>
      <c r="P8" s="980"/>
      <c r="Q8" s="980"/>
      <c r="R8" s="980"/>
      <c r="S8" s="980"/>
      <c r="T8" s="980"/>
      <c r="U8" s="980"/>
      <c r="V8" s="48"/>
      <c r="W8" s="980"/>
      <c r="X8" s="980"/>
      <c r="Y8" s="980"/>
      <c r="Z8" s="980"/>
      <c r="AA8" s="48"/>
      <c r="AB8" s="49"/>
      <c r="AC8" s="50" t="s">
        <v>161</v>
      </c>
      <c r="AD8" s="51"/>
      <c r="AE8" s="42"/>
      <c r="AF8" s="980"/>
      <c r="AG8" s="980"/>
      <c r="AH8" s="980"/>
      <c r="AI8" s="980"/>
      <c r="AJ8" s="980"/>
      <c r="AK8" s="980"/>
      <c r="AL8" s="980"/>
      <c r="AM8" s="980"/>
      <c r="AN8" s="980"/>
      <c r="AO8" s="980"/>
      <c r="AP8" s="980"/>
      <c r="AQ8" s="980"/>
      <c r="AR8" s="980"/>
      <c r="AS8" s="2277"/>
      <c r="AT8" s="2308" t="s">
        <v>1043</v>
      </c>
      <c r="AU8" s="44" t="s">
        <v>162</v>
      </c>
      <c r="AV8" s="54"/>
      <c r="AW8" s="982"/>
      <c r="AX8" s="54"/>
      <c r="AY8" s="41" t="s">
        <v>163</v>
      </c>
      <c r="AZ8" s="979" t="s">
        <v>164</v>
      </c>
      <c r="BA8" s="980"/>
      <c r="BB8" s="980"/>
      <c r="BC8" s="980"/>
      <c r="BD8" s="980"/>
      <c r="BE8" s="980"/>
      <c r="BF8" s="980"/>
      <c r="BG8" s="980"/>
      <c r="BH8" s="980"/>
      <c r="BI8" s="980"/>
      <c r="BJ8" s="980"/>
      <c r="BK8" s="980"/>
      <c r="BL8" s="980"/>
      <c r="BM8" s="980"/>
      <c r="BN8" s="980"/>
      <c r="BO8" s="980"/>
      <c r="BP8" s="980"/>
      <c r="BQ8" s="980"/>
      <c r="BR8" s="980"/>
      <c r="BS8" s="980"/>
      <c r="BT8" s="55"/>
    </row>
    <row r="9" spans="1:72" s="56" customFormat="1" ht="12.75">
      <c r="A9" s="44"/>
      <c r="B9" s="44"/>
      <c r="C9" s="44"/>
      <c r="D9" s="44"/>
      <c r="E9" s="44"/>
      <c r="F9" s="44"/>
      <c r="G9" s="54"/>
      <c r="H9" s="57" t="s">
        <v>165</v>
      </c>
      <c r="I9" s="3087" t="s">
        <v>2560</v>
      </c>
      <c r="J9" s="50"/>
      <c r="K9" s="3087" t="s">
        <v>2560</v>
      </c>
      <c r="L9" s="50"/>
      <c r="M9" s="3087" t="s">
        <v>2560</v>
      </c>
      <c r="N9" s="50"/>
      <c r="O9" s="3087" t="s">
        <v>2560</v>
      </c>
      <c r="P9" s="50"/>
      <c r="Q9" s="3087" t="s">
        <v>2560</v>
      </c>
      <c r="R9" s="50"/>
      <c r="S9" s="3087" t="s">
        <v>3242</v>
      </c>
      <c r="T9" s="50"/>
      <c r="U9" s="3087" t="s">
        <v>3242</v>
      </c>
      <c r="V9" s="50"/>
      <c r="W9" s="3087" t="s">
        <v>2560</v>
      </c>
      <c r="X9" s="58"/>
      <c r="Y9" s="3087"/>
      <c r="Z9" s="50"/>
      <c r="AA9" s="3087"/>
      <c r="AB9" s="50"/>
      <c r="AC9" s="45" t="s">
        <v>165</v>
      </c>
      <c r="AD9" s="25" t="s">
        <v>166</v>
      </c>
      <c r="AE9" s="59"/>
      <c r="AF9" s="25" t="s">
        <v>167</v>
      </c>
      <c r="AG9" s="59"/>
      <c r="AH9" s="25" t="s">
        <v>168</v>
      </c>
      <c r="AI9" s="59"/>
      <c r="AJ9" s="25" t="s">
        <v>169</v>
      </c>
      <c r="AK9" s="59"/>
      <c r="AL9" s="25" t="s">
        <v>168</v>
      </c>
      <c r="AM9" s="59"/>
      <c r="AN9" s="25" t="s">
        <v>169</v>
      </c>
      <c r="AO9" s="59"/>
      <c r="AP9" s="1166" t="s">
        <v>168</v>
      </c>
      <c r="AQ9" s="1168"/>
      <c r="AR9" s="1166" t="s">
        <v>169</v>
      </c>
      <c r="AS9" s="2309"/>
      <c r="AT9" s="44"/>
      <c r="AU9" s="44" t="s">
        <v>171</v>
      </c>
      <c r="AV9" s="54"/>
      <c r="AW9" s="982"/>
      <c r="AX9" s="54"/>
      <c r="AY9" s="60"/>
      <c r="AZ9" s="60" t="s">
        <v>172</v>
      </c>
      <c r="BA9" s="61" t="s">
        <v>173</v>
      </c>
      <c r="BB9" s="62"/>
      <c r="BC9" s="974"/>
      <c r="BD9" s="974"/>
      <c r="BE9" s="974"/>
      <c r="BF9" s="974"/>
      <c r="BG9" s="974"/>
      <c r="BH9" s="974"/>
      <c r="BI9" s="974"/>
      <c r="BJ9" s="974"/>
      <c r="BK9" s="63"/>
      <c r="BL9" s="25" t="s">
        <v>174</v>
      </c>
      <c r="BM9" s="980"/>
      <c r="BN9" s="47"/>
      <c r="BO9" s="980"/>
      <c r="BP9" s="980"/>
      <c r="BQ9" s="980"/>
      <c r="BR9" s="980"/>
      <c r="BS9" s="980"/>
      <c r="BT9" s="55"/>
    </row>
    <row r="10" spans="1:72" s="56" customFormat="1" ht="12.75">
      <c r="A10" s="44"/>
      <c r="B10" s="44"/>
      <c r="C10" s="44"/>
      <c r="D10" s="44"/>
      <c r="E10" s="44"/>
      <c r="F10" s="44"/>
      <c r="G10" s="54"/>
      <c r="H10" s="60"/>
      <c r="I10" s="3088" t="s">
        <v>1117</v>
      </c>
      <c r="J10" s="50"/>
      <c r="K10" s="3088" t="s">
        <v>1117</v>
      </c>
      <c r="L10" s="50"/>
      <c r="M10" s="3088" t="s">
        <v>1886</v>
      </c>
      <c r="N10" s="50"/>
      <c r="O10" s="3091" t="s">
        <v>1117</v>
      </c>
      <c r="P10" s="50"/>
      <c r="Q10" s="3088" t="s">
        <v>1117</v>
      </c>
      <c r="R10" s="50"/>
      <c r="S10" s="3088" t="s">
        <v>1886</v>
      </c>
      <c r="T10" s="50"/>
      <c r="U10" s="3091" t="s">
        <v>1888</v>
      </c>
      <c r="V10" s="50"/>
      <c r="W10" s="3088" t="s">
        <v>1887</v>
      </c>
      <c r="X10" s="50"/>
      <c r="Y10" s="3088"/>
      <c r="Z10" s="50"/>
      <c r="AA10" s="3088"/>
      <c r="AB10" s="50"/>
      <c r="AC10" s="54"/>
      <c r="AD10" s="2294" t="s">
        <v>2552</v>
      </c>
      <c r="AE10" s="2316"/>
      <c r="AF10" s="2294" t="s">
        <v>2552</v>
      </c>
      <c r="AG10" s="2316"/>
      <c r="AH10" s="2294" t="s">
        <v>2553</v>
      </c>
      <c r="AI10" s="2316"/>
      <c r="AJ10" s="25" t="s">
        <v>2565</v>
      </c>
      <c r="AK10" s="2313"/>
      <c r="AL10" s="2294" t="s">
        <v>2554</v>
      </c>
      <c r="AM10" s="2295"/>
      <c r="AN10" s="25" t="s">
        <v>175</v>
      </c>
      <c r="AO10" s="59"/>
      <c r="AP10" s="1166" t="s">
        <v>176</v>
      </c>
      <c r="AQ10" s="1168"/>
      <c r="AR10" s="1166" t="s">
        <v>176</v>
      </c>
      <c r="AS10" s="1168"/>
      <c r="AT10" s="44"/>
      <c r="AU10" s="44"/>
      <c r="AV10" s="54"/>
      <c r="AW10" s="982"/>
      <c r="AX10" s="54"/>
      <c r="AY10" s="60"/>
      <c r="AZ10" s="60"/>
      <c r="BA10" s="64" t="s">
        <v>170</v>
      </c>
      <c r="BB10" s="65" t="str">
        <f>I9</f>
        <v>地上</v>
      </c>
      <c r="BC10" s="66" t="str">
        <f>K9</f>
        <v>地上</v>
      </c>
      <c r="BD10" s="66" t="str">
        <f>M9</f>
        <v>地上</v>
      </c>
      <c r="BE10" s="66" t="str">
        <f>O9</f>
        <v>地上</v>
      </c>
      <c r="BF10" s="66" t="str">
        <f>Q9</f>
        <v>地上</v>
      </c>
      <c r="BG10" s="66" t="str">
        <f>S9</f>
        <v>地下</v>
      </c>
      <c r="BH10" s="66" t="str">
        <f>U9</f>
        <v>地下</v>
      </c>
      <c r="BI10" s="66" t="str">
        <f>W9</f>
        <v>地上</v>
      </c>
      <c r="BJ10" s="66">
        <f>Y9</f>
        <v>0</v>
      </c>
      <c r="BK10" s="66">
        <f>AA9</f>
        <v>0</v>
      </c>
      <c r="BL10" s="53" t="s">
        <v>170</v>
      </c>
      <c r="BM10" s="979" t="str">
        <f>AD9</f>
        <v>地上</v>
      </c>
      <c r="BN10" s="66" t="str">
        <f>AF9</f>
        <v>地下</v>
      </c>
      <c r="BO10" s="979" t="str">
        <f>AH9</f>
        <v>地上</v>
      </c>
      <c r="BP10" s="66" t="str">
        <f>AJ9</f>
        <v>地下</v>
      </c>
      <c r="BQ10" s="979" t="str">
        <f>AL9</f>
        <v>地上</v>
      </c>
      <c r="BR10" s="66" t="str">
        <f>AN9</f>
        <v>地下</v>
      </c>
      <c r="BS10" s="979" t="str">
        <f>AP9</f>
        <v>地上</v>
      </c>
      <c r="BT10" s="977" t="str">
        <f>AR9</f>
        <v>地下</v>
      </c>
    </row>
    <row r="11" spans="1:72" s="56" customFormat="1" ht="12.75">
      <c r="A11" s="44"/>
      <c r="B11" s="44"/>
      <c r="C11" s="44"/>
      <c r="D11" s="44"/>
      <c r="E11" s="44"/>
      <c r="F11" s="44"/>
      <c r="G11" s="54"/>
      <c r="H11" s="64"/>
      <c r="I11" s="3089" t="s">
        <v>3285</v>
      </c>
      <c r="J11" s="67"/>
      <c r="K11" s="3089" t="s">
        <v>3287</v>
      </c>
      <c r="L11" s="67"/>
      <c r="M11" s="3089" t="s">
        <v>3191</v>
      </c>
      <c r="N11" s="67"/>
      <c r="O11" s="3089" t="s">
        <v>34</v>
      </c>
      <c r="P11" s="67"/>
      <c r="Q11" s="3089" t="s">
        <v>3244</v>
      </c>
      <c r="R11" s="67"/>
      <c r="S11" s="3089" t="s">
        <v>3297</v>
      </c>
      <c r="T11" s="67"/>
      <c r="U11" s="3089" t="s">
        <v>1888</v>
      </c>
      <c r="V11" s="67"/>
      <c r="W11" s="3089" t="s">
        <v>3396</v>
      </c>
      <c r="X11" s="67"/>
      <c r="Y11" s="3089"/>
      <c r="Z11" s="67"/>
      <c r="AA11" s="3089"/>
      <c r="AB11" s="67"/>
      <c r="AC11" s="54"/>
      <c r="AD11" s="2314" t="s">
        <v>2564</v>
      </c>
      <c r="AE11" s="981"/>
      <c r="AF11" s="2314" t="s">
        <v>2564</v>
      </c>
      <c r="AG11" s="981"/>
      <c r="AH11" s="2314" t="s">
        <v>2563</v>
      </c>
      <c r="AI11" s="2315"/>
      <c r="AJ11" s="2314" t="s">
        <v>2563</v>
      </c>
      <c r="AK11" s="2313"/>
      <c r="AL11" s="979"/>
      <c r="AM11" s="981"/>
      <c r="AN11" s="979"/>
      <c r="AO11" s="981"/>
      <c r="AP11" s="1167"/>
      <c r="AQ11" s="1169"/>
      <c r="AR11" s="1167"/>
      <c r="AS11" s="1169"/>
      <c r="AT11" s="982"/>
      <c r="AU11" s="44"/>
      <c r="AV11" s="54"/>
      <c r="AW11" s="982"/>
      <c r="AX11" s="54"/>
      <c r="AY11" s="60"/>
      <c r="AZ11" s="60"/>
      <c r="BA11" s="60"/>
      <c r="BB11" s="49" t="str">
        <f>I10</f>
        <v>住宅</v>
      </c>
      <c r="BC11" s="49" t="str">
        <f>K10</f>
        <v>住宅</v>
      </c>
      <c r="BD11" s="49" t="str">
        <f>M10</f>
        <v>商业</v>
      </c>
      <c r="BE11" s="49" t="str">
        <f>O10</f>
        <v>住宅</v>
      </c>
      <c r="BF11" s="49" t="str">
        <f>Q10</f>
        <v>住宅</v>
      </c>
      <c r="BG11" s="49" t="str">
        <f>S10</f>
        <v>商业</v>
      </c>
      <c r="BH11" s="49" t="str">
        <f>U10</f>
        <v>车库</v>
      </c>
      <c r="BI11" s="49" t="str">
        <f>W10</f>
        <v>办公</v>
      </c>
      <c r="BJ11" s="49">
        <f>Y10</f>
        <v>0</v>
      </c>
      <c r="BK11" s="49">
        <f>AA10</f>
        <v>0</v>
      </c>
      <c r="BL11" s="54"/>
      <c r="BM11" s="979" t="str">
        <f>AD10</f>
        <v>公共配套设施</v>
      </c>
      <c r="BN11" s="979" t="str">
        <f>AF10</f>
        <v>公共配套设施</v>
      </c>
      <c r="BO11" s="52" t="str">
        <f>AH10</f>
        <v>物业管理用房</v>
      </c>
      <c r="BP11" s="52" t="str">
        <f>AJ10</f>
        <v>物业管理用房</v>
      </c>
      <c r="BQ11" s="52" t="str">
        <f>AL10</f>
        <v>设备及其他</v>
      </c>
      <c r="BR11" s="52" t="str">
        <f>AN10</f>
        <v>设备及其他</v>
      </c>
      <c r="BS11" s="53" t="str">
        <f>AP10</f>
        <v>未注明</v>
      </c>
      <c r="BT11" s="976" t="str">
        <f>AR10</f>
        <v>未注明</v>
      </c>
    </row>
    <row r="12" spans="1:72" s="18" customFormat="1" ht="12.75">
      <c r="A12" s="68"/>
      <c r="B12" s="68"/>
      <c r="C12" s="68"/>
      <c r="D12" s="68"/>
      <c r="E12" s="68"/>
      <c r="F12" s="68"/>
      <c r="G12" s="69"/>
      <c r="H12" s="70"/>
      <c r="I12" s="975" t="s">
        <v>177</v>
      </c>
      <c r="J12" s="17" t="s">
        <v>178</v>
      </c>
      <c r="K12" s="17" t="s">
        <v>177</v>
      </c>
      <c r="L12" s="17" t="s">
        <v>178</v>
      </c>
      <c r="M12" s="17" t="s">
        <v>177</v>
      </c>
      <c r="N12" s="17" t="s">
        <v>178</v>
      </c>
      <c r="O12" s="17" t="s">
        <v>177</v>
      </c>
      <c r="P12" s="17" t="s">
        <v>178</v>
      </c>
      <c r="Q12" s="17" t="s">
        <v>177</v>
      </c>
      <c r="R12" s="17" t="s">
        <v>178</v>
      </c>
      <c r="S12" s="17" t="s">
        <v>177</v>
      </c>
      <c r="T12" s="17" t="s">
        <v>178</v>
      </c>
      <c r="U12" s="17" t="s">
        <v>177</v>
      </c>
      <c r="V12" s="967" t="s">
        <v>178</v>
      </c>
      <c r="W12" s="17" t="s">
        <v>177</v>
      </c>
      <c r="X12" s="17" t="s">
        <v>178</v>
      </c>
      <c r="Y12" s="17" t="s">
        <v>177</v>
      </c>
      <c r="Z12" s="17" t="s">
        <v>178</v>
      </c>
      <c r="AA12" s="17" t="s">
        <v>177</v>
      </c>
      <c r="AB12" s="17" t="s">
        <v>178</v>
      </c>
      <c r="AC12" s="71"/>
      <c r="AD12" s="975" t="s">
        <v>177</v>
      </c>
      <c r="AE12" s="17" t="s">
        <v>178</v>
      </c>
      <c r="AF12" s="17" t="s">
        <v>177</v>
      </c>
      <c r="AG12" s="17" t="s">
        <v>178</v>
      </c>
      <c r="AH12" s="17" t="s">
        <v>177</v>
      </c>
      <c r="AI12" s="17" t="s">
        <v>178</v>
      </c>
      <c r="AJ12" s="17" t="s">
        <v>177</v>
      </c>
      <c r="AK12" s="17" t="s">
        <v>178</v>
      </c>
      <c r="AL12" s="17" t="s">
        <v>177</v>
      </c>
      <c r="AM12" s="17" t="s">
        <v>178</v>
      </c>
      <c r="AN12" s="17" t="s">
        <v>177</v>
      </c>
      <c r="AO12" s="17" t="s">
        <v>178</v>
      </c>
      <c r="AP12" s="1165" t="s">
        <v>177</v>
      </c>
      <c r="AQ12" s="1165" t="s">
        <v>178</v>
      </c>
      <c r="AR12" s="1171" t="s">
        <v>177</v>
      </c>
      <c r="AS12" s="1170" t="s">
        <v>178</v>
      </c>
      <c r="AT12" s="72"/>
      <c r="AU12" s="68"/>
      <c r="AV12" s="73"/>
      <c r="AW12" s="41"/>
      <c r="AX12" s="73"/>
      <c r="AY12" s="74"/>
      <c r="AZ12" s="60"/>
      <c r="BA12" s="64"/>
      <c r="BB12" s="52" t="str">
        <f>I11</f>
        <v>高层</v>
      </c>
      <c r="BC12" s="75" t="str">
        <f>K11</f>
        <v>叠拼</v>
      </c>
      <c r="BD12" s="75" t="str">
        <f>M11</f>
        <v>底商</v>
      </c>
      <c r="BE12" s="49" t="str">
        <f>O11</f>
        <v>限价商品房</v>
      </c>
      <c r="BF12" s="49" t="str">
        <f>Q11</f>
        <v>公租房</v>
      </c>
      <c r="BG12" s="49" t="str">
        <f>S11</f>
        <v>地下商业</v>
      </c>
      <c r="BH12" s="49" t="str">
        <f>U11</f>
        <v>车库</v>
      </c>
      <c r="BI12" s="49" t="str">
        <f>W11</f>
        <v>办公楼</v>
      </c>
      <c r="BJ12" s="49">
        <f>Y11</f>
        <v>0</v>
      </c>
      <c r="BK12" s="49">
        <f>AA11</f>
        <v>0</v>
      </c>
      <c r="BL12" s="54"/>
      <c r="BM12" s="979" t="str">
        <f>AD11</f>
        <v>（住宅）</v>
      </c>
      <c r="BN12" s="979" t="str">
        <f>AF11</f>
        <v>（住宅）</v>
      </c>
      <c r="BO12" s="52" t="str">
        <f>AH11</f>
        <v>（住宅、计出让金）</v>
      </c>
      <c r="BP12" s="52" t="str">
        <f>AJ11</f>
        <v>（住宅、计出让金）</v>
      </c>
      <c r="BQ12" s="52">
        <f>AL11</f>
        <v>0</v>
      </c>
      <c r="BR12" s="52">
        <f>AN11</f>
        <v>0</v>
      </c>
      <c r="BS12" s="53">
        <f>AP11</f>
        <v>0</v>
      </c>
      <c r="BT12" s="976">
        <f>AR11</f>
        <v>0</v>
      </c>
    </row>
    <row r="13" spans="1:72" s="18" customFormat="1">
      <c r="A13" s="3173" t="s">
        <v>3283</v>
      </c>
      <c r="B13" s="3083" t="s">
        <v>3284</v>
      </c>
      <c r="C13" s="3084" t="s">
        <v>3286</v>
      </c>
      <c r="D13" s="3085" t="s">
        <v>1889</v>
      </c>
      <c r="E13" s="26">
        <f t="shared" ref="E13:E20" si="6">IF($C$3="是",ROUND($A$3*G13/$B$3,2),ROUND($A$3*(G13-AT13)/$B$3,2))</f>
        <v>23316.79</v>
      </c>
      <c r="F13" s="77"/>
      <c r="G13" s="78">
        <f t="shared" ref="G13:G20" si="7">H13+AC13+AT13</f>
        <v>95653.92</v>
      </c>
      <c r="H13" s="32">
        <f t="shared" ref="H13:H20" si="8">SUMIF(I$12:AB$12,"总值",I13:AB13)</f>
        <v>95322.06</v>
      </c>
      <c r="I13" s="3092">
        <f>[2]Sheet1!$N$20*10000</f>
        <v>95322.06</v>
      </c>
      <c r="J13" s="3093"/>
      <c r="K13" s="3092"/>
      <c r="L13" s="3093"/>
      <c r="M13" s="3093"/>
      <c r="N13" s="3093"/>
      <c r="O13" s="3093"/>
      <c r="P13" s="3093"/>
      <c r="Q13" s="3093"/>
      <c r="R13" s="3093"/>
      <c r="S13" s="3093"/>
      <c r="T13" s="3093"/>
      <c r="U13" s="3094"/>
      <c r="V13" s="3093"/>
      <c r="W13" s="3093"/>
      <c r="X13" s="3093"/>
      <c r="Y13" s="3093"/>
      <c r="Z13" s="3093"/>
      <c r="AA13" s="3093"/>
      <c r="AB13" s="3093"/>
      <c r="AC13" s="26">
        <f t="shared" ref="AC13:AC20" si="9">SUMIF(AD$12:AS$12,"总值",AD13:AS13)</f>
        <v>331.86</v>
      </c>
      <c r="AD13" s="3082"/>
      <c r="AE13" s="3082"/>
      <c r="AF13" s="3092"/>
      <c r="AG13" s="3082"/>
      <c r="AH13" s="3082"/>
      <c r="AI13" s="3082"/>
      <c r="AJ13" s="3082"/>
      <c r="AK13" s="3082"/>
      <c r="AL13" s="3082"/>
      <c r="AM13" s="3082"/>
      <c r="AN13" s="3092">
        <f>[2]Sheet1!$N$26*10000</f>
        <v>331.86</v>
      </c>
      <c r="AO13" s="3082"/>
      <c r="AP13" s="3082"/>
      <c r="AQ13" s="3082"/>
      <c r="AR13" s="3082"/>
      <c r="AS13" s="3082"/>
      <c r="AT13" s="3098"/>
      <c r="AU13" s="3099"/>
      <c r="AV13" s="17" t="str">
        <f t="shared" ref="AV13:AX20" si="10">A13</f>
        <v>两个土地证</v>
      </c>
      <c r="AW13" s="17" t="str">
        <f t="shared" si="10"/>
        <v>项目统计</v>
      </c>
      <c r="AX13" s="17" t="str">
        <f t="shared" si="10"/>
        <v>高层</v>
      </c>
      <c r="AY13" s="975">
        <f t="shared" ref="AY13:AY20" si="11">ROUND($AY$6*AZ13/$AZ$5,2)</f>
        <v>21493.9</v>
      </c>
      <c r="AZ13" s="26">
        <f t="shared" ref="AZ13:AZ20" si="12">BA13+BL13</f>
        <v>95653.92</v>
      </c>
      <c r="BA13" s="26">
        <f t="shared" ref="BA13:BA20" si="13">SUM(BB13:BK13)</f>
        <v>95322.06</v>
      </c>
      <c r="BB13" s="26">
        <f t="shared" ref="BB13:BB20" si="14">IF($D13="是",I13-J13,0)</f>
        <v>95322.06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331.86</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331.86</v>
      </c>
      <c r="BS13" s="26">
        <f t="shared" ref="BS13:BS20" si="31">IF($D13="是",AP13-AQ13,0)</f>
        <v>0</v>
      </c>
      <c r="BT13" s="35">
        <f t="shared" ref="BT13:BT20" si="32">IF($D13="是",AR13-AS13,0)</f>
        <v>0</v>
      </c>
    </row>
    <row r="14" spans="1:72" s="18" customFormat="1">
      <c r="A14" s="3082"/>
      <c r="B14" s="3083"/>
      <c r="C14" s="3084" t="s">
        <v>3287</v>
      </c>
      <c r="D14" s="3085" t="s">
        <v>1889</v>
      </c>
      <c r="E14" s="26">
        <f t="shared" si="6"/>
        <v>11427.15</v>
      </c>
      <c r="F14" s="77"/>
      <c r="G14" s="78">
        <f t="shared" si="7"/>
        <v>46878.32</v>
      </c>
      <c r="H14" s="32">
        <f t="shared" si="8"/>
        <v>46878.32</v>
      </c>
      <c r="I14" s="3092"/>
      <c r="J14" s="3093"/>
      <c r="K14" s="3092">
        <f>[2]Sheet1!$N$21*10000</f>
        <v>46878.32</v>
      </c>
      <c r="L14" s="3093"/>
      <c r="M14" s="3093"/>
      <c r="N14" s="3093"/>
      <c r="O14" s="3093"/>
      <c r="P14" s="3093"/>
      <c r="Q14" s="3095"/>
      <c r="R14" s="3093"/>
      <c r="S14" s="3093"/>
      <c r="T14" s="3093"/>
      <c r="U14" s="3093"/>
      <c r="V14" s="3093"/>
      <c r="W14" s="3093"/>
      <c r="X14" s="3093"/>
      <c r="Y14" s="3093"/>
      <c r="Z14" s="3093"/>
      <c r="AA14" s="3093"/>
      <c r="AB14" s="3093"/>
      <c r="AC14" s="26">
        <f t="shared" si="9"/>
        <v>0</v>
      </c>
      <c r="AD14" s="3082"/>
      <c r="AE14" s="3082"/>
      <c r="AF14" s="3092"/>
      <c r="AG14" s="3082"/>
      <c r="AH14" s="3082"/>
      <c r="AI14" s="3082"/>
      <c r="AJ14" s="3082"/>
      <c r="AK14" s="3082"/>
      <c r="AL14" s="3082"/>
      <c r="AM14" s="3082"/>
      <c r="AN14" s="3100"/>
      <c r="AO14" s="3082"/>
      <c r="AP14" s="3082"/>
      <c r="AQ14" s="3082"/>
      <c r="AR14" s="3082"/>
      <c r="AS14" s="3082"/>
      <c r="AT14" s="3101"/>
      <c r="AU14" s="3099"/>
      <c r="AV14" s="17">
        <f t="shared" si="10"/>
        <v>0</v>
      </c>
      <c r="AW14" s="17">
        <f t="shared" si="10"/>
        <v>0</v>
      </c>
      <c r="AX14" s="17" t="str">
        <f t="shared" si="10"/>
        <v>叠拼</v>
      </c>
      <c r="AY14" s="975">
        <f t="shared" si="11"/>
        <v>10533.78</v>
      </c>
      <c r="AZ14" s="26">
        <f t="shared" si="12"/>
        <v>46878.32</v>
      </c>
      <c r="BA14" s="26">
        <f t="shared" si="13"/>
        <v>46878.32</v>
      </c>
      <c r="BB14" s="26">
        <f t="shared" si="14"/>
        <v>0</v>
      </c>
      <c r="BC14" s="26">
        <f t="shared" si="15"/>
        <v>46878.32</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c r="A15" s="3082"/>
      <c r="B15" s="3083"/>
      <c r="C15" s="3084" t="s">
        <v>3191</v>
      </c>
      <c r="D15" s="3085" t="s">
        <v>1889</v>
      </c>
      <c r="E15" s="26">
        <f t="shared" si="6"/>
        <v>10057.09</v>
      </c>
      <c r="F15" s="77"/>
      <c r="G15" s="78">
        <f t="shared" si="7"/>
        <v>41257.83</v>
      </c>
      <c r="H15" s="32">
        <f t="shared" si="8"/>
        <v>41257.83</v>
      </c>
      <c r="I15" s="3092"/>
      <c r="J15" s="3093"/>
      <c r="K15" s="3092"/>
      <c r="L15" s="3093"/>
      <c r="M15" s="3093">
        <f>[2]Sheet1!$N$22*10000</f>
        <v>41257.83</v>
      </c>
      <c r="N15" s="3093"/>
      <c r="O15" s="3093"/>
      <c r="P15" s="3093"/>
      <c r="Q15" s="3093"/>
      <c r="R15" s="3093"/>
      <c r="S15" s="3093"/>
      <c r="T15" s="3093"/>
      <c r="U15" s="3093"/>
      <c r="V15" s="3093"/>
      <c r="W15" s="3093"/>
      <c r="X15" s="3093"/>
      <c r="Y15" s="3093"/>
      <c r="Z15" s="3093"/>
      <c r="AA15" s="3093"/>
      <c r="AB15" s="3093"/>
      <c r="AC15" s="26">
        <f t="shared" si="9"/>
        <v>0</v>
      </c>
      <c r="AD15" s="3082"/>
      <c r="AE15" s="3082"/>
      <c r="AF15" s="3092"/>
      <c r="AG15" s="3082"/>
      <c r="AH15" s="3082"/>
      <c r="AI15" s="3082"/>
      <c r="AJ15" s="3082"/>
      <c r="AK15" s="3082"/>
      <c r="AL15" s="3082"/>
      <c r="AM15" s="3082"/>
      <c r="AN15" s="3100"/>
      <c r="AO15" s="3082"/>
      <c r="AP15" s="3082"/>
      <c r="AQ15" s="3082"/>
      <c r="AR15" s="3082"/>
      <c r="AS15" s="3082"/>
      <c r="AT15" s="3098"/>
      <c r="AU15" s="3099"/>
      <c r="AV15" s="17">
        <f t="shared" si="10"/>
        <v>0</v>
      </c>
      <c r="AW15" s="17">
        <f t="shared" si="10"/>
        <v>0</v>
      </c>
      <c r="AX15" s="17" t="str">
        <f t="shared" si="10"/>
        <v>底商</v>
      </c>
      <c r="AY15" s="975">
        <f t="shared" si="11"/>
        <v>9270.83</v>
      </c>
      <c r="AZ15" s="26">
        <f t="shared" si="12"/>
        <v>41257.83</v>
      </c>
      <c r="BA15" s="26">
        <f t="shared" si="13"/>
        <v>41257.83</v>
      </c>
      <c r="BB15" s="26">
        <f t="shared" si="14"/>
        <v>0</v>
      </c>
      <c r="BC15" s="26">
        <f t="shared" si="15"/>
        <v>0</v>
      </c>
      <c r="BD15" s="26">
        <f t="shared" si="16"/>
        <v>41257.83</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c r="A16" s="3082"/>
      <c r="B16" s="3083"/>
      <c r="C16" s="3084" t="s">
        <v>3288</v>
      </c>
      <c r="D16" s="3085" t="s">
        <v>1889</v>
      </c>
      <c r="E16" s="26">
        <f t="shared" si="6"/>
        <v>20247.39</v>
      </c>
      <c r="F16" s="77"/>
      <c r="G16" s="78">
        <f t="shared" si="7"/>
        <v>83062.14</v>
      </c>
      <c r="H16" s="32">
        <f t="shared" si="8"/>
        <v>83062.14</v>
      </c>
      <c r="I16" s="3092"/>
      <c r="J16" s="3093"/>
      <c r="K16" s="3092"/>
      <c r="L16" s="3093"/>
      <c r="M16" s="3093"/>
      <c r="N16" s="3093"/>
      <c r="O16" s="3093"/>
      <c r="P16" s="3093"/>
      <c r="Q16" s="3093"/>
      <c r="R16" s="3093"/>
      <c r="S16" s="3093">
        <f>[2]Sheet1!$N$23*10000</f>
        <v>83062.14</v>
      </c>
      <c r="T16" s="3093"/>
      <c r="U16" s="3093"/>
      <c r="V16" s="3093"/>
      <c r="W16" s="3093"/>
      <c r="X16" s="3093"/>
      <c r="Y16" s="3093"/>
      <c r="Z16" s="3093"/>
      <c r="AA16" s="3093"/>
      <c r="AB16" s="3093"/>
      <c r="AC16" s="26">
        <f t="shared" si="9"/>
        <v>0</v>
      </c>
      <c r="AD16" s="3082"/>
      <c r="AE16" s="3082"/>
      <c r="AF16" s="3092"/>
      <c r="AG16" s="3082"/>
      <c r="AH16" s="3082"/>
      <c r="AI16" s="3082"/>
      <c r="AJ16" s="3082"/>
      <c r="AK16" s="3082"/>
      <c r="AL16" s="3097"/>
      <c r="AM16" s="3082"/>
      <c r="AN16" s="3092"/>
      <c r="AO16" s="3082"/>
      <c r="AP16" s="3082"/>
      <c r="AQ16" s="3082"/>
      <c r="AR16" s="3082"/>
      <c r="AS16" s="3082"/>
      <c r="AT16" s="3098"/>
      <c r="AU16" s="3099"/>
      <c r="AV16" s="17">
        <f t="shared" si="10"/>
        <v>0</v>
      </c>
      <c r="AW16" s="17">
        <f t="shared" si="10"/>
        <v>0</v>
      </c>
      <c r="AX16" s="17" t="str">
        <f t="shared" si="10"/>
        <v>地下商铺</v>
      </c>
      <c r="AY16" s="975">
        <f t="shared" si="11"/>
        <v>18664.46</v>
      </c>
      <c r="AZ16" s="26">
        <f t="shared" si="12"/>
        <v>83062.14</v>
      </c>
      <c r="BA16" s="26">
        <f t="shared" si="13"/>
        <v>83062.14</v>
      </c>
      <c r="BB16" s="26">
        <f t="shared" si="14"/>
        <v>0</v>
      </c>
      <c r="BC16" s="26">
        <f t="shared" si="15"/>
        <v>0</v>
      </c>
      <c r="BD16" s="26">
        <f t="shared" si="16"/>
        <v>0</v>
      </c>
      <c r="BE16" s="26">
        <f t="shared" si="17"/>
        <v>0</v>
      </c>
      <c r="BF16" s="26">
        <f t="shared" si="18"/>
        <v>0</v>
      </c>
      <c r="BG16" s="26">
        <f t="shared" si="19"/>
        <v>83062.14</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28.5">
      <c r="A17" s="3082"/>
      <c r="B17" s="3083"/>
      <c r="C17" s="3084" t="s">
        <v>3289</v>
      </c>
      <c r="D17" s="3085" t="s">
        <v>1889</v>
      </c>
      <c r="E17" s="26">
        <f t="shared" si="6"/>
        <v>22870.240000000002</v>
      </c>
      <c r="F17" s="77"/>
      <c r="G17" s="78">
        <f t="shared" si="7"/>
        <v>93822</v>
      </c>
      <c r="H17" s="32">
        <f t="shared" si="8"/>
        <v>93822</v>
      </c>
      <c r="I17" s="3092"/>
      <c r="J17" s="3093"/>
      <c r="K17" s="3092"/>
      <c r="L17" s="3093"/>
      <c r="M17" s="3093"/>
      <c r="N17" s="3093"/>
      <c r="O17" s="3093">
        <v>49000</v>
      </c>
      <c r="P17" s="3093"/>
      <c r="Q17" s="3093">
        <v>44822</v>
      </c>
      <c r="R17" s="3093"/>
      <c r="S17" s="3093"/>
      <c r="T17" s="3093"/>
      <c r="U17" s="3093"/>
      <c r="V17" s="3093"/>
      <c r="W17" s="3093"/>
      <c r="X17" s="3093"/>
      <c r="Y17" s="3093"/>
      <c r="Z17" s="3093"/>
      <c r="AA17" s="3093"/>
      <c r="AB17" s="3093"/>
      <c r="AC17" s="26">
        <f t="shared" si="9"/>
        <v>0</v>
      </c>
      <c r="AD17" s="3082"/>
      <c r="AE17" s="3082"/>
      <c r="AF17" s="3092"/>
      <c r="AG17" s="3082"/>
      <c r="AH17" s="3082"/>
      <c r="AI17" s="3082"/>
      <c r="AJ17" s="3082"/>
      <c r="AK17" s="3082"/>
      <c r="AL17" s="3082"/>
      <c r="AM17" s="3082"/>
      <c r="AN17" s="3092"/>
      <c r="AO17" s="3082"/>
      <c r="AP17" s="3082"/>
      <c r="AQ17" s="3082"/>
      <c r="AR17" s="3082"/>
      <c r="AS17" s="3082"/>
      <c r="AT17" s="3098"/>
      <c r="AU17" s="3099"/>
      <c r="AV17" s="17">
        <f t="shared" si="10"/>
        <v>0</v>
      </c>
      <c r="AW17" s="17">
        <f t="shared" si="10"/>
        <v>0</v>
      </c>
      <c r="AX17" s="17" t="str">
        <f t="shared" si="10"/>
        <v>保障性住房</v>
      </c>
      <c r="AY17" s="975">
        <f t="shared" si="11"/>
        <v>21082.25</v>
      </c>
      <c r="AZ17" s="26">
        <f t="shared" si="12"/>
        <v>93822</v>
      </c>
      <c r="BA17" s="26">
        <f t="shared" si="13"/>
        <v>93822</v>
      </c>
      <c r="BB17" s="26">
        <f t="shared" si="14"/>
        <v>0</v>
      </c>
      <c r="BC17" s="26">
        <f t="shared" si="15"/>
        <v>0</v>
      </c>
      <c r="BD17" s="26">
        <f t="shared" si="16"/>
        <v>0</v>
      </c>
      <c r="BE17" s="26">
        <f t="shared" si="17"/>
        <v>49000</v>
      </c>
      <c r="BF17" s="26">
        <f t="shared" si="18"/>
        <v>44822</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28.5">
      <c r="A18" s="3082"/>
      <c r="B18" s="3083"/>
      <c r="C18" s="3084" t="s">
        <v>3290</v>
      </c>
      <c r="D18" s="3085" t="s">
        <v>1889</v>
      </c>
      <c r="E18" s="82">
        <f t="shared" si="6"/>
        <v>23396.83</v>
      </c>
      <c r="F18" s="83"/>
      <c r="G18" s="84">
        <f t="shared" si="7"/>
        <v>95982.26999999999</v>
      </c>
      <c r="H18" s="85">
        <f t="shared" si="8"/>
        <v>95982.26999999999</v>
      </c>
      <c r="I18" s="3092"/>
      <c r="J18" s="3096"/>
      <c r="K18" s="3092"/>
      <c r="L18" s="3096"/>
      <c r="M18" s="3096"/>
      <c r="N18" s="3096"/>
      <c r="O18" s="3096"/>
      <c r="P18" s="3096"/>
      <c r="Q18" s="3096"/>
      <c r="R18" s="3096"/>
      <c r="S18" s="3096"/>
      <c r="T18" s="3096"/>
      <c r="U18" s="3096">
        <f>[2]Sheet1!$N$27*10000</f>
        <v>95982.26999999999</v>
      </c>
      <c r="V18" s="3096"/>
      <c r="W18" s="3096"/>
      <c r="X18" s="3096"/>
      <c r="Y18" s="3096"/>
      <c r="Z18" s="3096"/>
      <c r="AA18" s="3096"/>
      <c r="AB18" s="3096"/>
      <c r="AC18" s="82">
        <f t="shared" si="9"/>
        <v>0</v>
      </c>
      <c r="AD18" s="3102"/>
      <c r="AE18" s="3102"/>
      <c r="AF18" s="3092"/>
      <c r="AG18" s="3102"/>
      <c r="AH18" s="3102"/>
      <c r="AI18" s="3102"/>
      <c r="AJ18" s="3102"/>
      <c r="AK18" s="3102"/>
      <c r="AL18" s="3097"/>
      <c r="AM18" s="3102"/>
      <c r="AN18" s="3092"/>
      <c r="AO18" s="3102"/>
      <c r="AP18" s="3102"/>
      <c r="AQ18" s="3102"/>
      <c r="AR18" s="3102"/>
      <c r="AS18" s="3102"/>
      <c r="AT18" s="3103"/>
      <c r="AU18" s="3104"/>
      <c r="AV18" s="971">
        <f t="shared" si="10"/>
        <v>0</v>
      </c>
      <c r="AW18" s="971">
        <f t="shared" si="10"/>
        <v>0</v>
      </c>
      <c r="AX18" s="971" t="str">
        <f t="shared" si="10"/>
        <v>有产权车位</v>
      </c>
      <c r="AY18" s="90">
        <f t="shared" si="11"/>
        <v>21567.68</v>
      </c>
      <c r="AZ18" s="82">
        <f t="shared" si="12"/>
        <v>95982.26999999999</v>
      </c>
      <c r="BA18" s="82">
        <f t="shared" si="13"/>
        <v>95982.26999999999</v>
      </c>
      <c r="BB18" s="82">
        <f t="shared" si="14"/>
        <v>0</v>
      </c>
      <c r="BC18" s="82">
        <f t="shared" si="15"/>
        <v>0</v>
      </c>
      <c r="BD18" s="82">
        <f t="shared" si="16"/>
        <v>0</v>
      </c>
      <c r="BE18" s="82">
        <f t="shared" si="17"/>
        <v>0</v>
      </c>
      <c r="BF18" s="82">
        <f t="shared" si="18"/>
        <v>0</v>
      </c>
      <c r="BG18" s="82">
        <f t="shared" si="19"/>
        <v>0</v>
      </c>
      <c r="BH18" s="82">
        <f t="shared" si="20"/>
        <v>95982.26999999999</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3082"/>
      <c r="B19" s="3083"/>
      <c r="C19" s="3084" t="s">
        <v>3397</v>
      </c>
      <c r="D19" s="3085" t="s">
        <v>1889</v>
      </c>
      <c r="E19" s="82">
        <f t="shared" si="6"/>
        <v>12384.51</v>
      </c>
      <c r="F19" s="83"/>
      <c r="G19" s="84">
        <f t="shared" si="7"/>
        <v>50805.77</v>
      </c>
      <c r="H19" s="85">
        <f t="shared" si="8"/>
        <v>50805.77</v>
      </c>
      <c r="I19" s="3092"/>
      <c r="J19" s="3096"/>
      <c r="K19" s="3092"/>
      <c r="L19" s="3096"/>
      <c r="M19" s="3096"/>
      <c r="N19" s="3096"/>
      <c r="O19" s="3096"/>
      <c r="P19" s="3096"/>
      <c r="Q19" s="3096"/>
      <c r="R19" s="3096"/>
      <c r="S19" s="3096"/>
      <c r="T19" s="3096"/>
      <c r="U19" s="3096"/>
      <c r="V19" s="3096"/>
      <c r="W19" s="3096">
        <f>[2]Sheet1!$N$25*10000</f>
        <v>50805.77</v>
      </c>
      <c r="X19" s="3096"/>
      <c r="Y19" s="3096"/>
      <c r="Z19" s="3096"/>
      <c r="AA19" s="3096"/>
      <c r="AB19" s="3096"/>
      <c r="AC19" s="82">
        <f t="shared" si="9"/>
        <v>0</v>
      </c>
      <c r="AD19" s="3102"/>
      <c r="AE19" s="3102"/>
      <c r="AF19" s="3092"/>
      <c r="AG19" s="3102"/>
      <c r="AH19" s="3102"/>
      <c r="AI19" s="3102"/>
      <c r="AJ19" s="3102"/>
      <c r="AK19" s="3102"/>
      <c r="AL19" s="3102"/>
      <c r="AM19" s="3102"/>
      <c r="AN19" s="3092"/>
      <c r="AO19" s="3102"/>
      <c r="AP19" s="3102"/>
      <c r="AQ19" s="3102"/>
      <c r="AR19" s="3102"/>
      <c r="AS19" s="3102"/>
      <c r="AT19" s="3103"/>
      <c r="AU19" s="3104"/>
      <c r="AV19" s="971">
        <f t="shared" si="10"/>
        <v>0</v>
      </c>
      <c r="AW19" s="971">
        <f t="shared" si="10"/>
        <v>0</v>
      </c>
      <c r="AX19" s="971" t="str">
        <f t="shared" si="10"/>
        <v>办公楼</v>
      </c>
      <c r="AY19" s="90">
        <f t="shared" si="11"/>
        <v>11416.3</v>
      </c>
      <c r="AZ19" s="82">
        <f t="shared" si="12"/>
        <v>50805.77</v>
      </c>
      <c r="BA19" s="82">
        <f t="shared" si="13"/>
        <v>50805.77</v>
      </c>
      <c r="BB19" s="82">
        <f t="shared" si="14"/>
        <v>0</v>
      </c>
      <c r="BC19" s="82">
        <f t="shared" si="15"/>
        <v>0</v>
      </c>
      <c r="BD19" s="82">
        <f t="shared" si="16"/>
        <v>0</v>
      </c>
      <c r="BE19" s="82">
        <f t="shared" si="17"/>
        <v>0</v>
      </c>
      <c r="BF19" s="82">
        <f t="shared" si="18"/>
        <v>0</v>
      </c>
      <c r="BG19" s="82">
        <f t="shared" si="19"/>
        <v>0</v>
      </c>
      <c r="BH19" s="82">
        <f t="shared" si="20"/>
        <v>0</v>
      </c>
      <c r="BI19" s="82">
        <f t="shared" si="21"/>
        <v>50805.77</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3082"/>
      <c r="B20" s="3083"/>
      <c r="C20" s="3084"/>
      <c r="D20" s="3085"/>
      <c r="E20" s="82">
        <f t="shared" si="6"/>
        <v>0</v>
      </c>
      <c r="F20" s="83"/>
      <c r="G20" s="84">
        <f t="shared" si="7"/>
        <v>0</v>
      </c>
      <c r="H20" s="85">
        <f t="shared" si="8"/>
        <v>0</v>
      </c>
      <c r="I20" s="3092"/>
      <c r="J20" s="3096"/>
      <c r="K20" s="3092"/>
      <c r="L20" s="3096"/>
      <c r="M20" s="3096"/>
      <c r="N20" s="3096"/>
      <c r="O20" s="3096"/>
      <c r="P20" s="3096"/>
      <c r="Q20" s="3096"/>
      <c r="R20" s="3096"/>
      <c r="S20" s="3096"/>
      <c r="T20" s="3096"/>
      <c r="U20" s="3096"/>
      <c r="V20" s="3096"/>
      <c r="W20" s="3096"/>
      <c r="X20" s="3096"/>
      <c r="Y20" s="3096"/>
      <c r="Z20" s="3096"/>
      <c r="AA20" s="3096"/>
      <c r="AB20" s="3096"/>
      <c r="AC20" s="82">
        <f t="shared" si="9"/>
        <v>0</v>
      </c>
      <c r="AD20" s="3102"/>
      <c r="AE20" s="3102"/>
      <c r="AF20" s="3092"/>
      <c r="AG20" s="3102"/>
      <c r="AH20" s="3102"/>
      <c r="AI20" s="3102"/>
      <c r="AJ20" s="3102"/>
      <c r="AK20" s="3102"/>
      <c r="AL20" s="3102"/>
      <c r="AM20" s="3102"/>
      <c r="AN20" s="3092"/>
      <c r="AO20" s="3102"/>
      <c r="AP20" s="3102"/>
      <c r="AQ20" s="3102"/>
      <c r="AR20" s="3102"/>
      <c r="AS20" s="3102"/>
      <c r="AT20" s="3103"/>
      <c r="AU20" s="3104"/>
      <c r="AV20" s="971">
        <f t="shared" si="10"/>
        <v>0</v>
      </c>
      <c r="AW20" s="971">
        <f t="shared" si="10"/>
        <v>0</v>
      </c>
      <c r="AX20" s="971">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3082"/>
      <c r="B21" s="3083"/>
      <c r="C21" s="3084"/>
      <c r="D21" s="3085"/>
      <c r="E21" s="82">
        <f t="shared" ref="E21:E112" si="33">IF($C$3="是",ROUND($A$3*G21/$B$3,2),ROUND($A$3*(G21-AT21)/$B$3,2))</f>
        <v>0</v>
      </c>
      <c r="F21" s="83"/>
      <c r="G21" s="84">
        <f t="shared" ref="G21:G109" si="34">H21+AC21+AT21</f>
        <v>0</v>
      </c>
      <c r="H21" s="85">
        <f t="shared" ref="H21:H109" si="35">SUMIF(I$12:AB$12,"总值",I21:AB21)</f>
        <v>0</v>
      </c>
      <c r="I21" s="3086"/>
      <c r="J21" s="3096"/>
      <c r="K21" s="3086"/>
      <c r="L21" s="3096"/>
      <c r="M21" s="3096"/>
      <c r="N21" s="3096"/>
      <c r="O21" s="3096"/>
      <c r="P21" s="3096"/>
      <c r="Q21" s="3096"/>
      <c r="R21" s="3096"/>
      <c r="S21" s="3096"/>
      <c r="T21" s="3096"/>
      <c r="U21" s="3096"/>
      <c r="V21" s="3096"/>
      <c r="W21" s="3096"/>
      <c r="X21" s="3096"/>
      <c r="Y21" s="3096"/>
      <c r="Z21" s="3096"/>
      <c r="AA21" s="3096"/>
      <c r="AB21" s="3096"/>
      <c r="AC21" s="82">
        <f t="shared" ref="AC21:AC109" si="36">SUMIF(AD$12:AS$12,"总值",AD21:AS21)</f>
        <v>0</v>
      </c>
      <c r="AD21" s="3102"/>
      <c r="AE21" s="3102"/>
      <c r="AF21" s="3105"/>
      <c r="AG21" s="3102"/>
      <c r="AH21" s="3102"/>
      <c r="AI21" s="3102"/>
      <c r="AJ21" s="3102"/>
      <c r="AK21" s="3102"/>
      <c r="AL21" s="3102"/>
      <c r="AM21" s="3102"/>
      <c r="AN21" s="3097"/>
      <c r="AO21" s="3102"/>
      <c r="AP21" s="3102"/>
      <c r="AQ21" s="3102"/>
      <c r="AR21" s="3102"/>
      <c r="AS21" s="3102"/>
      <c r="AT21" s="3103"/>
      <c r="AU21" s="3104"/>
      <c r="AV21" s="1954">
        <f t="shared" ref="AV21:AV112" si="37">A21</f>
        <v>0</v>
      </c>
      <c r="AW21" s="1954">
        <f t="shared" ref="AW21:AW112" si="38">B21</f>
        <v>0</v>
      </c>
      <c r="AX21" s="1954">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3082"/>
      <c r="B22" s="3083"/>
      <c r="C22" s="3084"/>
      <c r="D22" s="3085"/>
      <c r="E22" s="82">
        <f t="shared" si="33"/>
        <v>0</v>
      </c>
      <c r="F22" s="83"/>
      <c r="G22" s="84">
        <f t="shared" si="34"/>
        <v>0</v>
      </c>
      <c r="H22" s="85">
        <f t="shared" si="35"/>
        <v>0</v>
      </c>
      <c r="I22" s="3086"/>
      <c r="J22" s="3096"/>
      <c r="K22" s="3086"/>
      <c r="L22" s="3096"/>
      <c r="M22" s="3097"/>
      <c r="N22" s="3096"/>
      <c r="O22" s="3096"/>
      <c r="P22" s="3096"/>
      <c r="Q22" s="3096"/>
      <c r="R22" s="3096"/>
      <c r="S22" s="3096"/>
      <c r="T22" s="3096"/>
      <c r="U22" s="3096"/>
      <c r="V22" s="3096"/>
      <c r="W22" s="3096"/>
      <c r="X22" s="3096"/>
      <c r="Y22" s="3096"/>
      <c r="Z22" s="3096"/>
      <c r="AA22" s="3096"/>
      <c r="AB22" s="3096"/>
      <c r="AC22" s="82">
        <f t="shared" si="36"/>
        <v>0</v>
      </c>
      <c r="AD22" s="3097"/>
      <c r="AE22" s="3102"/>
      <c r="AF22" s="3105"/>
      <c r="AG22" s="3102"/>
      <c r="AH22" s="3102"/>
      <c r="AI22" s="3102"/>
      <c r="AJ22" s="3102"/>
      <c r="AK22" s="3102"/>
      <c r="AL22" s="3097"/>
      <c r="AM22" s="3102"/>
      <c r="AN22" s="3097"/>
      <c r="AO22" s="3102"/>
      <c r="AP22" s="3102"/>
      <c r="AQ22" s="3102"/>
      <c r="AR22" s="3102"/>
      <c r="AS22" s="3102"/>
      <c r="AT22" s="3103"/>
      <c r="AU22" s="3104"/>
      <c r="AV22" s="1954">
        <f t="shared" si="37"/>
        <v>0</v>
      </c>
      <c r="AW22" s="1954">
        <f t="shared" si="38"/>
        <v>0</v>
      </c>
      <c r="AX22" s="1954">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3082"/>
      <c r="B23" s="3083"/>
      <c r="C23" s="3084"/>
      <c r="D23" s="3085"/>
      <c r="E23" s="82">
        <f t="shared" si="33"/>
        <v>0</v>
      </c>
      <c r="F23" s="83"/>
      <c r="G23" s="84">
        <f t="shared" si="34"/>
        <v>0</v>
      </c>
      <c r="H23" s="85">
        <f t="shared" si="35"/>
        <v>0</v>
      </c>
      <c r="I23" s="3086"/>
      <c r="J23" s="3096"/>
      <c r="K23" s="3086"/>
      <c r="L23" s="3096"/>
      <c r="M23" s="3097"/>
      <c r="N23" s="3096"/>
      <c r="O23" s="3096"/>
      <c r="P23" s="3096"/>
      <c r="Q23" s="3096"/>
      <c r="R23" s="3096"/>
      <c r="S23" s="3096"/>
      <c r="T23" s="3096"/>
      <c r="U23" s="3096"/>
      <c r="V23" s="3096"/>
      <c r="W23" s="3096"/>
      <c r="X23" s="3096"/>
      <c r="Y23" s="3096"/>
      <c r="Z23" s="3096"/>
      <c r="AA23" s="3096"/>
      <c r="AB23" s="3096"/>
      <c r="AC23" s="82">
        <f t="shared" si="36"/>
        <v>0</v>
      </c>
      <c r="AD23" s="3102"/>
      <c r="AE23" s="3102"/>
      <c r="AF23" s="3105"/>
      <c r="AG23" s="3102"/>
      <c r="AH23" s="3102"/>
      <c r="AI23" s="3102"/>
      <c r="AJ23" s="3102"/>
      <c r="AK23" s="3102"/>
      <c r="AL23" s="3097"/>
      <c r="AM23" s="3102"/>
      <c r="AN23" s="3097"/>
      <c r="AO23" s="3102"/>
      <c r="AP23" s="3102"/>
      <c r="AQ23" s="3102"/>
      <c r="AR23" s="3102"/>
      <c r="AS23" s="3102"/>
      <c r="AT23" s="3103"/>
      <c r="AU23" s="3104"/>
      <c r="AV23" s="1954">
        <f t="shared" si="37"/>
        <v>0</v>
      </c>
      <c r="AW23" s="1954">
        <f t="shared" si="38"/>
        <v>0</v>
      </c>
      <c r="AX23" s="1954">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3082"/>
      <c r="B24" s="3083"/>
      <c r="C24" s="3084"/>
      <c r="D24" s="3085"/>
      <c r="E24" s="82">
        <f t="shared" si="33"/>
        <v>0</v>
      </c>
      <c r="F24" s="83"/>
      <c r="G24" s="84">
        <f t="shared" si="34"/>
        <v>0</v>
      </c>
      <c r="H24" s="85">
        <f t="shared" si="35"/>
        <v>0</v>
      </c>
      <c r="I24" s="3086"/>
      <c r="J24" s="3096"/>
      <c r="K24" s="3086"/>
      <c r="L24" s="3096"/>
      <c r="M24" s="3096"/>
      <c r="N24" s="3096"/>
      <c r="O24" s="3097"/>
      <c r="P24" s="3096"/>
      <c r="Q24" s="3096"/>
      <c r="R24" s="3096"/>
      <c r="S24" s="3096"/>
      <c r="T24" s="3096"/>
      <c r="U24" s="3096"/>
      <c r="V24" s="3096"/>
      <c r="W24" s="3096"/>
      <c r="X24" s="3096"/>
      <c r="Y24" s="3096"/>
      <c r="Z24" s="3096"/>
      <c r="AA24" s="3096"/>
      <c r="AB24" s="3096"/>
      <c r="AC24" s="82">
        <f t="shared" si="36"/>
        <v>0</v>
      </c>
      <c r="AD24" s="3102"/>
      <c r="AE24" s="3102"/>
      <c r="AF24" s="3105"/>
      <c r="AG24" s="3102"/>
      <c r="AH24" s="3102"/>
      <c r="AI24" s="3102"/>
      <c r="AJ24" s="3102"/>
      <c r="AK24" s="3102"/>
      <c r="AL24" s="3102"/>
      <c r="AM24" s="3102"/>
      <c r="AN24" s="3097"/>
      <c r="AO24" s="3102"/>
      <c r="AP24" s="3102"/>
      <c r="AQ24" s="3102"/>
      <c r="AR24" s="3102"/>
      <c r="AS24" s="3102"/>
      <c r="AT24" s="3103"/>
      <c r="AU24" s="3104"/>
      <c r="AV24" s="1954">
        <f t="shared" si="37"/>
        <v>0</v>
      </c>
      <c r="AW24" s="1954">
        <f t="shared" si="38"/>
        <v>0</v>
      </c>
      <c r="AX24" s="1954">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3082"/>
      <c r="B25" s="3083"/>
      <c r="C25" s="3084"/>
      <c r="D25" s="3085"/>
      <c r="E25" s="82">
        <f t="shared" si="33"/>
        <v>0</v>
      </c>
      <c r="F25" s="83"/>
      <c r="G25" s="84">
        <f t="shared" si="34"/>
        <v>0</v>
      </c>
      <c r="H25" s="85">
        <f t="shared" si="35"/>
        <v>0</v>
      </c>
      <c r="I25" s="3086"/>
      <c r="J25" s="3096"/>
      <c r="K25" s="3086"/>
      <c r="L25" s="3096"/>
      <c r="M25" s="3096"/>
      <c r="N25" s="3096"/>
      <c r="O25" s="3096"/>
      <c r="P25" s="3096"/>
      <c r="Q25" s="3096"/>
      <c r="R25" s="3096"/>
      <c r="S25" s="3096"/>
      <c r="T25" s="3096"/>
      <c r="U25" s="3096"/>
      <c r="V25" s="3096"/>
      <c r="W25" s="3096"/>
      <c r="X25" s="3096"/>
      <c r="Y25" s="3096"/>
      <c r="Z25" s="3096"/>
      <c r="AA25" s="3096"/>
      <c r="AB25" s="3096"/>
      <c r="AC25" s="82">
        <f t="shared" si="36"/>
        <v>0</v>
      </c>
      <c r="AD25" s="3102"/>
      <c r="AE25" s="3102"/>
      <c r="AF25" s="3105"/>
      <c r="AG25" s="3102"/>
      <c r="AH25" s="3102"/>
      <c r="AI25" s="3102"/>
      <c r="AJ25" s="3102"/>
      <c r="AK25" s="3102"/>
      <c r="AL25" s="3102"/>
      <c r="AM25" s="3102"/>
      <c r="AN25" s="3102"/>
      <c r="AO25" s="3102"/>
      <c r="AP25" s="3102"/>
      <c r="AQ25" s="3102"/>
      <c r="AR25" s="3102"/>
      <c r="AS25" s="3102"/>
      <c r="AT25" s="3103"/>
      <c r="AU25" s="3104"/>
      <c r="AV25" s="1954">
        <f t="shared" si="37"/>
        <v>0</v>
      </c>
      <c r="AW25" s="1954">
        <f t="shared" si="38"/>
        <v>0</v>
      </c>
      <c r="AX25" s="1954">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3082"/>
      <c r="B26" s="3083"/>
      <c r="C26" s="3084"/>
      <c r="D26" s="3085"/>
      <c r="E26" s="82">
        <f t="shared" si="33"/>
        <v>0</v>
      </c>
      <c r="F26" s="83"/>
      <c r="G26" s="84">
        <f t="shared" si="34"/>
        <v>0</v>
      </c>
      <c r="H26" s="85">
        <f t="shared" si="35"/>
        <v>0</v>
      </c>
      <c r="I26" s="3086"/>
      <c r="J26" s="3096"/>
      <c r="K26" s="3086"/>
      <c r="L26" s="3096"/>
      <c r="M26" s="3096"/>
      <c r="N26" s="3096"/>
      <c r="O26" s="3096"/>
      <c r="P26" s="3096"/>
      <c r="Q26" s="3096"/>
      <c r="R26" s="3096"/>
      <c r="S26" s="3096"/>
      <c r="T26" s="3096"/>
      <c r="U26" s="3096"/>
      <c r="V26" s="3096"/>
      <c r="W26" s="3096"/>
      <c r="X26" s="3096"/>
      <c r="Y26" s="3096"/>
      <c r="Z26" s="3096"/>
      <c r="AA26" s="3096"/>
      <c r="AB26" s="3096"/>
      <c r="AC26" s="82">
        <f t="shared" si="36"/>
        <v>0</v>
      </c>
      <c r="AD26" s="3102"/>
      <c r="AE26" s="3102"/>
      <c r="AF26" s="3105"/>
      <c r="AG26" s="3102"/>
      <c r="AH26" s="3102"/>
      <c r="AI26" s="3102"/>
      <c r="AJ26" s="3102"/>
      <c r="AK26" s="3102"/>
      <c r="AL26" s="3102"/>
      <c r="AM26" s="3102"/>
      <c r="AN26" s="3102"/>
      <c r="AO26" s="3102"/>
      <c r="AP26" s="3102"/>
      <c r="AQ26" s="3102"/>
      <c r="AR26" s="3102"/>
      <c r="AS26" s="3102"/>
      <c r="AT26" s="3103"/>
      <c r="AU26" s="3104"/>
      <c r="AV26" s="1954">
        <f t="shared" si="37"/>
        <v>0</v>
      </c>
      <c r="AW26" s="1954">
        <f t="shared" si="38"/>
        <v>0</v>
      </c>
      <c r="AX26" s="1954">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3082"/>
      <c r="B27" s="3083"/>
      <c r="C27" s="3084"/>
      <c r="D27" s="3085"/>
      <c r="E27" s="82">
        <f t="shared" si="33"/>
        <v>0</v>
      </c>
      <c r="F27" s="83"/>
      <c r="G27" s="84">
        <f t="shared" si="34"/>
        <v>0</v>
      </c>
      <c r="H27" s="85">
        <f t="shared" si="35"/>
        <v>0</v>
      </c>
      <c r="I27" s="3086"/>
      <c r="J27" s="3096"/>
      <c r="K27" s="3086"/>
      <c r="L27" s="3096"/>
      <c r="M27" s="3096"/>
      <c r="N27" s="3096"/>
      <c r="O27" s="3096"/>
      <c r="P27" s="3096"/>
      <c r="Q27" s="3096"/>
      <c r="R27" s="3096"/>
      <c r="S27" s="3096"/>
      <c r="T27" s="3096"/>
      <c r="U27" s="3096"/>
      <c r="V27" s="3096"/>
      <c r="W27" s="3096"/>
      <c r="X27" s="3096"/>
      <c r="Y27" s="3096"/>
      <c r="Z27" s="3096"/>
      <c r="AA27" s="3096"/>
      <c r="AB27" s="3096"/>
      <c r="AC27" s="82">
        <f t="shared" si="36"/>
        <v>0</v>
      </c>
      <c r="AD27" s="3102"/>
      <c r="AE27" s="3102"/>
      <c r="AF27" s="3105"/>
      <c r="AG27" s="3102"/>
      <c r="AH27" s="3102"/>
      <c r="AI27" s="3102"/>
      <c r="AJ27" s="3102"/>
      <c r="AK27" s="3102"/>
      <c r="AL27" s="3102"/>
      <c r="AM27" s="3102"/>
      <c r="AN27" s="3102"/>
      <c r="AO27" s="3102"/>
      <c r="AP27" s="3102"/>
      <c r="AQ27" s="3102"/>
      <c r="AR27" s="3102"/>
      <c r="AS27" s="3102"/>
      <c r="AT27" s="3103"/>
      <c r="AU27" s="3104"/>
      <c r="AV27" s="1954">
        <f t="shared" si="37"/>
        <v>0</v>
      </c>
      <c r="AW27" s="1954">
        <f t="shared" si="38"/>
        <v>0</v>
      </c>
      <c r="AX27" s="1954">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3082"/>
      <c r="B28" s="3083"/>
      <c r="C28" s="3084"/>
      <c r="D28" s="3085"/>
      <c r="E28" s="82">
        <f t="shared" si="33"/>
        <v>0</v>
      </c>
      <c r="F28" s="83"/>
      <c r="G28" s="84">
        <f t="shared" si="34"/>
        <v>0</v>
      </c>
      <c r="H28" s="85">
        <f t="shared" si="35"/>
        <v>0</v>
      </c>
      <c r="I28" s="3086"/>
      <c r="J28" s="3096"/>
      <c r="K28" s="3086"/>
      <c r="L28" s="3096"/>
      <c r="M28" s="3096"/>
      <c r="N28" s="3096"/>
      <c r="O28" s="3096"/>
      <c r="P28" s="3096"/>
      <c r="Q28" s="3096"/>
      <c r="R28" s="3096"/>
      <c r="S28" s="3096"/>
      <c r="T28" s="3096"/>
      <c r="U28" s="3096"/>
      <c r="V28" s="3096"/>
      <c r="W28" s="3096"/>
      <c r="X28" s="3096"/>
      <c r="Y28" s="3096"/>
      <c r="Z28" s="3096"/>
      <c r="AA28" s="3096"/>
      <c r="AB28" s="3096"/>
      <c r="AC28" s="82">
        <f t="shared" si="36"/>
        <v>0</v>
      </c>
      <c r="AD28" s="3102"/>
      <c r="AE28" s="3102"/>
      <c r="AF28" s="3086"/>
      <c r="AG28" s="3102"/>
      <c r="AH28" s="3102"/>
      <c r="AI28" s="3102"/>
      <c r="AJ28" s="3102"/>
      <c r="AK28" s="3102"/>
      <c r="AL28" s="3102"/>
      <c r="AM28" s="3102"/>
      <c r="AN28" s="3106"/>
      <c r="AO28" s="3102"/>
      <c r="AP28" s="3102"/>
      <c r="AQ28" s="3102"/>
      <c r="AR28" s="3102"/>
      <c r="AS28" s="3102"/>
      <c r="AT28" s="3103"/>
      <c r="AU28" s="3104"/>
      <c r="AV28" s="1954">
        <f t="shared" si="37"/>
        <v>0</v>
      </c>
      <c r="AW28" s="1954">
        <f t="shared" si="38"/>
        <v>0</v>
      </c>
      <c r="AX28" s="1954">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3082"/>
      <c r="B29" s="3083"/>
      <c r="C29" s="3086"/>
      <c r="D29" s="3085"/>
      <c r="E29" s="82">
        <f t="shared" si="33"/>
        <v>0</v>
      </c>
      <c r="F29" s="83"/>
      <c r="G29" s="84">
        <f t="shared" si="34"/>
        <v>0</v>
      </c>
      <c r="H29" s="85">
        <f t="shared" si="35"/>
        <v>0</v>
      </c>
      <c r="I29" s="3086"/>
      <c r="J29" s="3096"/>
      <c r="K29" s="3086"/>
      <c r="L29" s="3096"/>
      <c r="M29" s="3096"/>
      <c r="N29" s="3096"/>
      <c r="O29" s="3096"/>
      <c r="P29" s="3096"/>
      <c r="Q29" s="3096"/>
      <c r="R29" s="3096"/>
      <c r="S29" s="3096"/>
      <c r="T29" s="3096"/>
      <c r="U29" s="3096"/>
      <c r="V29" s="3096"/>
      <c r="W29" s="3096"/>
      <c r="X29" s="3096"/>
      <c r="Y29" s="3096"/>
      <c r="Z29" s="3096"/>
      <c r="AA29" s="3096"/>
      <c r="AB29" s="3096"/>
      <c r="AC29" s="82">
        <f t="shared" si="36"/>
        <v>0</v>
      </c>
      <c r="AD29" s="3102"/>
      <c r="AE29" s="3102"/>
      <c r="AF29" s="3086"/>
      <c r="AG29" s="3102"/>
      <c r="AH29" s="3102"/>
      <c r="AI29" s="3102"/>
      <c r="AJ29" s="3102"/>
      <c r="AK29" s="3102"/>
      <c r="AL29" s="3102"/>
      <c r="AM29" s="3102"/>
      <c r="AN29" s="3106"/>
      <c r="AO29" s="3102"/>
      <c r="AP29" s="3102"/>
      <c r="AQ29" s="3102"/>
      <c r="AR29" s="3102"/>
      <c r="AS29" s="3102"/>
      <c r="AT29" s="3103"/>
      <c r="AU29" s="3104"/>
      <c r="AV29" s="1954">
        <f t="shared" si="37"/>
        <v>0</v>
      </c>
      <c r="AW29" s="1954">
        <f t="shared" si="38"/>
        <v>0</v>
      </c>
      <c r="AX29" s="1954">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3082"/>
      <c r="B30" s="3083"/>
      <c r="C30" s="3084"/>
      <c r="D30" s="3085"/>
      <c r="E30" s="82">
        <f t="shared" si="33"/>
        <v>0</v>
      </c>
      <c r="F30" s="83"/>
      <c r="G30" s="84">
        <f t="shared" si="34"/>
        <v>0</v>
      </c>
      <c r="H30" s="85">
        <f t="shared" si="35"/>
        <v>0</v>
      </c>
      <c r="I30" s="3086"/>
      <c r="J30" s="3096"/>
      <c r="K30" s="3086"/>
      <c r="L30" s="3096"/>
      <c r="M30" s="3096"/>
      <c r="N30" s="3096"/>
      <c r="O30" s="3096"/>
      <c r="P30" s="3096"/>
      <c r="Q30" s="3096"/>
      <c r="R30" s="3096"/>
      <c r="S30" s="3096"/>
      <c r="T30" s="3096"/>
      <c r="U30" s="3096"/>
      <c r="V30" s="3096"/>
      <c r="W30" s="3096"/>
      <c r="X30" s="3096"/>
      <c r="Y30" s="3096"/>
      <c r="Z30" s="3096"/>
      <c r="AA30" s="3096"/>
      <c r="AB30" s="3096"/>
      <c r="AC30" s="82">
        <f t="shared" si="36"/>
        <v>0</v>
      </c>
      <c r="AD30" s="3102"/>
      <c r="AE30" s="3102"/>
      <c r="AF30" s="3086"/>
      <c r="AG30" s="3102"/>
      <c r="AH30" s="3102"/>
      <c r="AI30" s="3102"/>
      <c r="AJ30" s="3102"/>
      <c r="AK30" s="3102"/>
      <c r="AL30" s="3102"/>
      <c r="AM30" s="3102"/>
      <c r="AN30" s="3106"/>
      <c r="AO30" s="3102"/>
      <c r="AP30" s="3102"/>
      <c r="AQ30" s="3102"/>
      <c r="AR30" s="3102"/>
      <c r="AS30" s="3102"/>
      <c r="AT30" s="3103"/>
      <c r="AU30" s="3104"/>
      <c r="AV30" s="1954">
        <f t="shared" si="37"/>
        <v>0</v>
      </c>
      <c r="AW30" s="1954">
        <f t="shared" si="38"/>
        <v>0</v>
      </c>
      <c r="AX30" s="1954">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3082"/>
      <c r="B31" s="3083"/>
      <c r="C31" s="3084"/>
      <c r="D31" s="3085"/>
      <c r="E31" s="82">
        <f t="shared" si="33"/>
        <v>0</v>
      </c>
      <c r="F31" s="83"/>
      <c r="G31" s="84">
        <f t="shared" si="34"/>
        <v>0</v>
      </c>
      <c r="H31" s="85">
        <f t="shared" si="35"/>
        <v>0</v>
      </c>
      <c r="I31" s="3086"/>
      <c r="J31" s="3096"/>
      <c r="K31" s="3086"/>
      <c r="L31" s="3096"/>
      <c r="M31" s="3096"/>
      <c r="N31" s="3096"/>
      <c r="O31" s="3096"/>
      <c r="P31" s="3096"/>
      <c r="Q31" s="3096"/>
      <c r="R31" s="3096"/>
      <c r="S31" s="3096"/>
      <c r="T31" s="3096"/>
      <c r="U31" s="3096"/>
      <c r="V31" s="3096"/>
      <c r="W31" s="3096"/>
      <c r="X31" s="3096"/>
      <c r="Y31" s="3096"/>
      <c r="Z31" s="3096"/>
      <c r="AA31" s="3096"/>
      <c r="AB31" s="3096"/>
      <c r="AC31" s="82">
        <f t="shared" si="36"/>
        <v>0</v>
      </c>
      <c r="AD31" s="3102"/>
      <c r="AE31" s="3102"/>
      <c r="AF31" s="3086"/>
      <c r="AG31" s="3102"/>
      <c r="AH31" s="3102"/>
      <c r="AI31" s="3102"/>
      <c r="AJ31" s="3102"/>
      <c r="AK31" s="3102"/>
      <c r="AL31" s="3102"/>
      <c r="AM31" s="3102"/>
      <c r="AN31" s="3102"/>
      <c r="AO31" s="3102"/>
      <c r="AP31" s="3102"/>
      <c r="AQ31" s="3102"/>
      <c r="AR31" s="3102"/>
      <c r="AS31" s="3102"/>
      <c r="AT31" s="3103"/>
      <c r="AU31" s="3104"/>
      <c r="AV31" s="1954">
        <f t="shared" si="37"/>
        <v>0</v>
      </c>
      <c r="AW31" s="1954">
        <f t="shared" si="38"/>
        <v>0</v>
      </c>
      <c r="AX31" s="1954">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3082"/>
      <c r="B32" s="3083"/>
      <c r="C32" s="3084"/>
      <c r="D32" s="3085"/>
      <c r="E32" s="82">
        <f t="shared" si="33"/>
        <v>0</v>
      </c>
      <c r="F32" s="83"/>
      <c r="G32" s="84">
        <f t="shared" si="34"/>
        <v>0</v>
      </c>
      <c r="H32" s="85">
        <f t="shared" si="35"/>
        <v>0</v>
      </c>
      <c r="I32" s="3086"/>
      <c r="J32" s="3096"/>
      <c r="K32" s="3086"/>
      <c r="L32" s="3096"/>
      <c r="M32" s="3096"/>
      <c r="N32" s="3096"/>
      <c r="O32" s="3096"/>
      <c r="P32" s="3096"/>
      <c r="Q32" s="3096"/>
      <c r="R32" s="3096"/>
      <c r="S32" s="3096"/>
      <c r="T32" s="3096"/>
      <c r="U32" s="3096"/>
      <c r="V32" s="3096"/>
      <c r="W32" s="3096"/>
      <c r="X32" s="3096"/>
      <c r="Y32" s="3096"/>
      <c r="Z32" s="3096"/>
      <c r="AA32" s="3096"/>
      <c r="AB32" s="3096"/>
      <c r="AC32" s="82">
        <f t="shared" si="36"/>
        <v>0</v>
      </c>
      <c r="AD32" s="3106"/>
      <c r="AE32" s="3102"/>
      <c r="AF32" s="3086"/>
      <c r="AG32" s="3102"/>
      <c r="AH32" s="3102"/>
      <c r="AI32" s="3102"/>
      <c r="AJ32" s="3102"/>
      <c r="AK32" s="3102"/>
      <c r="AL32" s="3102"/>
      <c r="AM32" s="3102"/>
      <c r="AN32" s="3106"/>
      <c r="AO32" s="3102"/>
      <c r="AP32" s="3102"/>
      <c r="AQ32" s="3102"/>
      <c r="AR32" s="3102"/>
      <c r="AS32" s="3102"/>
      <c r="AT32" s="3103"/>
      <c r="AU32" s="3104"/>
      <c r="AV32" s="1954">
        <f t="shared" si="37"/>
        <v>0</v>
      </c>
      <c r="AW32" s="1954">
        <f t="shared" si="38"/>
        <v>0</v>
      </c>
      <c r="AX32" s="1954">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3082"/>
      <c r="B33" s="3083"/>
      <c r="C33" s="3084"/>
      <c r="D33" s="3085"/>
      <c r="E33" s="82">
        <f t="shared" si="33"/>
        <v>0</v>
      </c>
      <c r="F33" s="83"/>
      <c r="G33" s="84">
        <f t="shared" si="34"/>
        <v>0</v>
      </c>
      <c r="H33" s="85">
        <f t="shared" si="35"/>
        <v>0</v>
      </c>
      <c r="I33" s="3086"/>
      <c r="J33" s="3096"/>
      <c r="K33" s="3086"/>
      <c r="L33" s="3096"/>
      <c r="M33" s="3096"/>
      <c r="N33" s="3096"/>
      <c r="O33" s="3096"/>
      <c r="P33" s="3096"/>
      <c r="Q33" s="3096"/>
      <c r="R33" s="3096"/>
      <c r="S33" s="3096"/>
      <c r="T33" s="3096"/>
      <c r="U33" s="3096"/>
      <c r="V33" s="3096"/>
      <c r="W33" s="3096"/>
      <c r="X33" s="3096"/>
      <c r="Y33" s="3096"/>
      <c r="Z33" s="3096"/>
      <c r="AA33" s="3096"/>
      <c r="AB33" s="3096"/>
      <c r="AC33" s="82">
        <f t="shared" si="36"/>
        <v>0</v>
      </c>
      <c r="AD33" s="3102"/>
      <c r="AE33" s="3102"/>
      <c r="AF33" s="3086"/>
      <c r="AG33" s="3102"/>
      <c r="AH33" s="3102"/>
      <c r="AI33" s="3102"/>
      <c r="AJ33" s="3102"/>
      <c r="AK33" s="3102"/>
      <c r="AL33" s="3102"/>
      <c r="AM33" s="3102"/>
      <c r="AN33" s="3106"/>
      <c r="AO33" s="3102"/>
      <c r="AP33" s="3102"/>
      <c r="AQ33" s="3102"/>
      <c r="AR33" s="3102"/>
      <c r="AS33" s="3102"/>
      <c r="AT33" s="3103"/>
      <c r="AU33" s="3104"/>
      <c r="AV33" s="1954">
        <f t="shared" si="37"/>
        <v>0</v>
      </c>
      <c r="AW33" s="1954">
        <f t="shared" si="38"/>
        <v>0</v>
      </c>
      <c r="AX33" s="1954">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3082"/>
      <c r="B34" s="3083"/>
      <c r="C34" s="3084"/>
      <c r="D34" s="3085"/>
      <c r="E34" s="82">
        <f t="shared" si="33"/>
        <v>0</v>
      </c>
      <c r="F34" s="83"/>
      <c r="G34" s="84">
        <f t="shared" si="34"/>
        <v>0</v>
      </c>
      <c r="H34" s="85">
        <f t="shared" si="35"/>
        <v>0</v>
      </c>
      <c r="I34" s="3086"/>
      <c r="J34" s="3096"/>
      <c r="K34" s="3086"/>
      <c r="L34" s="3096"/>
      <c r="M34" s="3096"/>
      <c r="N34" s="3096"/>
      <c r="O34" s="3096"/>
      <c r="P34" s="3096"/>
      <c r="Q34" s="3096"/>
      <c r="R34" s="3096"/>
      <c r="S34" s="3096"/>
      <c r="T34" s="3096"/>
      <c r="U34" s="3096"/>
      <c r="V34" s="3096"/>
      <c r="W34" s="3096"/>
      <c r="X34" s="3096"/>
      <c r="Y34" s="3096"/>
      <c r="Z34" s="3096"/>
      <c r="AA34" s="3096"/>
      <c r="AB34" s="3096"/>
      <c r="AC34" s="82">
        <f t="shared" si="36"/>
        <v>0</v>
      </c>
      <c r="AD34" s="3102"/>
      <c r="AE34" s="3102"/>
      <c r="AF34" s="3086"/>
      <c r="AG34" s="3102"/>
      <c r="AH34" s="3102"/>
      <c r="AI34" s="3102"/>
      <c r="AJ34" s="3102"/>
      <c r="AK34" s="3102"/>
      <c r="AL34" s="3102"/>
      <c r="AM34" s="3102"/>
      <c r="AN34" s="3102"/>
      <c r="AO34" s="3102"/>
      <c r="AP34" s="3102"/>
      <c r="AQ34" s="3102"/>
      <c r="AR34" s="3102"/>
      <c r="AS34" s="3102"/>
      <c r="AT34" s="3103"/>
      <c r="AU34" s="3104"/>
      <c r="AV34" s="1954">
        <f t="shared" si="37"/>
        <v>0</v>
      </c>
      <c r="AW34" s="1954">
        <f t="shared" si="38"/>
        <v>0</v>
      </c>
      <c r="AX34" s="1954">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79"/>
      <c r="B35" s="1374"/>
      <c r="C35" s="1375"/>
      <c r="D35" s="76"/>
      <c r="E35" s="82">
        <f t="shared" si="33"/>
        <v>0</v>
      </c>
      <c r="F35" s="83"/>
      <c r="G35" s="84">
        <f t="shared" si="34"/>
        <v>0</v>
      </c>
      <c r="H35" s="85">
        <f t="shared" si="35"/>
        <v>0</v>
      </c>
      <c r="I35" s="1377"/>
      <c r="J35" s="86"/>
      <c r="K35" s="1377"/>
      <c r="L35" s="86"/>
      <c r="M35" s="86"/>
      <c r="N35" s="86"/>
      <c r="O35" s="86"/>
      <c r="P35" s="86"/>
      <c r="Q35" s="86"/>
      <c r="R35" s="86"/>
      <c r="S35" s="86"/>
      <c r="T35" s="86"/>
      <c r="U35" s="86"/>
      <c r="V35" s="86"/>
      <c r="W35" s="86"/>
      <c r="X35" s="86"/>
      <c r="Y35" s="86"/>
      <c r="Z35" s="86"/>
      <c r="AA35" s="86"/>
      <c r="AB35" s="86"/>
      <c r="AC35" s="82">
        <f t="shared" si="36"/>
        <v>0</v>
      </c>
      <c r="AD35" s="87"/>
      <c r="AE35" s="87"/>
      <c r="AF35" s="1377"/>
      <c r="AG35" s="87"/>
      <c r="AH35" s="87"/>
      <c r="AI35" s="87"/>
      <c r="AJ35" s="87"/>
      <c r="AK35" s="87"/>
      <c r="AL35" s="87"/>
      <c r="AM35" s="87"/>
      <c r="AN35" s="87"/>
      <c r="AO35" s="87"/>
      <c r="AP35" s="87"/>
      <c r="AQ35" s="87"/>
      <c r="AR35" s="87"/>
      <c r="AS35" s="87"/>
      <c r="AT35" s="88"/>
      <c r="AU35" s="89"/>
      <c r="AV35" s="1954">
        <f t="shared" si="37"/>
        <v>0</v>
      </c>
      <c r="AW35" s="1954">
        <f t="shared" si="38"/>
        <v>0</v>
      </c>
      <c r="AX35" s="1954">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79"/>
      <c r="B36" s="1374"/>
      <c r="C36" s="1375"/>
      <c r="D36" s="76"/>
      <c r="E36" s="82">
        <f t="shared" si="33"/>
        <v>0</v>
      </c>
      <c r="F36" s="83"/>
      <c r="G36" s="84">
        <f t="shared" si="34"/>
        <v>0</v>
      </c>
      <c r="H36" s="85">
        <f t="shared" si="35"/>
        <v>0</v>
      </c>
      <c r="I36" s="1377"/>
      <c r="J36" s="86"/>
      <c r="K36" s="1377"/>
      <c r="L36" s="86"/>
      <c r="M36" s="86"/>
      <c r="N36" s="86"/>
      <c r="O36" s="86"/>
      <c r="P36" s="86"/>
      <c r="Q36" s="86"/>
      <c r="R36" s="86"/>
      <c r="S36" s="86"/>
      <c r="T36" s="86"/>
      <c r="U36" s="86"/>
      <c r="V36" s="86"/>
      <c r="W36" s="86"/>
      <c r="X36" s="86"/>
      <c r="Y36" s="86"/>
      <c r="Z36" s="86"/>
      <c r="AA36" s="86"/>
      <c r="AB36" s="86"/>
      <c r="AC36" s="82">
        <f t="shared" si="36"/>
        <v>0</v>
      </c>
      <c r="AD36" s="87"/>
      <c r="AE36" s="87"/>
      <c r="AF36" s="1377"/>
      <c r="AG36" s="87"/>
      <c r="AH36" s="87"/>
      <c r="AI36" s="87"/>
      <c r="AJ36" s="87"/>
      <c r="AK36" s="87"/>
      <c r="AL36" s="87"/>
      <c r="AM36" s="87"/>
      <c r="AN36" s="87"/>
      <c r="AO36" s="87"/>
      <c r="AP36" s="87"/>
      <c r="AQ36" s="87"/>
      <c r="AR36" s="87"/>
      <c r="AS36" s="87"/>
      <c r="AT36" s="88"/>
      <c r="AU36" s="89"/>
      <c r="AV36" s="1954">
        <f t="shared" si="37"/>
        <v>0</v>
      </c>
      <c r="AW36" s="1954">
        <f t="shared" si="38"/>
        <v>0</v>
      </c>
      <c r="AX36" s="1954">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79"/>
      <c r="B37" s="1374"/>
      <c r="C37" s="1375"/>
      <c r="D37" s="76"/>
      <c r="E37" s="82">
        <f t="shared" si="33"/>
        <v>0</v>
      </c>
      <c r="F37" s="83"/>
      <c r="G37" s="84">
        <f t="shared" si="34"/>
        <v>0</v>
      </c>
      <c r="H37" s="85">
        <f t="shared" si="35"/>
        <v>0</v>
      </c>
      <c r="I37" s="1377"/>
      <c r="J37" s="86"/>
      <c r="K37" s="1377"/>
      <c r="L37" s="86"/>
      <c r="M37" s="86"/>
      <c r="N37" s="86"/>
      <c r="O37" s="86"/>
      <c r="P37" s="86"/>
      <c r="Q37" s="86"/>
      <c r="R37" s="86"/>
      <c r="S37" s="86"/>
      <c r="T37" s="86"/>
      <c r="U37" s="86"/>
      <c r="V37" s="86"/>
      <c r="W37" s="86"/>
      <c r="X37" s="86"/>
      <c r="Y37" s="86"/>
      <c r="Z37" s="86"/>
      <c r="AA37" s="86"/>
      <c r="AB37" s="86"/>
      <c r="AC37" s="82">
        <f t="shared" si="36"/>
        <v>0</v>
      </c>
      <c r="AD37" s="87"/>
      <c r="AE37" s="87"/>
      <c r="AF37" s="1377"/>
      <c r="AG37" s="87"/>
      <c r="AH37" s="87"/>
      <c r="AI37" s="87"/>
      <c r="AJ37" s="87"/>
      <c r="AK37" s="87"/>
      <c r="AL37" s="87"/>
      <c r="AM37" s="87"/>
      <c r="AN37" s="87"/>
      <c r="AO37" s="87"/>
      <c r="AP37" s="87"/>
      <c r="AQ37" s="87"/>
      <c r="AR37" s="87"/>
      <c r="AS37" s="87"/>
      <c r="AT37" s="88"/>
      <c r="AU37" s="89"/>
      <c r="AV37" s="1954">
        <f t="shared" si="37"/>
        <v>0</v>
      </c>
      <c r="AW37" s="1954">
        <f t="shared" si="38"/>
        <v>0</v>
      </c>
      <c r="AX37" s="1954">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79"/>
      <c r="B38" s="1374"/>
      <c r="C38" s="1375"/>
      <c r="D38" s="76"/>
      <c r="E38" s="82">
        <f t="shared" si="33"/>
        <v>0</v>
      </c>
      <c r="F38" s="83"/>
      <c r="G38" s="84">
        <f t="shared" si="34"/>
        <v>0</v>
      </c>
      <c r="H38" s="85">
        <f t="shared" si="35"/>
        <v>0</v>
      </c>
      <c r="I38" s="1377"/>
      <c r="J38" s="86"/>
      <c r="K38" s="1377"/>
      <c r="L38" s="86"/>
      <c r="M38" s="86"/>
      <c r="N38" s="86"/>
      <c r="O38" s="86"/>
      <c r="P38" s="86"/>
      <c r="Q38" s="86"/>
      <c r="R38" s="86"/>
      <c r="S38" s="86"/>
      <c r="T38" s="86"/>
      <c r="U38" s="86"/>
      <c r="V38" s="86"/>
      <c r="W38" s="86"/>
      <c r="X38" s="86"/>
      <c r="Y38" s="86"/>
      <c r="Z38" s="86"/>
      <c r="AA38" s="86"/>
      <c r="AB38" s="86"/>
      <c r="AC38" s="82">
        <f t="shared" si="36"/>
        <v>0</v>
      </c>
      <c r="AD38" s="87"/>
      <c r="AE38" s="87"/>
      <c r="AF38" s="1377"/>
      <c r="AG38" s="87"/>
      <c r="AH38" s="87"/>
      <c r="AI38" s="87"/>
      <c r="AJ38" s="87"/>
      <c r="AK38" s="87"/>
      <c r="AL38" s="87"/>
      <c r="AM38" s="87"/>
      <c r="AN38" s="87"/>
      <c r="AO38" s="87"/>
      <c r="AP38" s="87"/>
      <c r="AQ38" s="87"/>
      <c r="AR38" s="87"/>
      <c r="AS38" s="87"/>
      <c r="AT38" s="88"/>
      <c r="AU38" s="89"/>
      <c r="AV38" s="1954">
        <f t="shared" si="37"/>
        <v>0</v>
      </c>
      <c r="AW38" s="1954">
        <f t="shared" si="38"/>
        <v>0</v>
      </c>
      <c r="AX38" s="1954">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79"/>
      <c r="B39" s="1374"/>
      <c r="C39" s="1375"/>
      <c r="D39" s="76"/>
      <c r="E39" s="82">
        <f t="shared" si="33"/>
        <v>0</v>
      </c>
      <c r="F39" s="83"/>
      <c r="G39" s="84">
        <f t="shared" si="34"/>
        <v>0</v>
      </c>
      <c r="H39" s="85">
        <f t="shared" si="35"/>
        <v>0</v>
      </c>
      <c r="I39" s="1377"/>
      <c r="J39" s="86"/>
      <c r="K39" s="1377"/>
      <c r="L39" s="86"/>
      <c r="M39" s="86"/>
      <c r="N39" s="86"/>
      <c r="O39" s="86"/>
      <c r="P39" s="86"/>
      <c r="Q39" s="86"/>
      <c r="R39" s="86"/>
      <c r="S39" s="86"/>
      <c r="T39" s="86"/>
      <c r="U39" s="86"/>
      <c r="V39" s="86"/>
      <c r="W39" s="86"/>
      <c r="X39" s="86"/>
      <c r="Y39" s="86"/>
      <c r="Z39" s="86"/>
      <c r="AA39" s="86"/>
      <c r="AB39" s="86"/>
      <c r="AC39" s="82">
        <f t="shared" si="36"/>
        <v>0</v>
      </c>
      <c r="AD39" s="87"/>
      <c r="AE39" s="87"/>
      <c r="AF39" s="1377"/>
      <c r="AG39" s="87"/>
      <c r="AH39" s="87"/>
      <c r="AI39" s="87"/>
      <c r="AJ39" s="87"/>
      <c r="AK39" s="87"/>
      <c r="AL39" s="87"/>
      <c r="AM39" s="87"/>
      <c r="AN39" s="87"/>
      <c r="AO39" s="87"/>
      <c r="AP39" s="87"/>
      <c r="AQ39" s="87"/>
      <c r="AR39" s="87"/>
      <c r="AS39" s="87"/>
      <c r="AT39" s="88"/>
      <c r="AU39" s="89"/>
      <c r="AV39" s="1954">
        <f t="shared" si="37"/>
        <v>0</v>
      </c>
      <c r="AW39" s="1954">
        <f t="shared" si="38"/>
        <v>0</v>
      </c>
      <c r="AX39" s="1954">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79"/>
      <c r="B40" s="1374"/>
      <c r="C40" s="1375"/>
      <c r="D40" s="76"/>
      <c r="E40" s="82">
        <f t="shared" si="33"/>
        <v>0</v>
      </c>
      <c r="F40" s="83"/>
      <c r="G40" s="84">
        <f t="shared" si="34"/>
        <v>0</v>
      </c>
      <c r="H40" s="85">
        <f t="shared" si="35"/>
        <v>0</v>
      </c>
      <c r="I40" s="1377"/>
      <c r="J40" s="86"/>
      <c r="K40" s="1377"/>
      <c r="L40" s="86"/>
      <c r="M40" s="86"/>
      <c r="N40" s="86"/>
      <c r="O40" s="86"/>
      <c r="P40" s="86"/>
      <c r="Q40" s="86"/>
      <c r="R40" s="86"/>
      <c r="S40" s="86"/>
      <c r="T40" s="86"/>
      <c r="U40" s="86"/>
      <c r="V40" s="86"/>
      <c r="W40" s="86"/>
      <c r="X40" s="86"/>
      <c r="Y40" s="86"/>
      <c r="Z40" s="86"/>
      <c r="AA40" s="86"/>
      <c r="AB40" s="86"/>
      <c r="AC40" s="82">
        <f t="shared" si="36"/>
        <v>0</v>
      </c>
      <c r="AD40" s="87"/>
      <c r="AE40" s="87"/>
      <c r="AF40" s="1377"/>
      <c r="AG40" s="87"/>
      <c r="AH40" s="87"/>
      <c r="AI40" s="87"/>
      <c r="AJ40" s="87"/>
      <c r="AK40" s="87"/>
      <c r="AL40" s="87"/>
      <c r="AM40" s="87"/>
      <c r="AN40" s="87"/>
      <c r="AO40" s="87"/>
      <c r="AP40" s="87"/>
      <c r="AQ40" s="87"/>
      <c r="AR40" s="87"/>
      <c r="AS40" s="87"/>
      <c r="AT40" s="88"/>
      <c r="AU40" s="89"/>
      <c r="AV40" s="1954">
        <f t="shared" si="37"/>
        <v>0</v>
      </c>
      <c r="AW40" s="1954">
        <f t="shared" si="38"/>
        <v>0</v>
      </c>
      <c r="AX40" s="1954">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79"/>
      <c r="B41" s="1374"/>
      <c r="C41" s="1375"/>
      <c r="D41" s="76"/>
      <c r="E41" s="82">
        <f t="shared" si="33"/>
        <v>0</v>
      </c>
      <c r="F41" s="83"/>
      <c r="G41" s="84">
        <f t="shared" si="34"/>
        <v>0</v>
      </c>
      <c r="H41" s="85">
        <f t="shared" si="35"/>
        <v>0</v>
      </c>
      <c r="I41" s="1377"/>
      <c r="J41" s="86"/>
      <c r="K41" s="1377"/>
      <c r="L41" s="86"/>
      <c r="M41" s="86"/>
      <c r="N41" s="86"/>
      <c r="O41" s="86"/>
      <c r="P41" s="86"/>
      <c r="Q41" s="86"/>
      <c r="R41" s="86"/>
      <c r="S41" s="86"/>
      <c r="T41" s="86"/>
      <c r="U41" s="86"/>
      <c r="V41" s="86"/>
      <c r="W41" s="86"/>
      <c r="X41" s="86"/>
      <c r="Y41" s="86"/>
      <c r="Z41" s="86"/>
      <c r="AA41" s="86"/>
      <c r="AB41" s="86"/>
      <c r="AC41" s="82">
        <f t="shared" si="36"/>
        <v>0</v>
      </c>
      <c r="AD41" s="87"/>
      <c r="AE41" s="87"/>
      <c r="AF41" s="1377"/>
      <c r="AG41" s="87"/>
      <c r="AH41" s="87"/>
      <c r="AI41" s="87"/>
      <c r="AJ41" s="87"/>
      <c r="AK41" s="87"/>
      <c r="AL41" s="87"/>
      <c r="AM41" s="87"/>
      <c r="AN41" s="87"/>
      <c r="AO41" s="87"/>
      <c r="AP41" s="87"/>
      <c r="AQ41" s="87"/>
      <c r="AR41" s="87"/>
      <c r="AS41" s="87"/>
      <c r="AT41" s="88"/>
      <c r="AU41" s="89"/>
      <c r="AV41" s="1954">
        <f t="shared" si="37"/>
        <v>0</v>
      </c>
      <c r="AW41" s="1954">
        <f t="shared" si="38"/>
        <v>0</v>
      </c>
      <c r="AX41" s="1954">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79"/>
      <c r="B42" s="1374"/>
      <c r="C42" s="1375"/>
      <c r="D42" s="76"/>
      <c r="E42" s="82">
        <f t="shared" si="33"/>
        <v>0</v>
      </c>
      <c r="F42" s="83"/>
      <c r="G42" s="84">
        <f t="shared" si="34"/>
        <v>0</v>
      </c>
      <c r="H42" s="85">
        <f t="shared" si="35"/>
        <v>0</v>
      </c>
      <c r="I42" s="1377"/>
      <c r="J42" s="86"/>
      <c r="K42" s="1377"/>
      <c r="L42" s="86"/>
      <c r="M42" s="86"/>
      <c r="N42" s="86"/>
      <c r="O42" s="86"/>
      <c r="P42" s="86"/>
      <c r="Q42" s="86"/>
      <c r="R42" s="86"/>
      <c r="S42" s="86"/>
      <c r="T42" s="86"/>
      <c r="U42" s="86"/>
      <c r="V42" s="86"/>
      <c r="W42" s="86"/>
      <c r="X42" s="86"/>
      <c r="Y42" s="86"/>
      <c r="Z42" s="86"/>
      <c r="AA42" s="86"/>
      <c r="AB42" s="86"/>
      <c r="AC42" s="82">
        <f t="shared" si="36"/>
        <v>0</v>
      </c>
      <c r="AD42" s="87"/>
      <c r="AE42" s="87"/>
      <c r="AF42" s="1377"/>
      <c r="AG42" s="87"/>
      <c r="AH42" s="87"/>
      <c r="AI42" s="87"/>
      <c r="AJ42" s="87"/>
      <c r="AK42" s="87"/>
      <c r="AL42" s="87"/>
      <c r="AM42" s="87"/>
      <c r="AN42" s="87"/>
      <c r="AO42" s="87"/>
      <c r="AP42" s="87"/>
      <c r="AQ42" s="87"/>
      <c r="AR42" s="87"/>
      <c r="AS42" s="87"/>
      <c r="AT42" s="88"/>
      <c r="AU42" s="89"/>
      <c r="AV42" s="1954">
        <f t="shared" si="37"/>
        <v>0</v>
      </c>
      <c r="AW42" s="1954">
        <f t="shared" si="38"/>
        <v>0</v>
      </c>
      <c r="AX42" s="1954">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79"/>
      <c r="B43" s="1374"/>
      <c r="C43" s="1375"/>
      <c r="D43" s="76"/>
      <c r="E43" s="82">
        <f t="shared" si="33"/>
        <v>0</v>
      </c>
      <c r="F43" s="83"/>
      <c r="G43" s="84">
        <f t="shared" si="34"/>
        <v>0</v>
      </c>
      <c r="H43" s="85">
        <f t="shared" si="35"/>
        <v>0</v>
      </c>
      <c r="I43" s="1377"/>
      <c r="J43" s="86"/>
      <c r="K43" s="1377"/>
      <c r="L43" s="86"/>
      <c r="M43" s="86"/>
      <c r="N43" s="86"/>
      <c r="O43" s="86"/>
      <c r="P43" s="86"/>
      <c r="Q43" s="86"/>
      <c r="R43" s="86"/>
      <c r="S43" s="86"/>
      <c r="T43" s="86"/>
      <c r="U43" s="86"/>
      <c r="V43" s="86"/>
      <c r="W43" s="86"/>
      <c r="X43" s="86"/>
      <c r="Y43" s="86"/>
      <c r="Z43" s="86"/>
      <c r="AA43" s="86"/>
      <c r="AB43" s="86"/>
      <c r="AC43" s="82">
        <f t="shared" si="36"/>
        <v>0</v>
      </c>
      <c r="AD43" s="87"/>
      <c r="AE43" s="87"/>
      <c r="AF43" s="1377"/>
      <c r="AG43" s="87"/>
      <c r="AH43" s="87"/>
      <c r="AI43" s="87"/>
      <c r="AJ43" s="87"/>
      <c r="AK43" s="87"/>
      <c r="AL43" s="87"/>
      <c r="AM43" s="87"/>
      <c r="AN43" s="87"/>
      <c r="AO43" s="87"/>
      <c r="AP43" s="87"/>
      <c r="AQ43" s="87"/>
      <c r="AR43" s="87"/>
      <c r="AS43" s="87"/>
      <c r="AT43" s="88"/>
      <c r="AU43" s="89"/>
      <c r="AV43" s="1954">
        <f t="shared" si="37"/>
        <v>0</v>
      </c>
      <c r="AW43" s="1954">
        <f t="shared" si="38"/>
        <v>0</v>
      </c>
      <c r="AX43" s="1954">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79"/>
      <c r="B44" s="1374"/>
      <c r="C44" s="1375"/>
      <c r="D44" s="76"/>
      <c r="E44" s="82">
        <f t="shared" si="33"/>
        <v>0</v>
      </c>
      <c r="F44" s="83"/>
      <c r="G44" s="84">
        <f t="shared" si="34"/>
        <v>0</v>
      </c>
      <c r="H44" s="85">
        <f t="shared" si="35"/>
        <v>0</v>
      </c>
      <c r="I44" s="1377"/>
      <c r="J44" s="86"/>
      <c r="K44" s="1377"/>
      <c r="L44" s="86"/>
      <c r="M44" s="86"/>
      <c r="N44" s="86"/>
      <c r="O44" s="86"/>
      <c r="P44" s="86"/>
      <c r="Q44" s="86"/>
      <c r="R44" s="86"/>
      <c r="S44" s="86"/>
      <c r="T44" s="86"/>
      <c r="U44" s="86"/>
      <c r="V44" s="86"/>
      <c r="W44" s="86"/>
      <c r="X44" s="86"/>
      <c r="Y44" s="86"/>
      <c r="Z44" s="86"/>
      <c r="AA44" s="86"/>
      <c r="AB44" s="86"/>
      <c r="AC44" s="82">
        <f t="shared" si="36"/>
        <v>0</v>
      </c>
      <c r="AD44" s="87"/>
      <c r="AE44" s="87"/>
      <c r="AF44" s="1377"/>
      <c r="AG44" s="87"/>
      <c r="AH44" s="87"/>
      <c r="AI44" s="87"/>
      <c r="AJ44" s="87"/>
      <c r="AK44" s="87"/>
      <c r="AL44" s="87"/>
      <c r="AM44" s="87"/>
      <c r="AN44" s="87"/>
      <c r="AO44" s="87"/>
      <c r="AP44" s="87"/>
      <c r="AQ44" s="87"/>
      <c r="AR44" s="87"/>
      <c r="AS44" s="87"/>
      <c r="AT44" s="88"/>
      <c r="AU44" s="89"/>
      <c r="AV44" s="1954">
        <f t="shared" si="37"/>
        <v>0</v>
      </c>
      <c r="AW44" s="1954">
        <f t="shared" si="38"/>
        <v>0</v>
      </c>
      <c r="AX44" s="1954">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79"/>
      <c r="B45" s="1374"/>
      <c r="C45" s="1375"/>
      <c r="D45" s="76"/>
      <c r="E45" s="82">
        <f t="shared" si="33"/>
        <v>0</v>
      </c>
      <c r="F45" s="83"/>
      <c r="G45" s="84">
        <f t="shared" si="34"/>
        <v>0</v>
      </c>
      <c r="H45" s="85">
        <f t="shared" si="35"/>
        <v>0</v>
      </c>
      <c r="I45" s="1377"/>
      <c r="J45" s="86"/>
      <c r="K45" s="1377"/>
      <c r="L45" s="86"/>
      <c r="M45" s="86"/>
      <c r="N45" s="86"/>
      <c r="O45" s="86"/>
      <c r="P45" s="86"/>
      <c r="Q45" s="86"/>
      <c r="R45" s="86"/>
      <c r="S45" s="86"/>
      <c r="T45" s="86"/>
      <c r="U45" s="86"/>
      <c r="V45" s="86"/>
      <c r="W45" s="86"/>
      <c r="X45" s="86"/>
      <c r="Y45" s="86"/>
      <c r="Z45" s="86"/>
      <c r="AA45" s="86"/>
      <c r="AB45" s="86"/>
      <c r="AC45" s="82">
        <f t="shared" si="36"/>
        <v>0</v>
      </c>
      <c r="AD45" s="87"/>
      <c r="AE45" s="87"/>
      <c r="AF45" s="1377"/>
      <c r="AG45" s="87"/>
      <c r="AH45" s="87"/>
      <c r="AI45" s="87"/>
      <c r="AJ45" s="87"/>
      <c r="AK45" s="87"/>
      <c r="AL45" s="87"/>
      <c r="AM45" s="87"/>
      <c r="AN45" s="87"/>
      <c r="AO45" s="87"/>
      <c r="AP45" s="87"/>
      <c r="AQ45" s="87"/>
      <c r="AR45" s="87"/>
      <c r="AS45" s="87"/>
      <c r="AT45" s="88"/>
      <c r="AU45" s="89"/>
      <c r="AV45" s="1954">
        <f t="shared" si="37"/>
        <v>0</v>
      </c>
      <c r="AW45" s="1954">
        <f t="shared" si="38"/>
        <v>0</v>
      </c>
      <c r="AX45" s="1954">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79"/>
      <c r="B46" s="1374"/>
      <c r="C46" s="1375"/>
      <c r="D46" s="76"/>
      <c r="E46" s="82">
        <f t="shared" si="33"/>
        <v>0</v>
      </c>
      <c r="F46" s="83"/>
      <c r="G46" s="84">
        <f t="shared" si="34"/>
        <v>0</v>
      </c>
      <c r="H46" s="85">
        <f t="shared" si="35"/>
        <v>0</v>
      </c>
      <c r="I46" s="1377"/>
      <c r="J46" s="86"/>
      <c r="K46" s="1377"/>
      <c r="L46" s="86"/>
      <c r="M46" s="86"/>
      <c r="N46" s="86"/>
      <c r="O46" s="86"/>
      <c r="P46" s="86"/>
      <c r="Q46" s="86"/>
      <c r="R46" s="86"/>
      <c r="S46" s="86"/>
      <c r="T46" s="86"/>
      <c r="U46" s="86"/>
      <c r="V46" s="86"/>
      <c r="W46" s="86"/>
      <c r="X46" s="86"/>
      <c r="Y46" s="86"/>
      <c r="Z46" s="86"/>
      <c r="AA46" s="86"/>
      <c r="AB46" s="86"/>
      <c r="AC46" s="82">
        <f t="shared" si="36"/>
        <v>0</v>
      </c>
      <c r="AD46" s="87"/>
      <c r="AE46" s="87"/>
      <c r="AF46" s="1377"/>
      <c r="AG46" s="87"/>
      <c r="AH46" s="87"/>
      <c r="AI46" s="87"/>
      <c r="AJ46" s="87"/>
      <c r="AK46" s="87"/>
      <c r="AL46" s="87"/>
      <c r="AM46" s="87"/>
      <c r="AN46" s="87"/>
      <c r="AO46" s="87"/>
      <c r="AP46" s="87"/>
      <c r="AQ46" s="87"/>
      <c r="AR46" s="87"/>
      <c r="AS46" s="87"/>
      <c r="AT46" s="88"/>
      <c r="AU46" s="89"/>
      <c r="AV46" s="1954">
        <f t="shared" si="37"/>
        <v>0</v>
      </c>
      <c r="AW46" s="1954">
        <f t="shared" si="38"/>
        <v>0</v>
      </c>
      <c r="AX46" s="1954">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79"/>
      <c r="B47" s="1374"/>
      <c r="C47" s="1375"/>
      <c r="D47" s="76"/>
      <c r="E47" s="82">
        <f t="shared" si="33"/>
        <v>0</v>
      </c>
      <c r="F47" s="83"/>
      <c r="G47" s="84">
        <f t="shared" si="34"/>
        <v>0</v>
      </c>
      <c r="H47" s="85">
        <f t="shared" si="35"/>
        <v>0</v>
      </c>
      <c r="I47" s="1377"/>
      <c r="J47" s="86"/>
      <c r="K47" s="1377"/>
      <c r="L47" s="86"/>
      <c r="M47" s="86"/>
      <c r="N47" s="86"/>
      <c r="O47" s="86"/>
      <c r="P47" s="86"/>
      <c r="Q47" s="86"/>
      <c r="R47" s="86"/>
      <c r="S47" s="86"/>
      <c r="T47" s="86"/>
      <c r="U47" s="86"/>
      <c r="V47" s="86"/>
      <c r="W47" s="86"/>
      <c r="X47" s="86"/>
      <c r="Y47" s="86"/>
      <c r="Z47" s="86"/>
      <c r="AA47" s="86"/>
      <c r="AB47" s="86"/>
      <c r="AC47" s="82">
        <f t="shared" si="36"/>
        <v>0</v>
      </c>
      <c r="AD47" s="87"/>
      <c r="AE47" s="87"/>
      <c r="AF47" s="1375"/>
      <c r="AG47" s="87"/>
      <c r="AH47" s="87"/>
      <c r="AI47" s="87"/>
      <c r="AJ47" s="87"/>
      <c r="AK47" s="87"/>
      <c r="AL47" s="87"/>
      <c r="AM47" s="87"/>
      <c r="AN47" s="87"/>
      <c r="AO47" s="87"/>
      <c r="AP47" s="87"/>
      <c r="AQ47" s="87"/>
      <c r="AR47" s="87"/>
      <c r="AS47" s="87"/>
      <c r="AT47" s="88"/>
      <c r="AU47" s="89"/>
      <c r="AV47" s="1954">
        <f t="shared" si="37"/>
        <v>0</v>
      </c>
      <c r="AW47" s="1954">
        <f t="shared" si="38"/>
        <v>0</v>
      </c>
      <c r="AX47" s="1954">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79"/>
      <c r="B48" s="1374"/>
      <c r="C48" s="1375"/>
      <c r="D48" s="76"/>
      <c r="E48" s="82">
        <f t="shared" si="33"/>
        <v>0</v>
      </c>
      <c r="F48" s="83"/>
      <c r="G48" s="84">
        <f t="shared" si="34"/>
        <v>0</v>
      </c>
      <c r="H48" s="85">
        <f t="shared" si="35"/>
        <v>0</v>
      </c>
      <c r="I48" s="1375"/>
      <c r="J48" s="86"/>
      <c r="K48" s="1375"/>
      <c r="L48" s="86"/>
      <c r="M48" s="86"/>
      <c r="N48" s="86"/>
      <c r="O48" s="86"/>
      <c r="P48" s="86"/>
      <c r="Q48" s="86"/>
      <c r="R48" s="86"/>
      <c r="S48" s="86"/>
      <c r="T48" s="86"/>
      <c r="U48" s="86"/>
      <c r="V48" s="86"/>
      <c r="W48" s="86"/>
      <c r="X48" s="86"/>
      <c r="Y48" s="86"/>
      <c r="Z48" s="86"/>
      <c r="AA48" s="86"/>
      <c r="AB48" s="86"/>
      <c r="AC48" s="82">
        <f t="shared" si="36"/>
        <v>0</v>
      </c>
      <c r="AD48" s="87"/>
      <c r="AE48" s="87"/>
      <c r="AF48" s="1375"/>
      <c r="AG48" s="87"/>
      <c r="AH48" s="87"/>
      <c r="AI48" s="87"/>
      <c r="AJ48" s="87"/>
      <c r="AK48" s="87"/>
      <c r="AL48" s="87"/>
      <c r="AM48" s="87"/>
      <c r="AN48" s="87"/>
      <c r="AO48" s="87"/>
      <c r="AP48" s="87"/>
      <c r="AQ48" s="87"/>
      <c r="AR48" s="87"/>
      <c r="AS48" s="87"/>
      <c r="AT48" s="88"/>
      <c r="AU48" s="89"/>
      <c r="AV48" s="1954">
        <f t="shared" si="37"/>
        <v>0</v>
      </c>
      <c r="AW48" s="1954">
        <f t="shared" si="38"/>
        <v>0</v>
      </c>
      <c r="AX48" s="1954">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79"/>
      <c r="B49" s="1374"/>
      <c r="C49" s="1375"/>
      <c r="D49" s="76"/>
      <c r="E49" s="82">
        <f t="shared" si="33"/>
        <v>0</v>
      </c>
      <c r="F49" s="83"/>
      <c r="G49" s="84">
        <f t="shared" si="34"/>
        <v>0</v>
      </c>
      <c r="H49" s="85">
        <f t="shared" si="35"/>
        <v>0</v>
      </c>
      <c r="I49" s="1375"/>
      <c r="J49" s="86"/>
      <c r="K49" s="1375"/>
      <c r="L49" s="86"/>
      <c r="M49" s="86"/>
      <c r="N49" s="86"/>
      <c r="O49" s="86"/>
      <c r="P49" s="86"/>
      <c r="Q49" s="86"/>
      <c r="R49" s="86"/>
      <c r="S49" s="86"/>
      <c r="T49" s="86"/>
      <c r="U49" s="86"/>
      <c r="V49" s="86"/>
      <c r="W49" s="86"/>
      <c r="X49" s="86"/>
      <c r="Y49" s="86"/>
      <c r="Z49" s="86"/>
      <c r="AA49" s="86"/>
      <c r="AB49" s="86"/>
      <c r="AC49" s="82">
        <f t="shared" si="36"/>
        <v>0</v>
      </c>
      <c r="AD49" s="87"/>
      <c r="AE49" s="87"/>
      <c r="AF49" s="1375"/>
      <c r="AG49" s="87"/>
      <c r="AH49" s="87"/>
      <c r="AI49" s="87"/>
      <c r="AJ49" s="87"/>
      <c r="AK49" s="87"/>
      <c r="AL49" s="87"/>
      <c r="AM49" s="87"/>
      <c r="AN49" s="87"/>
      <c r="AO49" s="87"/>
      <c r="AP49" s="87"/>
      <c r="AQ49" s="87"/>
      <c r="AR49" s="87"/>
      <c r="AS49" s="87"/>
      <c r="AT49" s="88"/>
      <c r="AU49" s="89"/>
      <c r="AV49" s="1954">
        <f t="shared" si="37"/>
        <v>0</v>
      </c>
      <c r="AW49" s="1954">
        <f t="shared" si="38"/>
        <v>0</v>
      </c>
      <c r="AX49" s="1954">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79"/>
      <c r="B50" s="1374"/>
      <c r="C50" s="1375"/>
      <c r="D50" s="76"/>
      <c r="E50" s="82">
        <f t="shared" si="33"/>
        <v>0</v>
      </c>
      <c r="F50" s="83"/>
      <c r="G50" s="84">
        <f t="shared" si="34"/>
        <v>0</v>
      </c>
      <c r="H50" s="85">
        <f t="shared" si="35"/>
        <v>0</v>
      </c>
      <c r="I50" s="1375"/>
      <c r="J50" s="86"/>
      <c r="K50" s="1375"/>
      <c r="L50" s="86"/>
      <c r="M50" s="86"/>
      <c r="N50" s="86"/>
      <c r="O50" s="86"/>
      <c r="P50" s="86"/>
      <c r="Q50" s="86"/>
      <c r="R50" s="86"/>
      <c r="S50" s="86"/>
      <c r="T50" s="86"/>
      <c r="U50" s="86"/>
      <c r="V50" s="86"/>
      <c r="W50" s="86"/>
      <c r="X50" s="86"/>
      <c r="Y50" s="86"/>
      <c r="Z50" s="86"/>
      <c r="AA50" s="86"/>
      <c r="AB50" s="86"/>
      <c r="AC50" s="82">
        <f t="shared" si="36"/>
        <v>0</v>
      </c>
      <c r="AD50" s="87"/>
      <c r="AE50" s="87"/>
      <c r="AF50" s="1375"/>
      <c r="AG50" s="87"/>
      <c r="AH50" s="87"/>
      <c r="AI50" s="87"/>
      <c r="AJ50" s="87"/>
      <c r="AK50" s="87"/>
      <c r="AL50" s="87"/>
      <c r="AM50" s="87"/>
      <c r="AN50" s="87"/>
      <c r="AO50" s="87"/>
      <c r="AP50" s="87"/>
      <c r="AQ50" s="87"/>
      <c r="AR50" s="87"/>
      <c r="AS50" s="87"/>
      <c r="AT50" s="88"/>
      <c r="AU50" s="89"/>
      <c r="AV50" s="1954">
        <f t="shared" si="37"/>
        <v>0</v>
      </c>
      <c r="AW50" s="1954">
        <f t="shared" si="38"/>
        <v>0</v>
      </c>
      <c r="AX50" s="1954">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79"/>
      <c r="B51" s="1374"/>
      <c r="C51" s="1375"/>
      <c r="D51" s="76"/>
      <c r="E51" s="82">
        <f t="shared" si="33"/>
        <v>0</v>
      </c>
      <c r="F51" s="83"/>
      <c r="G51" s="84">
        <f t="shared" si="34"/>
        <v>0</v>
      </c>
      <c r="H51" s="85">
        <f t="shared" si="35"/>
        <v>0</v>
      </c>
      <c r="I51" s="1375"/>
      <c r="J51" s="86"/>
      <c r="K51" s="1375"/>
      <c r="L51" s="86"/>
      <c r="M51" s="86"/>
      <c r="N51" s="86"/>
      <c r="O51" s="86"/>
      <c r="P51" s="86"/>
      <c r="Q51" s="86"/>
      <c r="R51" s="86"/>
      <c r="S51" s="86"/>
      <c r="T51" s="86"/>
      <c r="U51" s="86"/>
      <c r="V51" s="86"/>
      <c r="W51" s="86"/>
      <c r="X51" s="86"/>
      <c r="Y51" s="86"/>
      <c r="Z51" s="86"/>
      <c r="AA51" s="86"/>
      <c r="AB51" s="86"/>
      <c r="AC51" s="82">
        <f t="shared" si="36"/>
        <v>0</v>
      </c>
      <c r="AD51" s="87"/>
      <c r="AE51" s="87"/>
      <c r="AF51" s="1375"/>
      <c r="AG51" s="87"/>
      <c r="AH51" s="87"/>
      <c r="AI51" s="87"/>
      <c r="AJ51" s="87"/>
      <c r="AK51" s="87"/>
      <c r="AL51" s="87"/>
      <c r="AM51" s="87"/>
      <c r="AN51" s="87"/>
      <c r="AO51" s="87"/>
      <c r="AP51" s="87"/>
      <c r="AQ51" s="87"/>
      <c r="AR51" s="87"/>
      <c r="AS51" s="87"/>
      <c r="AT51" s="88"/>
      <c r="AU51" s="89"/>
      <c r="AV51" s="1954">
        <f t="shared" si="37"/>
        <v>0</v>
      </c>
      <c r="AW51" s="1954">
        <f t="shared" si="38"/>
        <v>0</v>
      </c>
      <c r="AX51" s="1954">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79"/>
      <c r="B52" s="1374"/>
      <c r="C52" s="1375"/>
      <c r="D52" s="76"/>
      <c r="E52" s="82">
        <f t="shared" si="33"/>
        <v>0</v>
      </c>
      <c r="F52" s="83"/>
      <c r="G52" s="84">
        <f t="shared" si="34"/>
        <v>0</v>
      </c>
      <c r="H52" s="85">
        <f t="shared" si="35"/>
        <v>0</v>
      </c>
      <c r="I52" s="1375"/>
      <c r="J52" s="86"/>
      <c r="K52" s="1375"/>
      <c r="L52" s="86"/>
      <c r="M52" s="86"/>
      <c r="N52" s="86"/>
      <c r="O52" s="86"/>
      <c r="P52" s="86"/>
      <c r="Q52" s="86"/>
      <c r="R52" s="86"/>
      <c r="S52" s="86"/>
      <c r="T52" s="86"/>
      <c r="U52" s="86"/>
      <c r="V52" s="86"/>
      <c r="W52" s="86"/>
      <c r="X52" s="86"/>
      <c r="Y52" s="86"/>
      <c r="Z52" s="86"/>
      <c r="AA52" s="86"/>
      <c r="AB52" s="86"/>
      <c r="AC52" s="82">
        <f t="shared" si="36"/>
        <v>0</v>
      </c>
      <c r="AD52" s="87"/>
      <c r="AE52" s="87"/>
      <c r="AF52" s="1375"/>
      <c r="AG52" s="87"/>
      <c r="AH52" s="87"/>
      <c r="AI52" s="87"/>
      <c r="AJ52" s="87"/>
      <c r="AK52" s="87"/>
      <c r="AL52" s="87"/>
      <c r="AM52" s="87"/>
      <c r="AN52" s="87"/>
      <c r="AO52" s="87"/>
      <c r="AP52" s="87"/>
      <c r="AQ52" s="87"/>
      <c r="AR52" s="87"/>
      <c r="AS52" s="87"/>
      <c r="AT52" s="88"/>
      <c r="AU52" s="89"/>
      <c r="AV52" s="1954">
        <f t="shared" si="37"/>
        <v>0</v>
      </c>
      <c r="AW52" s="1954">
        <f t="shared" si="38"/>
        <v>0</v>
      </c>
      <c r="AX52" s="1954">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79"/>
      <c r="B53" s="1374"/>
      <c r="C53" s="1375"/>
      <c r="D53" s="76"/>
      <c r="E53" s="82">
        <f t="shared" si="33"/>
        <v>0</v>
      </c>
      <c r="F53" s="83"/>
      <c r="G53" s="84">
        <f t="shared" si="34"/>
        <v>0</v>
      </c>
      <c r="H53" s="85">
        <f t="shared" si="35"/>
        <v>0</v>
      </c>
      <c r="I53" s="1375"/>
      <c r="J53" s="86"/>
      <c r="K53" s="1375"/>
      <c r="L53" s="86"/>
      <c r="M53" s="86"/>
      <c r="N53" s="86"/>
      <c r="O53" s="86"/>
      <c r="P53" s="86"/>
      <c r="Q53" s="86"/>
      <c r="R53" s="86"/>
      <c r="S53" s="86"/>
      <c r="T53" s="86"/>
      <c r="U53" s="86"/>
      <c r="V53" s="86"/>
      <c r="W53" s="86"/>
      <c r="X53" s="86"/>
      <c r="Y53" s="86"/>
      <c r="Z53" s="86"/>
      <c r="AA53" s="86"/>
      <c r="AB53" s="86"/>
      <c r="AC53" s="82">
        <f t="shared" si="36"/>
        <v>0</v>
      </c>
      <c r="AD53" s="87"/>
      <c r="AE53" s="87"/>
      <c r="AF53" s="1375"/>
      <c r="AG53" s="87"/>
      <c r="AH53" s="87"/>
      <c r="AI53" s="87"/>
      <c r="AJ53" s="87"/>
      <c r="AK53" s="87"/>
      <c r="AL53" s="87"/>
      <c r="AM53" s="87"/>
      <c r="AN53" s="87"/>
      <c r="AO53" s="87"/>
      <c r="AP53" s="87"/>
      <c r="AQ53" s="87"/>
      <c r="AR53" s="87"/>
      <c r="AS53" s="87"/>
      <c r="AT53" s="88"/>
      <c r="AU53" s="89"/>
      <c r="AV53" s="1954">
        <f t="shared" si="37"/>
        <v>0</v>
      </c>
      <c r="AW53" s="1954">
        <f t="shared" si="38"/>
        <v>0</v>
      </c>
      <c r="AX53" s="1954">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79"/>
      <c r="B54" s="1374"/>
      <c r="C54" s="1375"/>
      <c r="D54" s="76"/>
      <c r="E54" s="82">
        <f t="shared" si="33"/>
        <v>0</v>
      </c>
      <c r="F54" s="83"/>
      <c r="G54" s="84">
        <f t="shared" si="34"/>
        <v>0</v>
      </c>
      <c r="H54" s="85">
        <f t="shared" si="35"/>
        <v>0</v>
      </c>
      <c r="I54" s="1375"/>
      <c r="J54" s="86"/>
      <c r="K54" s="1375"/>
      <c r="L54" s="86"/>
      <c r="M54" s="86"/>
      <c r="N54" s="86"/>
      <c r="O54" s="86"/>
      <c r="P54" s="86"/>
      <c r="Q54" s="86"/>
      <c r="R54" s="86"/>
      <c r="S54" s="86"/>
      <c r="T54" s="86"/>
      <c r="U54" s="86"/>
      <c r="V54" s="86"/>
      <c r="W54" s="86"/>
      <c r="X54" s="86"/>
      <c r="Y54" s="86"/>
      <c r="Z54" s="86"/>
      <c r="AA54" s="86"/>
      <c r="AB54" s="86"/>
      <c r="AC54" s="82">
        <f t="shared" si="36"/>
        <v>0</v>
      </c>
      <c r="AD54" s="87"/>
      <c r="AE54" s="87"/>
      <c r="AF54" s="1375"/>
      <c r="AG54" s="87"/>
      <c r="AH54" s="87"/>
      <c r="AI54" s="87"/>
      <c r="AJ54" s="87"/>
      <c r="AK54" s="87"/>
      <c r="AL54" s="87"/>
      <c r="AM54" s="87"/>
      <c r="AN54" s="87"/>
      <c r="AO54" s="87"/>
      <c r="AP54" s="87"/>
      <c r="AQ54" s="87"/>
      <c r="AR54" s="87"/>
      <c r="AS54" s="87"/>
      <c r="AT54" s="88"/>
      <c r="AU54" s="89"/>
      <c r="AV54" s="1954">
        <f t="shared" si="37"/>
        <v>0</v>
      </c>
      <c r="AW54" s="1954">
        <f t="shared" si="38"/>
        <v>0</v>
      </c>
      <c r="AX54" s="1954">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79"/>
      <c r="B55" s="1376"/>
      <c r="C55" s="1377"/>
      <c r="D55" s="76"/>
      <c r="E55" s="82">
        <f t="shared" si="33"/>
        <v>0</v>
      </c>
      <c r="F55" s="83"/>
      <c r="G55" s="84">
        <f t="shared" si="34"/>
        <v>0</v>
      </c>
      <c r="H55" s="85">
        <f t="shared" si="35"/>
        <v>0</v>
      </c>
      <c r="I55" s="1375"/>
      <c r="J55" s="86"/>
      <c r="K55" s="1375"/>
      <c r="L55" s="86"/>
      <c r="M55" s="1375"/>
      <c r="N55" s="86"/>
      <c r="O55" s="86"/>
      <c r="P55" s="86"/>
      <c r="Q55" s="86"/>
      <c r="R55" s="86"/>
      <c r="S55" s="86"/>
      <c r="T55" s="86"/>
      <c r="U55" s="86"/>
      <c r="V55" s="86"/>
      <c r="W55" s="86"/>
      <c r="X55" s="86"/>
      <c r="Y55" s="86"/>
      <c r="Z55" s="86"/>
      <c r="AA55" s="86"/>
      <c r="AB55" s="86"/>
      <c r="AC55" s="82">
        <f t="shared" si="36"/>
        <v>0</v>
      </c>
      <c r="AD55" s="87"/>
      <c r="AE55" s="87"/>
      <c r="AF55" s="1375"/>
      <c r="AG55" s="87"/>
      <c r="AH55" s="87"/>
      <c r="AI55" s="87"/>
      <c r="AJ55" s="87"/>
      <c r="AK55" s="87"/>
      <c r="AL55" s="87"/>
      <c r="AM55" s="87"/>
      <c r="AN55" s="87"/>
      <c r="AO55" s="87"/>
      <c r="AP55" s="87"/>
      <c r="AQ55" s="87"/>
      <c r="AR55" s="87"/>
      <c r="AS55" s="87"/>
      <c r="AT55" s="88"/>
      <c r="AU55" s="89"/>
      <c r="AV55" s="1954">
        <f t="shared" si="37"/>
        <v>0</v>
      </c>
      <c r="AW55" s="1954">
        <f t="shared" si="38"/>
        <v>0</v>
      </c>
      <c r="AX55" s="1954">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79"/>
      <c r="B56" s="80"/>
      <c r="C56" s="80"/>
      <c r="D56" s="81"/>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954">
        <f t="shared" si="37"/>
        <v>0</v>
      </c>
      <c r="AW56" s="1954">
        <f t="shared" si="38"/>
        <v>0</v>
      </c>
      <c r="AX56" s="1954">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79"/>
      <c r="B57" s="80"/>
      <c r="C57" s="80"/>
      <c r="D57" s="81"/>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954">
        <f t="shared" si="37"/>
        <v>0</v>
      </c>
      <c r="AW57" s="1954">
        <f t="shared" si="38"/>
        <v>0</v>
      </c>
      <c r="AX57" s="1954">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79"/>
      <c r="B58" s="80"/>
      <c r="C58" s="80"/>
      <c r="D58" s="81"/>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954">
        <f t="shared" si="37"/>
        <v>0</v>
      </c>
      <c r="AW58" s="1954">
        <f t="shared" si="38"/>
        <v>0</v>
      </c>
      <c r="AX58" s="1954">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79"/>
      <c r="B59" s="80"/>
      <c r="C59" s="80"/>
      <c r="D59" s="81"/>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954">
        <f t="shared" si="37"/>
        <v>0</v>
      </c>
      <c r="AW59" s="1954">
        <f t="shared" si="38"/>
        <v>0</v>
      </c>
      <c r="AX59" s="1954">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79"/>
      <c r="B60" s="80"/>
      <c r="C60" s="80"/>
      <c r="D60" s="81"/>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954">
        <f t="shared" si="37"/>
        <v>0</v>
      </c>
      <c r="AW60" s="1954">
        <f t="shared" si="38"/>
        <v>0</v>
      </c>
      <c r="AX60" s="1954">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79"/>
      <c r="B61" s="80"/>
      <c r="C61" s="80"/>
      <c r="D61" s="81"/>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954">
        <f t="shared" si="37"/>
        <v>0</v>
      </c>
      <c r="AW61" s="1954">
        <f t="shared" si="38"/>
        <v>0</v>
      </c>
      <c r="AX61" s="1954">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79"/>
      <c r="B62" s="80"/>
      <c r="C62" s="80"/>
      <c r="D62" s="81"/>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954">
        <f t="shared" si="37"/>
        <v>0</v>
      </c>
      <c r="AW62" s="1954">
        <f t="shared" si="38"/>
        <v>0</v>
      </c>
      <c r="AX62" s="1954">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79"/>
      <c r="B63" s="80"/>
      <c r="C63" s="80"/>
      <c r="D63" s="81"/>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954">
        <f t="shared" si="37"/>
        <v>0</v>
      </c>
      <c r="AW63" s="1954">
        <f t="shared" si="38"/>
        <v>0</v>
      </c>
      <c r="AX63" s="1954">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79"/>
      <c r="B64" s="80"/>
      <c r="C64" s="80"/>
      <c r="D64" s="81"/>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954">
        <f t="shared" si="37"/>
        <v>0</v>
      </c>
      <c r="AW64" s="1954">
        <f t="shared" si="38"/>
        <v>0</v>
      </c>
      <c r="AX64" s="1954">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79"/>
      <c r="B65" s="80"/>
      <c r="C65" s="80"/>
      <c r="D65" s="81"/>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954">
        <f t="shared" si="37"/>
        <v>0</v>
      </c>
      <c r="AW65" s="1954">
        <f t="shared" si="38"/>
        <v>0</v>
      </c>
      <c r="AX65" s="1954">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79"/>
      <c r="B66" s="80"/>
      <c r="C66" s="80"/>
      <c r="D66" s="81"/>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954">
        <f t="shared" si="37"/>
        <v>0</v>
      </c>
      <c r="AW66" s="1954">
        <f t="shared" si="38"/>
        <v>0</v>
      </c>
      <c r="AX66" s="1954">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79"/>
      <c r="B67" s="80"/>
      <c r="C67" s="80"/>
      <c r="D67" s="81"/>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954">
        <f t="shared" si="37"/>
        <v>0</v>
      </c>
      <c r="AW67" s="1954">
        <f t="shared" si="38"/>
        <v>0</v>
      </c>
      <c r="AX67" s="1954">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79"/>
      <c r="B68" s="80"/>
      <c r="C68" s="80"/>
      <c r="D68" s="81"/>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954">
        <f t="shared" si="37"/>
        <v>0</v>
      </c>
      <c r="AW68" s="1954">
        <f t="shared" si="38"/>
        <v>0</v>
      </c>
      <c r="AX68" s="1954">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79"/>
      <c r="B69" s="80"/>
      <c r="C69" s="80"/>
      <c r="D69" s="81"/>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954">
        <f t="shared" si="37"/>
        <v>0</v>
      </c>
      <c r="AW69" s="1954">
        <f t="shared" si="38"/>
        <v>0</v>
      </c>
      <c r="AX69" s="1954">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79"/>
      <c r="B70" s="80"/>
      <c r="C70" s="80"/>
      <c r="D70" s="81"/>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954">
        <f t="shared" si="37"/>
        <v>0</v>
      </c>
      <c r="AW70" s="1954">
        <f t="shared" si="38"/>
        <v>0</v>
      </c>
      <c r="AX70" s="1954">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79"/>
      <c r="B71" s="80"/>
      <c r="C71" s="80"/>
      <c r="D71" s="81"/>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954">
        <f t="shared" si="37"/>
        <v>0</v>
      </c>
      <c r="AW71" s="1954">
        <f t="shared" si="38"/>
        <v>0</v>
      </c>
      <c r="AX71" s="1954">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79"/>
      <c r="B72" s="80"/>
      <c r="C72" s="80"/>
      <c r="D72" s="81"/>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954">
        <f t="shared" si="37"/>
        <v>0</v>
      </c>
      <c r="AW72" s="1954">
        <f t="shared" si="38"/>
        <v>0</v>
      </c>
      <c r="AX72" s="1954">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79"/>
      <c r="B73" s="80"/>
      <c r="C73" s="80"/>
      <c r="D73" s="81"/>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954">
        <f t="shared" si="37"/>
        <v>0</v>
      </c>
      <c r="AW73" s="1954">
        <f t="shared" si="38"/>
        <v>0</v>
      </c>
      <c r="AX73" s="1954">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79"/>
      <c r="B74" s="80"/>
      <c r="C74" s="80"/>
      <c r="D74" s="81"/>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954">
        <f t="shared" si="37"/>
        <v>0</v>
      </c>
      <c r="AW74" s="1954">
        <f t="shared" si="38"/>
        <v>0</v>
      </c>
      <c r="AX74" s="1954">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79"/>
      <c r="B75" s="80"/>
      <c r="C75" s="80"/>
      <c r="D75" s="81"/>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954">
        <f t="shared" si="37"/>
        <v>0</v>
      </c>
      <c r="AW75" s="1954">
        <f t="shared" si="38"/>
        <v>0</v>
      </c>
      <c r="AX75" s="1954">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79"/>
      <c r="B76" s="80"/>
      <c r="C76" s="80"/>
      <c r="D76" s="81"/>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954">
        <f t="shared" si="37"/>
        <v>0</v>
      </c>
      <c r="AW76" s="1954">
        <f t="shared" si="38"/>
        <v>0</v>
      </c>
      <c r="AX76" s="1954">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79"/>
      <c r="B77" s="80"/>
      <c r="C77" s="80"/>
      <c r="D77" s="81"/>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954">
        <f t="shared" si="37"/>
        <v>0</v>
      </c>
      <c r="AW77" s="1954">
        <f t="shared" si="38"/>
        <v>0</v>
      </c>
      <c r="AX77" s="1954">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79"/>
      <c r="B78" s="80"/>
      <c r="C78" s="80"/>
      <c r="D78" s="81"/>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954">
        <f t="shared" si="37"/>
        <v>0</v>
      </c>
      <c r="AW78" s="1954">
        <f t="shared" si="38"/>
        <v>0</v>
      </c>
      <c r="AX78" s="1954">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79"/>
      <c r="B79" s="80"/>
      <c r="C79" s="80"/>
      <c r="D79" s="81"/>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954">
        <f t="shared" si="37"/>
        <v>0</v>
      </c>
      <c r="AW79" s="1954">
        <f t="shared" si="38"/>
        <v>0</v>
      </c>
      <c r="AX79" s="1954">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79"/>
      <c r="B80" s="80"/>
      <c r="C80" s="80"/>
      <c r="D80" s="81"/>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954">
        <f t="shared" si="37"/>
        <v>0</v>
      </c>
      <c r="AW80" s="1954">
        <f t="shared" si="38"/>
        <v>0</v>
      </c>
      <c r="AX80" s="1954">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79"/>
      <c r="B81" s="80"/>
      <c r="C81" s="80"/>
      <c r="D81" s="81"/>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954">
        <f t="shared" si="37"/>
        <v>0</v>
      </c>
      <c r="AW81" s="1954">
        <f t="shared" si="38"/>
        <v>0</v>
      </c>
      <c r="AX81" s="1954">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79"/>
      <c r="B82" s="80"/>
      <c r="C82" s="80"/>
      <c r="D82" s="81"/>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954">
        <f t="shared" si="37"/>
        <v>0</v>
      </c>
      <c r="AW82" s="1954">
        <f t="shared" si="38"/>
        <v>0</v>
      </c>
      <c r="AX82" s="1954">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79"/>
      <c r="B83" s="80"/>
      <c r="C83" s="80"/>
      <c r="D83" s="81"/>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954">
        <f t="shared" si="37"/>
        <v>0</v>
      </c>
      <c r="AW83" s="1954">
        <f t="shared" si="38"/>
        <v>0</v>
      </c>
      <c r="AX83" s="1954">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79"/>
      <c r="B84" s="80"/>
      <c r="C84" s="80"/>
      <c r="D84" s="81"/>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954">
        <f t="shared" si="37"/>
        <v>0</v>
      </c>
      <c r="AW84" s="1954">
        <f t="shared" si="38"/>
        <v>0</v>
      </c>
      <c r="AX84" s="1954">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79"/>
      <c r="B85" s="80"/>
      <c r="C85" s="80"/>
      <c r="D85" s="81"/>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954">
        <f t="shared" si="37"/>
        <v>0</v>
      </c>
      <c r="AW85" s="1954">
        <f t="shared" si="38"/>
        <v>0</v>
      </c>
      <c r="AX85" s="1954">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79"/>
      <c r="B86" s="80"/>
      <c r="C86" s="80"/>
      <c r="D86" s="81"/>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954">
        <f t="shared" si="37"/>
        <v>0</v>
      </c>
      <c r="AW86" s="1954">
        <f t="shared" si="38"/>
        <v>0</v>
      </c>
      <c r="AX86" s="1954">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79"/>
      <c r="B87" s="80"/>
      <c r="C87" s="80"/>
      <c r="D87" s="81"/>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954">
        <f t="shared" si="37"/>
        <v>0</v>
      </c>
      <c r="AW87" s="1954">
        <f t="shared" si="38"/>
        <v>0</v>
      </c>
      <c r="AX87" s="1954">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79"/>
      <c r="B88" s="80"/>
      <c r="C88" s="80"/>
      <c r="D88" s="81"/>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954">
        <f t="shared" si="37"/>
        <v>0</v>
      </c>
      <c r="AW88" s="1954">
        <f t="shared" si="38"/>
        <v>0</v>
      </c>
      <c r="AX88" s="1954">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79"/>
      <c r="B89" s="80"/>
      <c r="C89" s="80"/>
      <c r="D89" s="81"/>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954">
        <f t="shared" si="37"/>
        <v>0</v>
      </c>
      <c r="AW89" s="1954">
        <f t="shared" si="38"/>
        <v>0</v>
      </c>
      <c r="AX89" s="1954">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79"/>
      <c r="B90" s="80"/>
      <c r="C90" s="80"/>
      <c r="D90" s="81"/>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954">
        <f t="shared" si="37"/>
        <v>0</v>
      </c>
      <c r="AW90" s="1954">
        <f t="shared" si="38"/>
        <v>0</v>
      </c>
      <c r="AX90" s="1954">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79"/>
      <c r="B91" s="80"/>
      <c r="C91" s="80"/>
      <c r="D91" s="81"/>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954">
        <f t="shared" si="37"/>
        <v>0</v>
      </c>
      <c r="AW91" s="1954">
        <f t="shared" si="38"/>
        <v>0</v>
      </c>
      <c r="AX91" s="1954">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79"/>
      <c r="B92" s="80"/>
      <c r="C92" s="80"/>
      <c r="D92" s="81"/>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954">
        <f t="shared" si="37"/>
        <v>0</v>
      </c>
      <c r="AW92" s="1954">
        <f t="shared" si="38"/>
        <v>0</v>
      </c>
      <c r="AX92" s="1954">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79"/>
      <c r="B93" s="80"/>
      <c r="C93" s="80"/>
      <c r="D93" s="81"/>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954">
        <f t="shared" si="37"/>
        <v>0</v>
      </c>
      <c r="AW93" s="1954">
        <f t="shared" si="38"/>
        <v>0</v>
      </c>
      <c r="AX93" s="1954">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79"/>
      <c r="B94" s="80"/>
      <c r="C94" s="80"/>
      <c r="D94" s="81"/>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954">
        <f t="shared" si="37"/>
        <v>0</v>
      </c>
      <c r="AW94" s="1954">
        <f t="shared" si="38"/>
        <v>0</v>
      </c>
      <c r="AX94" s="1954">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79"/>
      <c r="B95" s="80"/>
      <c r="C95" s="80"/>
      <c r="D95" s="81"/>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954">
        <f t="shared" si="37"/>
        <v>0</v>
      </c>
      <c r="AW95" s="1954">
        <f t="shared" si="38"/>
        <v>0</v>
      </c>
      <c r="AX95" s="1954">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79"/>
      <c r="B96" s="80"/>
      <c r="C96" s="80"/>
      <c r="D96" s="81"/>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954">
        <f t="shared" si="37"/>
        <v>0</v>
      </c>
      <c r="AW96" s="1954">
        <f t="shared" si="38"/>
        <v>0</v>
      </c>
      <c r="AX96" s="1954">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79"/>
      <c r="B97" s="80"/>
      <c r="C97" s="80"/>
      <c r="D97" s="81"/>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954">
        <f t="shared" si="37"/>
        <v>0</v>
      </c>
      <c r="AW97" s="1954">
        <f t="shared" si="38"/>
        <v>0</v>
      </c>
      <c r="AX97" s="1954">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79"/>
      <c r="B98" s="80"/>
      <c r="C98" s="80"/>
      <c r="D98" s="81"/>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954">
        <f t="shared" si="37"/>
        <v>0</v>
      </c>
      <c r="AW98" s="1954">
        <f t="shared" si="38"/>
        <v>0</v>
      </c>
      <c r="AX98" s="1954">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79"/>
      <c r="B99" s="80"/>
      <c r="C99" s="80"/>
      <c r="D99" s="81"/>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954">
        <f t="shared" si="37"/>
        <v>0</v>
      </c>
      <c r="AW99" s="1954">
        <f t="shared" si="38"/>
        <v>0</v>
      </c>
      <c r="AX99" s="1954">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79"/>
      <c r="B100" s="80"/>
      <c r="C100" s="80"/>
      <c r="D100" s="81"/>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954">
        <f t="shared" si="37"/>
        <v>0</v>
      </c>
      <c r="AW100" s="1954">
        <f t="shared" si="38"/>
        <v>0</v>
      </c>
      <c r="AX100" s="1954">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79"/>
      <c r="B101" s="80"/>
      <c r="C101" s="80"/>
      <c r="D101" s="81"/>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954">
        <f t="shared" si="37"/>
        <v>0</v>
      </c>
      <c r="AW101" s="1954">
        <f t="shared" si="38"/>
        <v>0</v>
      </c>
      <c r="AX101" s="1954">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79"/>
      <c r="B102" s="80"/>
      <c r="C102" s="80"/>
      <c r="D102" s="81"/>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954">
        <f t="shared" si="37"/>
        <v>0</v>
      </c>
      <c r="AW102" s="1954">
        <f t="shared" si="38"/>
        <v>0</v>
      </c>
      <c r="AX102" s="1954">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79"/>
      <c r="B103" s="80"/>
      <c r="C103" s="80"/>
      <c r="D103" s="81"/>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954">
        <f t="shared" si="37"/>
        <v>0</v>
      </c>
      <c r="AW103" s="1954">
        <f t="shared" si="38"/>
        <v>0</v>
      </c>
      <c r="AX103" s="1954">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79"/>
      <c r="B104" s="80"/>
      <c r="C104" s="80"/>
      <c r="D104" s="81"/>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954">
        <f t="shared" si="37"/>
        <v>0</v>
      </c>
      <c r="AW104" s="1954">
        <f t="shared" si="38"/>
        <v>0</v>
      </c>
      <c r="AX104" s="1954">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79"/>
      <c r="B105" s="80"/>
      <c r="C105" s="80"/>
      <c r="D105" s="81"/>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954">
        <f t="shared" si="37"/>
        <v>0</v>
      </c>
      <c r="AW105" s="1954">
        <f t="shared" si="38"/>
        <v>0</v>
      </c>
      <c r="AX105" s="1954">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79"/>
      <c r="B106" s="80"/>
      <c r="C106" s="80"/>
      <c r="D106" s="81"/>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954">
        <f t="shared" si="37"/>
        <v>0</v>
      </c>
      <c r="AW106" s="1954">
        <f t="shared" si="38"/>
        <v>0</v>
      </c>
      <c r="AX106" s="1954">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79"/>
      <c r="B107" s="80"/>
      <c r="C107" s="80"/>
      <c r="D107" s="81"/>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954">
        <f t="shared" si="37"/>
        <v>0</v>
      </c>
      <c r="AW107" s="1954">
        <f t="shared" si="38"/>
        <v>0</v>
      </c>
      <c r="AX107" s="1954">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79"/>
      <c r="B108" s="80"/>
      <c r="C108" s="80"/>
      <c r="D108" s="81"/>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954">
        <f t="shared" si="37"/>
        <v>0</v>
      </c>
      <c r="AW108" s="1954">
        <f t="shared" si="38"/>
        <v>0</v>
      </c>
      <c r="AX108" s="1954">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79"/>
      <c r="B109" s="80"/>
      <c r="C109" s="80"/>
      <c r="D109" s="81"/>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954">
        <f t="shared" si="37"/>
        <v>0</v>
      </c>
      <c r="AW109" s="1954">
        <f t="shared" si="38"/>
        <v>0</v>
      </c>
      <c r="AX109" s="1954">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79"/>
      <c r="B110" s="79"/>
      <c r="C110" s="79"/>
      <c r="D110" s="81"/>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954">
        <f t="shared" si="37"/>
        <v>0</v>
      </c>
      <c r="AW110" s="1954">
        <f t="shared" si="38"/>
        <v>0</v>
      </c>
      <c r="AX110" s="1954">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79"/>
      <c r="B111" s="79"/>
      <c r="C111" s="79"/>
      <c r="D111" s="81"/>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954">
        <f t="shared" si="37"/>
        <v>0</v>
      </c>
      <c r="AW111" s="1954">
        <f t="shared" si="38"/>
        <v>0</v>
      </c>
      <c r="AX111" s="1954">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79"/>
      <c r="B112" s="79"/>
      <c r="C112" s="79"/>
      <c r="D112" s="81"/>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954">
        <f t="shared" si="37"/>
        <v>0</v>
      </c>
      <c r="AW112" s="1954">
        <f t="shared" si="38"/>
        <v>0</v>
      </c>
      <c r="AX112" s="1954">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79"/>
      <c r="B113" s="1374"/>
      <c r="C113" s="1375"/>
      <c r="D113" s="76"/>
      <c r="E113" s="82">
        <f t="shared" ref="E113:E144" si="87">IF($C$3="是",ROUND($A$3*G113/$B$3,2),ROUND($A$3*(G113-AT113)/$B$3,2))</f>
        <v>0</v>
      </c>
      <c r="F113" s="83"/>
      <c r="G113" s="84">
        <f t="shared" si="62"/>
        <v>0</v>
      </c>
      <c r="H113" s="85">
        <f t="shared" si="63"/>
        <v>0</v>
      </c>
      <c r="I113" s="1377"/>
      <c r="J113" s="86"/>
      <c r="K113" s="1377"/>
      <c r="L113" s="86"/>
      <c r="M113" s="86"/>
      <c r="N113" s="86"/>
      <c r="O113" s="86"/>
      <c r="P113" s="86"/>
      <c r="Q113" s="86"/>
      <c r="R113" s="86"/>
      <c r="S113" s="86"/>
      <c r="T113" s="86"/>
      <c r="U113" s="86"/>
      <c r="V113" s="86"/>
      <c r="W113" s="86"/>
      <c r="X113" s="86"/>
      <c r="Y113" s="86"/>
      <c r="Z113" s="86"/>
      <c r="AA113" s="86"/>
      <c r="AB113" s="86"/>
      <c r="AC113" s="82">
        <f t="shared" si="64"/>
        <v>0</v>
      </c>
      <c r="AD113" s="87"/>
      <c r="AE113" s="87"/>
      <c r="AF113" s="1378"/>
      <c r="AG113" s="87"/>
      <c r="AH113" s="87"/>
      <c r="AI113" s="87"/>
      <c r="AJ113" s="87"/>
      <c r="AK113" s="87"/>
      <c r="AL113" s="87"/>
      <c r="AM113" s="87"/>
      <c r="AN113" s="1350"/>
      <c r="AO113" s="87"/>
      <c r="AP113" s="87"/>
      <c r="AQ113" s="87"/>
      <c r="AR113" s="87"/>
      <c r="AS113" s="87"/>
      <c r="AT113" s="88"/>
      <c r="AU113" s="89"/>
      <c r="AV113" s="1954">
        <f t="shared" ref="AV113:AV144" si="88">A113</f>
        <v>0</v>
      </c>
      <c r="AW113" s="1954">
        <f t="shared" ref="AW113:AW144" si="89">B113</f>
        <v>0</v>
      </c>
      <c r="AX113" s="1954">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79"/>
      <c r="B114" s="1374"/>
      <c r="C114" s="1375"/>
      <c r="D114" s="76"/>
      <c r="E114" s="82">
        <f t="shared" si="87"/>
        <v>0</v>
      </c>
      <c r="F114" s="83"/>
      <c r="G114" s="84">
        <f t="shared" si="62"/>
        <v>0</v>
      </c>
      <c r="H114" s="85">
        <f t="shared" si="63"/>
        <v>0</v>
      </c>
      <c r="I114" s="1377"/>
      <c r="J114" s="86"/>
      <c r="K114" s="1377"/>
      <c r="L114" s="86"/>
      <c r="M114" s="1350"/>
      <c r="N114" s="86"/>
      <c r="O114" s="86"/>
      <c r="P114" s="86"/>
      <c r="Q114" s="86"/>
      <c r="R114" s="86"/>
      <c r="S114" s="86"/>
      <c r="T114" s="86"/>
      <c r="U114" s="86"/>
      <c r="V114" s="86"/>
      <c r="W114" s="86"/>
      <c r="X114" s="86"/>
      <c r="Y114" s="86"/>
      <c r="Z114" s="86"/>
      <c r="AA114" s="86"/>
      <c r="AB114" s="86"/>
      <c r="AC114" s="82">
        <f t="shared" si="64"/>
        <v>0</v>
      </c>
      <c r="AD114" s="1350"/>
      <c r="AE114" s="87"/>
      <c r="AF114" s="1378"/>
      <c r="AG114" s="87"/>
      <c r="AH114" s="87"/>
      <c r="AI114" s="87"/>
      <c r="AJ114" s="87"/>
      <c r="AK114" s="87"/>
      <c r="AL114" s="1350"/>
      <c r="AM114" s="87"/>
      <c r="AN114" s="1350"/>
      <c r="AO114" s="87"/>
      <c r="AP114" s="87"/>
      <c r="AQ114" s="87"/>
      <c r="AR114" s="87"/>
      <c r="AS114" s="87"/>
      <c r="AT114" s="88"/>
      <c r="AU114" s="89"/>
      <c r="AV114" s="1954">
        <f t="shared" si="88"/>
        <v>0</v>
      </c>
      <c r="AW114" s="1954">
        <f t="shared" si="89"/>
        <v>0</v>
      </c>
      <c r="AX114" s="1954">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79"/>
      <c r="B115" s="1374"/>
      <c r="C115" s="1375"/>
      <c r="D115" s="76"/>
      <c r="E115" s="82">
        <f t="shared" si="87"/>
        <v>0</v>
      </c>
      <c r="F115" s="83"/>
      <c r="G115" s="84">
        <f t="shared" si="62"/>
        <v>0</v>
      </c>
      <c r="H115" s="85">
        <f t="shared" si="63"/>
        <v>0</v>
      </c>
      <c r="I115" s="1377"/>
      <c r="J115" s="86"/>
      <c r="K115" s="1377"/>
      <c r="L115" s="86"/>
      <c r="M115" s="1350"/>
      <c r="N115" s="86"/>
      <c r="O115" s="86"/>
      <c r="P115" s="86"/>
      <c r="Q115" s="86"/>
      <c r="R115" s="86"/>
      <c r="S115" s="86"/>
      <c r="T115" s="86"/>
      <c r="U115" s="86"/>
      <c r="V115" s="86"/>
      <c r="W115" s="86"/>
      <c r="X115" s="86"/>
      <c r="Y115" s="86"/>
      <c r="Z115" s="86"/>
      <c r="AA115" s="86"/>
      <c r="AB115" s="86"/>
      <c r="AC115" s="82">
        <f t="shared" si="64"/>
        <v>0</v>
      </c>
      <c r="AD115" s="87"/>
      <c r="AE115" s="87"/>
      <c r="AF115" s="1378"/>
      <c r="AG115" s="87"/>
      <c r="AH115" s="87"/>
      <c r="AI115" s="87"/>
      <c r="AJ115" s="87"/>
      <c r="AK115" s="87"/>
      <c r="AL115" s="1350"/>
      <c r="AM115" s="87"/>
      <c r="AN115" s="1350"/>
      <c r="AO115" s="87"/>
      <c r="AP115" s="87"/>
      <c r="AQ115" s="87"/>
      <c r="AR115" s="87"/>
      <c r="AS115" s="87"/>
      <c r="AT115" s="88"/>
      <c r="AU115" s="89"/>
      <c r="AV115" s="1954">
        <f t="shared" si="88"/>
        <v>0</v>
      </c>
      <c r="AW115" s="1954">
        <f t="shared" si="89"/>
        <v>0</v>
      </c>
      <c r="AX115" s="1954">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79"/>
      <c r="B116" s="1374"/>
      <c r="C116" s="1375"/>
      <c r="D116" s="76"/>
      <c r="E116" s="82">
        <f t="shared" si="87"/>
        <v>0</v>
      </c>
      <c r="F116" s="83"/>
      <c r="G116" s="84">
        <f t="shared" si="62"/>
        <v>0</v>
      </c>
      <c r="H116" s="85">
        <f t="shared" si="63"/>
        <v>0</v>
      </c>
      <c r="I116" s="1377"/>
      <c r="J116" s="86"/>
      <c r="K116" s="1377"/>
      <c r="L116" s="86"/>
      <c r="M116" s="86"/>
      <c r="N116" s="86"/>
      <c r="O116" s="1350"/>
      <c r="P116" s="86"/>
      <c r="Q116" s="86"/>
      <c r="R116" s="86"/>
      <c r="S116" s="86"/>
      <c r="T116" s="86"/>
      <c r="U116" s="86"/>
      <c r="V116" s="86"/>
      <c r="W116" s="86"/>
      <c r="X116" s="86"/>
      <c r="Y116" s="86"/>
      <c r="Z116" s="86"/>
      <c r="AA116" s="86"/>
      <c r="AB116" s="86"/>
      <c r="AC116" s="82">
        <f t="shared" si="64"/>
        <v>0</v>
      </c>
      <c r="AD116" s="87"/>
      <c r="AE116" s="87"/>
      <c r="AF116" s="1378"/>
      <c r="AG116" s="87"/>
      <c r="AH116" s="87"/>
      <c r="AI116" s="87"/>
      <c r="AJ116" s="87"/>
      <c r="AK116" s="87"/>
      <c r="AL116" s="87"/>
      <c r="AM116" s="87"/>
      <c r="AN116" s="1350"/>
      <c r="AO116" s="87"/>
      <c r="AP116" s="87"/>
      <c r="AQ116" s="87"/>
      <c r="AR116" s="87"/>
      <c r="AS116" s="87"/>
      <c r="AT116" s="88"/>
      <c r="AU116" s="89"/>
      <c r="AV116" s="1954">
        <f t="shared" si="88"/>
        <v>0</v>
      </c>
      <c r="AW116" s="1954">
        <f t="shared" si="89"/>
        <v>0</v>
      </c>
      <c r="AX116" s="1954">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79"/>
      <c r="B117" s="1374"/>
      <c r="C117" s="1375"/>
      <c r="D117" s="76"/>
      <c r="E117" s="82">
        <f t="shared" si="87"/>
        <v>0</v>
      </c>
      <c r="F117" s="83"/>
      <c r="G117" s="84">
        <f t="shared" si="62"/>
        <v>0</v>
      </c>
      <c r="H117" s="85">
        <f t="shared" si="63"/>
        <v>0</v>
      </c>
      <c r="I117" s="1377"/>
      <c r="J117" s="86"/>
      <c r="K117" s="1377"/>
      <c r="L117" s="86"/>
      <c r="M117" s="86"/>
      <c r="N117" s="86"/>
      <c r="O117" s="86"/>
      <c r="P117" s="86"/>
      <c r="Q117" s="86"/>
      <c r="R117" s="86"/>
      <c r="S117" s="86"/>
      <c r="T117" s="86"/>
      <c r="U117" s="86"/>
      <c r="V117" s="86"/>
      <c r="W117" s="86"/>
      <c r="X117" s="86"/>
      <c r="Y117" s="86"/>
      <c r="Z117" s="86"/>
      <c r="AA117" s="86"/>
      <c r="AB117" s="86"/>
      <c r="AC117" s="82">
        <f t="shared" si="64"/>
        <v>0</v>
      </c>
      <c r="AD117" s="87"/>
      <c r="AE117" s="87"/>
      <c r="AF117" s="1378"/>
      <c r="AG117" s="87"/>
      <c r="AH117" s="87"/>
      <c r="AI117" s="87"/>
      <c r="AJ117" s="87"/>
      <c r="AK117" s="87"/>
      <c r="AL117" s="87"/>
      <c r="AM117" s="87"/>
      <c r="AN117" s="87"/>
      <c r="AO117" s="87"/>
      <c r="AP117" s="87"/>
      <c r="AQ117" s="87"/>
      <c r="AR117" s="87"/>
      <c r="AS117" s="87"/>
      <c r="AT117" s="88"/>
      <c r="AU117" s="89"/>
      <c r="AV117" s="1954">
        <f t="shared" si="88"/>
        <v>0</v>
      </c>
      <c r="AW117" s="1954">
        <f t="shared" si="89"/>
        <v>0</v>
      </c>
      <c r="AX117" s="1954">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79"/>
      <c r="B118" s="1374"/>
      <c r="C118" s="1375"/>
      <c r="D118" s="76"/>
      <c r="E118" s="82">
        <f t="shared" si="87"/>
        <v>0</v>
      </c>
      <c r="F118" s="83"/>
      <c r="G118" s="84">
        <f t="shared" si="62"/>
        <v>0</v>
      </c>
      <c r="H118" s="85">
        <f t="shared" si="63"/>
        <v>0</v>
      </c>
      <c r="I118" s="1377"/>
      <c r="J118" s="86"/>
      <c r="K118" s="1377"/>
      <c r="L118" s="86"/>
      <c r="M118" s="86"/>
      <c r="N118" s="86"/>
      <c r="O118" s="86"/>
      <c r="P118" s="86"/>
      <c r="Q118" s="86"/>
      <c r="R118" s="86"/>
      <c r="S118" s="86"/>
      <c r="T118" s="86"/>
      <c r="U118" s="86"/>
      <c r="V118" s="86"/>
      <c r="W118" s="86"/>
      <c r="X118" s="86"/>
      <c r="Y118" s="86"/>
      <c r="Z118" s="86"/>
      <c r="AA118" s="86"/>
      <c r="AB118" s="86"/>
      <c r="AC118" s="82">
        <f t="shared" si="64"/>
        <v>0</v>
      </c>
      <c r="AD118" s="87"/>
      <c r="AE118" s="87"/>
      <c r="AF118" s="1378"/>
      <c r="AG118" s="87"/>
      <c r="AH118" s="87"/>
      <c r="AI118" s="87"/>
      <c r="AJ118" s="87"/>
      <c r="AK118" s="87"/>
      <c r="AL118" s="87"/>
      <c r="AM118" s="87"/>
      <c r="AN118" s="87"/>
      <c r="AO118" s="87"/>
      <c r="AP118" s="87"/>
      <c r="AQ118" s="87"/>
      <c r="AR118" s="87"/>
      <c r="AS118" s="87"/>
      <c r="AT118" s="88"/>
      <c r="AU118" s="89"/>
      <c r="AV118" s="1954">
        <f t="shared" si="88"/>
        <v>0</v>
      </c>
      <c r="AW118" s="1954">
        <f t="shared" si="89"/>
        <v>0</v>
      </c>
      <c r="AX118" s="1954">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79"/>
      <c r="B119" s="1374"/>
      <c r="C119" s="1375"/>
      <c r="D119" s="76"/>
      <c r="E119" s="82">
        <f t="shared" si="87"/>
        <v>0</v>
      </c>
      <c r="F119" s="83"/>
      <c r="G119" s="84">
        <f t="shared" si="62"/>
        <v>0</v>
      </c>
      <c r="H119" s="85">
        <f t="shared" si="63"/>
        <v>0</v>
      </c>
      <c r="I119" s="1377"/>
      <c r="J119" s="86"/>
      <c r="K119" s="1377"/>
      <c r="L119" s="86"/>
      <c r="M119" s="86"/>
      <c r="N119" s="86"/>
      <c r="O119" s="86"/>
      <c r="P119" s="86"/>
      <c r="Q119" s="86"/>
      <c r="R119" s="86"/>
      <c r="S119" s="86"/>
      <c r="T119" s="86"/>
      <c r="U119" s="86"/>
      <c r="V119" s="86"/>
      <c r="W119" s="86"/>
      <c r="X119" s="86"/>
      <c r="Y119" s="86"/>
      <c r="Z119" s="86"/>
      <c r="AA119" s="86"/>
      <c r="AB119" s="86"/>
      <c r="AC119" s="82">
        <f t="shared" si="64"/>
        <v>0</v>
      </c>
      <c r="AD119" s="87"/>
      <c r="AE119" s="87"/>
      <c r="AF119" s="1378"/>
      <c r="AG119" s="87"/>
      <c r="AH119" s="87"/>
      <c r="AI119" s="87"/>
      <c r="AJ119" s="87"/>
      <c r="AK119" s="87"/>
      <c r="AL119" s="87"/>
      <c r="AM119" s="87"/>
      <c r="AN119" s="87"/>
      <c r="AO119" s="87"/>
      <c r="AP119" s="87"/>
      <c r="AQ119" s="87"/>
      <c r="AR119" s="87"/>
      <c r="AS119" s="87"/>
      <c r="AT119" s="88"/>
      <c r="AU119" s="89"/>
      <c r="AV119" s="1954">
        <f t="shared" si="88"/>
        <v>0</v>
      </c>
      <c r="AW119" s="1954">
        <f t="shared" si="89"/>
        <v>0</v>
      </c>
      <c r="AX119" s="1954">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79"/>
      <c r="B120" s="1374"/>
      <c r="C120" s="1375"/>
      <c r="D120" s="76"/>
      <c r="E120" s="82">
        <f t="shared" si="87"/>
        <v>0</v>
      </c>
      <c r="F120" s="83"/>
      <c r="G120" s="84">
        <f t="shared" si="62"/>
        <v>0</v>
      </c>
      <c r="H120" s="85">
        <f t="shared" si="63"/>
        <v>0</v>
      </c>
      <c r="I120" s="1377"/>
      <c r="J120" s="86"/>
      <c r="K120" s="1377"/>
      <c r="L120" s="86"/>
      <c r="M120" s="86"/>
      <c r="N120" s="86"/>
      <c r="O120" s="86"/>
      <c r="P120" s="86"/>
      <c r="Q120" s="86"/>
      <c r="R120" s="86"/>
      <c r="S120" s="86"/>
      <c r="T120" s="86"/>
      <c r="U120" s="86"/>
      <c r="V120" s="86"/>
      <c r="W120" s="86"/>
      <c r="X120" s="86"/>
      <c r="Y120" s="86"/>
      <c r="Z120" s="86"/>
      <c r="AA120" s="86"/>
      <c r="AB120" s="86"/>
      <c r="AC120" s="82">
        <f t="shared" si="64"/>
        <v>0</v>
      </c>
      <c r="AD120" s="87"/>
      <c r="AE120" s="87"/>
      <c r="AF120" s="1377"/>
      <c r="AG120" s="87"/>
      <c r="AH120" s="87"/>
      <c r="AI120" s="87"/>
      <c r="AJ120" s="87"/>
      <c r="AK120" s="87"/>
      <c r="AL120" s="87"/>
      <c r="AM120" s="87"/>
      <c r="AN120" s="87"/>
      <c r="AO120" s="87"/>
      <c r="AP120" s="87"/>
      <c r="AQ120" s="87"/>
      <c r="AR120" s="87"/>
      <c r="AS120" s="87"/>
      <c r="AT120" s="88"/>
      <c r="AU120" s="89"/>
      <c r="AV120" s="1954">
        <f t="shared" si="88"/>
        <v>0</v>
      </c>
      <c r="AW120" s="1954">
        <f t="shared" si="89"/>
        <v>0</v>
      </c>
      <c r="AX120" s="1954">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79"/>
      <c r="B121" s="1376"/>
      <c r="C121" s="1377"/>
      <c r="D121" s="76"/>
      <c r="E121" s="82">
        <f t="shared" si="87"/>
        <v>0</v>
      </c>
      <c r="F121" s="83"/>
      <c r="G121" s="84">
        <f t="shared" si="62"/>
        <v>0</v>
      </c>
      <c r="H121" s="85">
        <f t="shared" si="63"/>
        <v>0</v>
      </c>
      <c r="I121" s="1377"/>
      <c r="J121" s="86"/>
      <c r="K121" s="1377"/>
      <c r="L121" s="86"/>
      <c r="M121" s="86"/>
      <c r="N121" s="86"/>
      <c r="O121" s="86"/>
      <c r="P121" s="86"/>
      <c r="Q121" s="86"/>
      <c r="R121" s="86"/>
      <c r="S121" s="86"/>
      <c r="T121" s="86"/>
      <c r="U121" s="86"/>
      <c r="V121" s="86"/>
      <c r="W121" s="86"/>
      <c r="X121" s="86"/>
      <c r="Y121" s="86"/>
      <c r="Z121" s="86"/>
      <c r="AA121" s="86"/>
      <c r="AB121" s="86"/>
      <c r="AC121" s="82">
        <f t="shared" si="64"/>
        <v>0</v>
      </c>
      <c r="AD121" s="87"/>
      <c r="AE121" s="87"/>
      <c r="AF121" s="1377"/>
      <c r="AG121" s="87"/>
      <c r="AH121" s="87"/>
      <c r="AI121" s="87"/>
      <c r="AJ121" s="87"/>
      <c r="AK121" s="87"/>
      <c r="AL121" s="87"/>
      <c r="AM121" s="87"/>
      <c r="AN121" s="87"/>
      <c r="AO121" s="87"/>
      <c r="AP121" s="87"/>
      <c r="AQ121" s="87"/>
      <c r="AR121" s="87"/>
      <c r="AS121" s="87"/>
      <c r="AT121" s="88"/>
      <c r="AU121" s="89"/>
      <c r="AV121" s="1954">
        <f t="shared" si="88"/>
        <v>0</v>
      </c>
      <c r="AW121" s="1954">
        <f t="shared" si="89"/>
        <v>0</v>
      </c>
      <c r="AX121" s="1954">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79"/>
      <c r="B122" s="1374"/>
      <c r="C122" s="1375"/>
      <c r="D122" s="76"/>
      <c r="E122" s="82">
        <f t="shared" si="87"/>
        <v>0</v>
      </c>
      <c r="F122" s="83"/>
      <c r="G122" s="84">
        <f t="shared" si="62"/>
        <v>0</v>
      </c>
      <c r="H122" s="85">
        <f t="shared" si="63"/>
        <v>0</v>
      </c>
      <c r="I122" s="1377"/>
      <c r="J122" s="86"/>
      <c r="K122" s="1377"/>
      <c r="L122" s="86"/>
      <c r="M122" s="86"/>
      <c r="N122" s="86"/>
      <c r="O122" s="86"/>
      <c r="P122" s="86"/>
      <c r="Q122" s="86"/>
      <c r="R122" s="86"/>
      <c r="S122" s="86"/>
      <c r="T122" s="86"/>
      <c r="U122" s="86"/>
      <c r="V122" s="86"/>
      <c r="W122" s="86"/>
      <c r="X122" s="86"/>
      <c r="Y122" s="86"/>
      <c r="Z122" s="86"/>
      <c r="AA122" s="86"/>
      <c r="AB122" s="86"/>
      <c r="AC122" s="82">
        <f t="shared" si="64"/>
        <v>0</v>
      </c>
      <c r="AD122" s="87"/>
      <c r="AE122" s="87"/>
      <c r="AF122" s="1377"/>
      <c r="AG122" s="87"/>
      <c r="AH122" s="87"/>
      <c r="AI122" s="87"/>
      <c r="AJ122" s="87"/>
      <c r="AK122" s="87"/>
      <c r="AL122" s="87"/>
      <c r="AM122" s="87"/>
      <c r="AN122" s="87"/>
      <c r="AO122" s="87"/>
      <c r="AP122" s="87"/>
      <c r="AQ122" s="87"/>
      <c r="AR122" s="87"/>
      <c r="AS122" s="87"/>
      <c r="AT122" s="88"/>
      <c r="AU122" s="89"/>
      <c r="AV122" s="1954">
        <f t="shared" si="88"/>
        <v>0</v>
      </c>
      <c r="AW122" s="1954">
        <f t="shared" si="89"/>
        <v>0</v>
      </c>
      <c r="AX122" s="1954">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79"/>
      <c r="B123" s="1374"/>
      <c r="C123" s="1375"/>
      <c r="D123" s="76"/>
      <c r="E123" s="82">
        <f t="shared" si="87"/>
        <v>0</v>
      </c>
      <c r="F123" s="83"/>
      <c r="G123" s="84">
        <f t="shared" si="62"/>
        <v>0</v>
      </c>
      <c r="H123" s="85">
        <f t="shared" si="63"/>
        <v>0</v>
      </c>
      <c r="I123" s="1377"/>
      <c r="J123" s="86"/>
      <c r="K123" s="1377"/>
      <c r="L123" s="86"/>
      <c r="M123" s="86"/>
      <c r="N123" s="86"/>
      <c r="O123" s="86"/>
      <c r="P123" s="86"/>
      <c r="Q123" s="86"/>
      <c r="R123" s="86"/>
      <c r="S123" s="86"/>
      <c r="T123" s="86"/>
      <c r="U123" s="86"/>
      <c r="V123" s="86"/>
      <c r="W123" s="86"/>
      <c r="X123" s="86"/>
      <c r="Y123" s="86"/>
      <c r="Z123" s="86"/>
      <c r="AA123" s="86"/>
      <c r="AB123" s="86"/>
      <c r="AC123" s="82">
        <f t="shared" si="64"/>
        <v>0</v>
      </c>
      <c r="AD123" s="87"/>
      <c r="AE123" s="87"/>
      <c r="AF123" s="1377"/>
      <c r="AG123" s="87"/>
      <c r="AH123" s="87"/>
      <c r="AI123" s="87"/>
      <c r="AJ123" s="87"/>
      <c r="AK123" s="87"/>
      <c r="AL123" s="87"/>
      <c r="AM123" s="87"/>
      <c r="AN123" s="87"/>
      <c r="AO123" s="87"/>
      <c r="AP123" s="87"/>
      <c r="AQ123" s="87"/>
      <c r="AR123" s="87"/>
      <c r="AS123" s="87"/>
      <c r="AT123" s="88"/>
      <c r="AU123" s="89"/>
      <c r="AV123" s="1954">
        <f t="shared" si="88"/>
        <v>0</v>
      </c>
      <c r="AW123" s="1954">
        <f t="shared" si="89"/>
        <v>0</v>
      </c>
      <c r="AX123" s="1954">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79"/>
      <c r="B124" s="1374"/>
      <c r="C124" s="1375"/>
      <c r="D124" s="76"/>
      <c r="E124" s="82">
        <f t="shared" si="87"/>
        <v>0</v>
      </c>
      <c r="F124" s="83"/>
      <c r="G124" s="84">
        <f t="shared" si="62"/>
        <v>0</v>
      </c>
      <c r="H124" s="85">
        <f t="shared" si="63"/>
        <v>0</v>
      </c>
      <c r="I124" s="1377"/>
      <c r="J124" s="86"/>
      <c r="K124" s="1377"/>
      <c r="L124" s="86"/>
      <c r="M124" s="86"/>
      <c r="N124" s="86"/>
      <c r="O124" s="86"/>
      <c r="P124" s="86"/>
      <c r="Q124" s="86"/>
      <c r="R124" s="86"/>
      <c r="S124" s="86"/>
      <c r="T124" s="86"/>
      <c r="U124" s="86"/>
      <c r="V124" s="86"/>
      <c r="W124" s="86"/>
      <c r="X124" s="86"/>
      <c r="Y124" s="86"/>
      <c r="Z124" s="86"/>
      <c r="AA124" s="86"/>
      <c r="AB124" s="86"/>
      <c r="AC124" s="82">
        <f t="shared" si="64"/>
        <v>0</v>
      </c>
      <c r="AD124" s="87"/>
      <c r="AE124" s="87"/>
      <c r="AF124" s="1377"/>
      <c r="AG124" s="87"/>
      <c r="AH124" s="87"/>
      <c r="AI124" s="87"/>
      <c r="AJ124" s="87"/>
      <c r="AK124" s="87"/>
      <c r="AL124" s="87"/>
      <c r="AM124" s="87"/>
      <c r="AN124" s="87"/>
      <c r="AO124" s="87"/>
      <c r="AP124" s="87"/>
      <c r="AQ124" s="87"/>
      <c r="AR124" s="87"/>
      <c r="AS124" s="87"/>
      <c r="AT124" s="88"/>
      <c r="AU124" s="89"/>
      <c r="AV124" s="1954">
        <f t="shared" si="88"/>
        <v>0</v>
      </c>
      <c r="AW124" s="1954">
        <f t="shared" si="89"/>
        <v>0</v>
      </c>
      <c r="AX124" s="1954">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79"/>
      <c r="B125" s="1374"/>
      <c r="C125" s="1375"/>
      <c r="D125" s="76"/>
      <c r="E125" s="82">
        <f t="shared" si="87"/>
        <v>0</v>
      </c>
      <c r="F125" s="83"/>
      <c r="G125" s="84">
        <f t="shared" si="62"/>
        <v>0</v>
      </c>
      <c r="H125" s="85">
        <f t="shared" si="63"/>
        <v>0</v>
      </c>
      <c r="I125" s="1377"/>
      <c r="J125" s="86"/>
      <c r="K125" s="1377"/>
      <c r="L125" s="86"/>
      <c r="M125" s="86"/>
      <c r="N125" s="86"/>
      <c r="O125" s="86"/>
      <c r="P125" s="86"/>
      <c r="Q125" s="86"/>
      <c r="R125" s="86"/>
      <c r="S125" s="86"/>
      <c r="T125" s="86"/>
      <c r="U125" s="86"/>
      <c r="V125" s="86"/>
      <c r="W125" s="86"/>
      <c r="X125" s="86"/>
      <c r="Y125" s="86"/>
      <c r="Z125" s="86"/>
      <c r="AA125" s="86"/>
      <c r="AB125" s="86"/>
      <c r="AC125" s="82">
        <f t="shared" si="64"/>
        <v>0</v>
      </c>
      <c r="AD125" s="87"/>
      <c r="AE125" s="87"/>
      <c r="AF125" s="1377"/>
      <c r="AG125" s="87"/>
      <c r="AH125" s="87"/>
      <c r="AI125" s="87"/>
      <c r="AJ125" s="87"/>
      <c r="AK125" s="87"/>
      <c r="AL125" s="87"/>
      <c r="AM125" s="87"/>
      <c r="AN125" s="87"/>
      <c r="AO125" s="87"/>
      <c r="AP125" s="87"/>
      <c r="AQ125" s="87"/>
      <c r="AR125" s="87"/>
      <c r="AS125" s="87"/>
      <c r="AT125" s="88"/>
      <c r="AU125" s="89"/>
      <c r="AV125" s="1954">
        <f t="shared" si="88"/>
        <v>0</v>
      </c>
      <c r="AW125" s="1954">
        <f t="shared" si="89"/>
        <v>0</v>
      </c>
      <c r="AX125" s="1954">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79"/>
      <c r="B126" s="1374"/>
      <c r="C126" s="1375"/>
      <c r="D126" s="76"/>
      <c r="E126" s="82">
        <f t="shared" si="87"/>
        <v>0</v>
      </c>
      <c r="F126" s="83"/>
      <c r="G126" s="84">
        <f t="shared" si="62"/>
        <v>0</v>
      </c>
      <c r="H126" s="85">
        <f t="shared" si="63"/>
        <v>0</v>
      </c>
      <c r="I126" s="1377"/>
      <c r="J126" s="86"/>
      <c r="K126" s="1377"/>
      <c r="L126" s="86"/>
      <c r="M126" s="86"/>
      <c r="N126" s="86"/>
      <c r="O126" s="86"/>
      <c r="P126" s="86"/>
      <c r="Q126" s="86"/>
      <c r="R126" s="86"/>
      <c r="S126" s="86"/>
      <c r="T126" s="86"/>
      <c r="U126" s="86"/>
      <c r="V126" s="86"/>
      <c r="W126" s="86"/>
      <c r="X126" s="86"/>
      <c r="Y126" s="86"/>
      <c r="Z126" s="86"/>
      <c r="AA126" s="86"/>
      <c r="AB126" s="86"/>
      <c r="AC126" s="82">
        <f t="shared" si="64"/>
        <v>0</v>
      </c>
      <c r="AD126" s="87"/>
      <c r="AE126" s="87"/>
      <c r="AF126" s="1377"/>
      <c r="AG126" s="87"/>
      <c r="AH126" s="87"/>
      <c r="AI126" s="87"/>
      <c r="AJ126" s="87"/>
      <c r="AK126" s="87"/>
      <c r="AL126" s="87"/>
      <c r="AM126" s="87"/>
      <c r="AN126" s="87"/>
      <c r="AO126" s="87"/>
      <c r="AP126" s="87"/>
      <c r="AQ126" s="87"/>
      <c r="AR126" s="87"/>
      <c r="AS126" s="87"/>
      <c r="AT126" s="88"/>
      <c r="AU126" s="89"/>
      <c r="AV126" s="1954">
        <f t="shared" si="88"/>
        <v>0</v>
      </c>
      <c r="AW126" s="1954">
        <f t="shared" si="89"/>
        <v>0</v>
      </c>
      <c r="AX126" s="1954">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79"/>
      <c r="B127" s="1374"/>
      <c r="C127" s="1375"/>
      <c r="D127" s="76"/>
      <c r="E127" s="82">
        <f t="shared" si="87"/>
        <v>0</v>
      </c>
      <c r="F127" s="83"/>
      <c r="G127" s="84">
        <f t="shared" si="62"/>
        <v>0</v>
      </c>
      <c r="H127" s="85">
        <f t="shared" si="63"/>
        <v>0</v>
      </c>
      <c r="I127" s="1377"/>
      <c r="J127" s="86"/>
      <c r="K127" s="1377"/>
      <c r="L127" s="86"/>
      <c r="M127" s="86"/>
      <c r="N127" s="86"/>
      <c r="O127" s="86"/>
      <c r="P127" s="86"/>
      <c r="Q127" s="86"/>
      <c r="R127" s="86"/>
      <c r="S127" s="86"/>
      <c r="T127" s="86"/>
      <c r="U127" s="86"/>
      <c r="V127" s="86"/>
      <c r="W127" s="86"/>
      <c r="X127" s="86"/>
      <c r="Y127" s="86"/>
      <c r="Z127" s="86"/>
      <c r="AA127" s="86"/>
      <c r="AB127" s="86"/>
      <c r="AC127" s="82">
        <f t="shared" si="64"/>
        <v>0</v>
      </c>
      <c r="AD127" s="87"/>
      <c r="AE127" s="87"/>
      <c r="AF127" s="1377"/>
      <c r="AG127" s="87"/>
      <c r="AH127" s="87"/>
      <c r="AI127" s="87"/>
      <c r="AJ127" s="87"/>
      <c r="AK127" s="87"/>
      <c r="AL127" s="87"/>
      <c r="AM127" s="87"/>
      <c r="AN127" s="87"/>
      <c r="AO127" s="87"/>
      <c r="AP127" s="87"/>
      <c r="AQ127" s="87"/>
      <c r="AR127" s="87"/>
      <c r="AS127" s="87"/>
      <c r="AT127" s="88"/>
      <c r="AU127" s="89"/>
      <c r="AV127" s="1954">
        <f t="shared" si="88"/>
        <v>0</v>
      </c>
      <c r="AW127" s="1954">
        <f t="shared" si="89"/>
        <v>0</v>
      </c>
      <c r="AX127" s="1954">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79"/>
      <c r="B128" s="1374"/>
      <c r="C128" s="1375"/>
      <c r="D128" s="76"/>
      <c r="E128" s="82">
        <f t="shared" si="87"/>
        <v>0</v>
      </c>
      <c r="F128" s="83"/>
      <c r="G128" s="84">
        <f t="shared" si="62"/>
        <v>0</v>
      </c>
      <c r="H128" s="85">
        <f t="shared" si="63"/>
        <v>0</v>
      </c>
      <c r="I128" s="1377"/>
      <c r="J128" s="86"/>
      <c r="K128" s="1377"/>
      <c r="L128" s="86"/>
      <c r="M128" s="86"/>
      <c r="N128" s="86"/>
      <c r="O128" s="86"/>
      <c r="P128" s="86"/>
      <c r="Q128" s="86"/>
      <c r="R128" s="86"/>
      <c r="S128" s="86"/>
      <c r="T128" s="86"/>
      <c r="U128" s="86"/>
      <c r="V128" s="86"/>
      <c r="W128" s="86"/>
      <c r="X128" s="86"/>
      <c r="Y128" s="86"/>
      <c r="Z128" s="86"/>
      <c r="AA128" s="86"/>
      <c r="AB128" s="86"/>
      <c r="AC128" s="82">
        <f t="shared" si="64"/>
        <v>0</v>
      </c>
      <c r="AD128" s="87"/>
      <c r="AE128" s="87"/>
      <c r="AF128" s="1377"/>
      <c r="AG128" s="87"/>
      <c r="AH128" s="87"/>
      <c r="AI128" s="87"/>
      <c r="AJ128" s="87"/>
      <c r="AK128" s="87"/>
      <c r="AL128" s="87"/>
      <c r="AM128" s="87"/>
      <c r="AN128" s="87"/>
      <c r="AO128" s="87"/>
      <c r="AP128" s="87"/>
      <c r="AQ128" s="87"/>
      <c r="AR128" s="87"/>
      <c r="AS128" s="87"/>
      <c r="AT128" s="88"/>
      <c r="AU128" s="89"/>
      <c r="AV128" s="1954">
        <f t="shared" si="88"/>
        <v>0</v>
      </c>
      <c r="AW128" s="1954">
        <f t="shared" si="89"/>
        <v>0</v>
      </c>
      <c r="AX128" s="1954">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79"/>
      <c r="B129" s="1374"/>
      <c r="C129" s="1375"/>
      <c r="D129" s="76"/>
      <c r="E129" s="82">
        <f t="shared" si="87"/>
        <v>0</v>
      </c>
      <c r="F129" s="83"/>
      <c r="G129" s="84">
        <f t="shared" si="62"/>
        <v>0</v>
      </c>
      <c r="H129" s="85">
        <f t="shared" si="63"/>
        <v>0</v>
      </c>
      <c r="I129" s="1377"/>
      <c r="J129" s="86"/>
      <c r="K129" s="1377"/>
      <c r="L129" s="86"/>
      <c r="M129" s="86"/>
      <c r="N129" s="86"/>
      <c r="O129" s="86"/>
      <c r="P129" s="86"/>
      <c r="Q129" s="86"/>
      <c r="R129" s="86"/>
      <c r="S129" s="86"/>
      <c r="T129" s="86"/>
      <c r="U129" s="86"/>
      <c r="V129" s="86"/>
      <c r="W129" s="86"/>
      <c r="X129" s="86"/>
      <c r="Y129" s="86"/>
      <c r="Z129" s="86"/>
      <c r="AA129" s="86"/>
      <c r="AB129" s="86"/>
      <c r="AC129" s="82">
        <f t="shared" si="64"/>
        <v>0</v>
      </c>
      <c r="AD129" s="87"/>
      <c r="AE129" s="87"/>
      <c r="AF129" s="1377"/>
      <c r="AG129" s="87"/>
      <c r="AH129" s="87"/>
      <c r="AI129" s="87"/>
      <c r="AJ129" s="87"/>
      <c r="AK129" s="87"/>
      <c r="AL129" s="87"/>
      <c r="AM129" s="87"/>
      <c r="AN129" s="87"/>
      <c r="AO129" s="87"/>
      <c r="AP129" s="87"/>
      <c r="AQ129" s="87"/>
      <c r="AR129" s="87"/>
      <c r="AS129" s="87"/>
      <c r="AT129" s="88"/>
      <c r="AU129" s="89"/>
      <c r="AV129" s="1954">
        <f t="shared" si="88"/>
        <v>0</v>
      </c>
      <c r="AW129" s="1954">
        <f t="shared" si="89"/>
        <v>0</v>
      </c>
      <c r="AX129" s="1954">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79"/>
      <c r="B130" s="1374"/>
      <c r="C130" s="1375"/>
      <c r="D130" s="76"/>
      <c r="E130" s="82">
        <f t="shared" si="87"/>
        <v>0</v>
      </c>
      <c r="F130" s="83"/>
      <c r="G130" s="84">
        <f t="shared" si="62"/>
        <v>0</v>
      </c>
      <c r="H130" s="85">
        <f t="shared" si="63"/>
        <v>0</v>
      </c>
      <c r="I130" s="1377"/>
      <c r="J130" s="86"/>
      <c r="K130" s="1377"/>
      <c r="L130" s="86"/>
      <c r="M130" s="86"/>
      <c r="N130" s="86"/>
      <c r="O130" s="86"/>
      <c r="P130" s="86"/>
      <c r="Q130" s="86"/>
      <c r="R130" s="86"/>
      <c r="S130" s="86"/>
      <c r="T130" s="86"/>
      <c r="U130" s="86"/>
      <c r="V130" s="86"/>
      <c r="W130" s="86"/>
      <c r="X130" s="86"/>
      <c r="Y130" s="86"/>
      <c r="Z130" s="86"/>
      <c r="AA130" s="86"/>
      <c r="AB130" s="86"/>
      <c r="AC130" s="82">
        <f t="shared" si="64"/>
        <v>0</v>
      </c>
      <c r="AD130" s="87"/>
      <c r="AE130" s="87"/>
      <c r="AF130" s="1377"/>
      <c r="AG130" s="87"/>
      <c r="AH130" s="87"/>
      <c r="AI130" s="87"/>
      <c r="AJ130" s="87"/>
      <c r="AK130" s="87"/>
      <c r="AL130" s="87"/>
      <c r="AM130" s="87"/>
      <c r="AN130" s="87"/>
      <c r="AO130" s="87"/>
      <c r="AP130" s="87"/>
      <c r="AQ130" s="87"/>
      <c r="AR130" s="87"/>
      <c r="AS130" s="87"/>
      <c r="AT130" s="88"/>
      <c r="AU130" s="89"/>
      <c r="AV130" s="1954">
        <f t="shared" si="88"/>
        <v>0</v>
      </c>
      <c r="AW130" s="1954">
        <f t="shared" si="89"/>
        <v>0</v>
      </c>
      <c r="AX130" s="1954">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79"/>
      <c r="B131" s="1374"/>
      <c r="C131" s="1375"/>
      <c r="D131" s="76"/>
      <c r="E131" s="82">
        <f t="shared" si="87"/>
        <v>0</v>
      </c>
      <c r="F131" s="83"/>
      <c r="G131" s="84">
        <f t="shared" si="62"/>
        <v>0</v>
      </c>
      <c r="H131" s="85">
        <f t="shared" si="63"/>
        <v>0</v>
      </c>
      <c r="I131" s="1377"/>
      <c r="J131" s="86"/>
      <c r="K131" s="1377"/>
      <c r="L131" s="86"/>
      <c r="M131" s="86"/>
      <c r="N131" s="86"/>
      <c r="O131" s="86"/>
      <c r="P131" s="86"/>
      <c r="Q131" s="86"/>
      <c r="R131" s="86"/>
      <c r="S131" s="86"/>
      <c r="T131" s="86"/>
      <c r="U131" s="86"/>
      <c r="V131" s="86"/>
      <c r="W131" s="86"/>
      <c r="X131" s="86"/>
      <c r="Y131" s="86"/>
      <c r="Z131" s="86"/>
      <c r="AA131" s="86"/>
      <c r="AB131" s="86"/>
      <c r="AC131" s="82">
        <f t="shared" si="64"/>
        <v>0</v>
      </c>
      <c r="AD131" s="87"/>
      <c r="AE131" s="87"/>
      <c r="AF131" s="1377"/>
      <c r="AG131" s="87"/>
      <c r="AH131" s="87"/>
      <c r="AI131" s="87"/>
      <c r="AJ131" s="87"/>
      <c r="AK131" s="87"/>
      <c r="AL131" s="87"/>
      <c r="AM131" s="87"/>
      <c r="AN131" s="87"/>
      <c r="AO131" s="87"/>
      <c r="AP131" s="87"/>
      <c r="AQ131" s="87"/>
      <c r="AR131" s="87"/>
      <c r="AS131" s="87"/>
      <c r="AT131" s="88"/>
      <c r="AU131" s="89"/>
      <c r="AV131" s="1954">
        <f t="shared" si="88"/>
        <v>0</v>
      </c>
      <c r="AW131" s="1954">
        <f t="shared" si="89"/>
        <v>0</v>
      </c>
      <c r="AX131" s="1954">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79"/>
      <c r="B132" s="1374"/>
      <c r="C132" s="1375"/>
      <c r="D132" s="76"/>
      <c r="E132" s="82">
        <f t="shared" si="87"/>
        <v>0</v>
      </c>
      <c r="F132" s="83"/>
      <c r="G132" s="84">
        <f t="shared" si="62"/>
        <v>0</v>
      </c>
      <c r="H132" s="85">
        <f t="shared" si="63"/>
        <v>0</v>
      </c>
      <c r="I132" s="1377"/>
      <c r="J132" s="86"/>
      <c r="K132" s="1377"/>
      <c r="L132" s="86"/>
      <c r="M132" s="86"/>
      <c r="N132" s="86"/>
      <c r="O132" s="86"/>
      <c r="P132" s="86"/>
      <c r="Q132" s="86"/>
      <c r="R132" s="86"/>
      <c r="S132" s="86"/>
      <c r="T132" s="86"/>
      <c r="U132" s="86"/>
      <c r="V132" s="86"/>
      <c r="W132" s="86"/>
      <c r="X132" s="86"/>
      <c r="Y132" s="86"/>
      <c r="Z132" s="86"/>
      <c r="AA132" s="86"/>
      <c r="AB132" s="86"/>
      <c r="AC132" s="82">
        <f t="shared" si="64"/>
        <v>0</v>
      </c>
      <c r="AD132" s="87"/>
      <c r="AE132" s="87"/>
      <c r="AF132" s="1377"/>
      <c r="AG132" s="87"/>
      <c r="AH132" s="87"/>
      <c r="AI132" s="87"/>
      <c r="AJ132" s="87"/>
      <c r="AK132" s="87"/>
      <c r="AL132" s="87"/>
      <c r="AM132" s="87"/>
      <c r="AN132" s="87"/>
      <c r="AO132" s="87"/>
      <c r="AP132" s="87"/>
      <c r="AQ132" s="87"/>
      <c r="AR132" s="87"/>
      <c r="AS132" s="87"/>
      <c r="AT132" s="88"/>
      <c r="AU132" s="89"/>
      <c r="AV132" s="1954">
        <f t="shared" si="88"/>
        <v>0</v>
      </c>
      <c r="AW132" s="1954">
        <f t="shared" si="89"/>
        <v>0</v>
      </c>
      <c r="AX132" s="1954">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79"/>
      <c r="B133" s="1374"/>
      <c r="C133" s="1375"/>
      <c r="D133" s="76"/>
      <c r="E133" s="82">
        <f t="shared" si="87"/>
        <v>0</v>
      </c>
      <c r="F133" s="83"/>
      <c r="G133" s="84">
        <f t="shared" si="62"/>
        <v>0</v>
      </c>
      <c r="H133" s="85">
        <f t="shared" si="63"/>
        <v>0</v>
      </c>
      <c r="I133" s="1377"/>
      <c r="J133" s="86"/>
      <c r="K133" s="1377"/>
      <c r="L133" s="86"/>
      <c r="M133" s="86"/>
      <c r="N133" s="86"/>
      <c r="O133" s="86"/>
      <c r="P133" s="86"/>
      <c r="Q133" s="86"/>
      <c r="R133" s="86"/>
      <c r="S133" s="86"/>
      <c r="T133" s="86"/>
      <c r="U133" s="86"/>
      <c r="V133" s="86"/>
      <c r="W133" s="86"/>
      <c r="X133" s="86"/>
      <c r="Y133" s="86"/>
      <c r="Z133" s="86"/>
      <c r="AA133" s="86"/>
      <c r="AB133" s="86"/>
      <c r="AC133" s="82">
        <f t="shared" si="64"/>
        <v>0</v>
      </c>
      <c r="AD133" s="87"/>
      <c r="AE133" s="87"/>
      <c r="AF133" s="1377"/>
      <c r="AG133" s="87"/>
      <c r="AH133" s="87"/>
      <c r="AI133" s="87"/>
      <c r="AJ133" s="87"/>
      <c r="AK133" s="87"/>
      <c r="AL133" s="87"/>
      <c r="AM133" s="87"/>
      <c r="AN133" s="87"/>
      <c r="AO133" s="87"/>
      <c r="AP133" s="87"/>
      <c r="AQ133" s="87"/>
      <c r="AR133" s="87"/>
      <c r="AS133" s="87"/>
      <c r="AT133" s="88"/>
      <c r="AU133" s="89"/>
      <c r="AV133" s="1954">
        <f t="shared" si="88"/>
        <v>0</v>
      </c>
      <c r="AW133" s="1954">
        <f t="shared" si="89"/>
        <v>0</v>
      </c>
      <c r="AX133" s="1954">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79"/>
      <c r="B134" s="1374"/>
      <c r="C134" s="1375"/>
      <c r="D134" s="76"/>
      <c r="E134" s="82">
        <f t="shared" si="87"/>
        <v>0</v>
      </c>
      <c r="F134" s="83"/>
      <c r="G134" s="84">
        <f t="shared" si="62"/>
        <v>0</v>
      </c>
      <c r="H134" s="85">
        <f t="shared" si="63"/>
        <v>0</v>
      </c>
      <c r="I134" s="1377"/>
      <c r="J134" s="86"/>
      <c r="K134" s="1377"/>
      <c r="L134" s="86"/>
      <c r="M134" s="86"/>
      <c r="N134" s="86"/>
      <c r="O134" s="86"/>
      <c r="P134" s="86"/>
      <c r="Q134" s="86"/>
      <c r="R134" s="86"/>
      <c r="S134" s="86"/>
      <c r="T134" s="86"/>
      <c r="U134" s="86"/>
      <c r="V134" s="86"/>
      <c r="W134" s="86"/>
      <c r="X134" s="86"/>
      <c r="Y134" s="86"/>
      <c r="Z134" s="86"/>
      <c r="AA134" s="86"/>
      <c r="AB134" s="86"/>
      <c r="AC134" s="82">
        <f t="shared" si="64"/>
        <v>0</v>
      </c>
      <c r="AD134" s="87"/>
      <c r="AE134" s="87"/>
      <c r="AF134" s="1377"/>
      <c r="AG134" s="87"/>
      <c r="AH134" s="87"/>
      <c r="AI134" s="87"/>
      <c r="AJ134" s="87"/>
      <c r="AK134" s="87"/>
      <c r="AL134" s="87"/>
      <c r="AM134" s="87"/>
      <c r="AN134" s="87"/>
      <c r="AO134" s="87"/>
      <c r="AP134" s="87"/>
      <c r="AQ134" s="87"/>
      <c r="AR134" s="87"/>
      <c r="AS134" s="87"/>
      <c r="AT134" s="88"/>
      <c r="AU134" s="89"/>
      <c r="AV134" s="1954">
        <f t="shared" si="88"/>
        <v>0</v>
      </c>
      <c r="AW134" s="1954">
        <f t="shared" si="89"/>
        <v>0</v>
      </c>
      <c r="AX134" s="1954">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79"/>
      <c r="B135" s="1374"/>
      <c r="C135" s="1375"/>
      <c r="D135" s="76"/>
      <c r="E135" s="82">
        <f t="shared" si="87"/>
        <v>0</v>
      </c>
      <c r="F135" s="83"/>
      <c r="G135" s="84">
        <f t="shared" si="62"/>
        <v>0</v>
      </c>
      <c r="H135" s="85">
        <f t="shared" si="63"/>
        <v>0</v>
      </c>
      <c r="I135" s="1377"/>
      <c r="J135" s="86"/>
      <c r="K135" s="1377"/>
      <c r="L135" s="86"/>
      <c r="M135" s="86"/>
      <c r="N135" s="86"/>
      <c r="O135" s="86"/>
      <c r="P135" s="86"/>
      <c r="Q135" s="86"/>
      <c r="R135" s="86"/>
      <c r="S135" s="86"/>
      <c r="T135" s="86"/>
      <c r="U135" s="86"/>
      <c r="V135" s="86"/>
      <c r="W135" s="86"/>
      <c r="X135" s="86"/>
      <c r="Y135" s="86"/>
      <c r="Z135" s="86"/>
      <c r="AA135" s="86"/>
      <c r="AB135" s="86"/>
      <c r="AC135" s="82">
        <f t="shared" si="64"/>
        <v>0</v>
      </c>
      <c r="AD135" s="87"/>
      <c r="AE135" s="87"/>
      <c r="AF135" s="1377"/>
      <c r="AG135" s="87"/>
      <c r="AH135" s="87"/>
      <c r="AI135" s="87"/>
      <c r="AJ135" s="87"/>
      <c r="AK135" s="87"/>
      <c r="AL135" s="87"/>
      <c r="AM135" s="87"/>
      <c r="AN135" s="87"/>
      <c r="AO135" s="87"/>
      <c r="AP135" s="87"/>
      <c r="AQ135" s="87"/>
      <c r="AR135" s="87"/>
      <c r="AS135" s="87"/>
      <c r="AT135" s="88"/>
      <c r="AU135" s="89"/>
      <c r="AV135" s="1954">
        <f t="shared" si="88"/>
        <v>0</v>
      </c>
      <c r="AW135" s="1954">
        <f t="shared" si="89"/>
        <v>0</v>
      </c>
      <c r="AX135" s="1954">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79"/>
      <c r="B136" s="1374"/>
      <c r="C136" s="1375"/>
      <c r="D136" s="76"/>
      <c r="E136" s="82">
        <f t="shared" si="87"/>
        <v>0</v>
      </c>
      <c r="F136" s="83"/>
      <c r="G136" s="84">
        <f t="shared" si="62"/>
        <v>0</v>
      </c>
      <c r="H136" s="85">
        <f t="shared" si="63"/>
        <v>0</v>
      </c>
      <c r="I136" s="1377"/>
      <c r="J136" s="86"/>
      <c r="K136" s="1377"/>
      <c r="L136" s="86"/>
      <c r="M136" s="86"/>
      <c r="N136" s="86"/>
      <c r="O136" s="86"/>
      <c r="P136" s="86"/>
      <c r="Q136" s="86"/>
      <c r="R136" s="86"/>
      <c r="S136" s="86"/>
      <c r="T136" s="86"/>
      <c r="U136" s="86"/>
      <c r="V136" s="86"/>
      <c r="W136" s="86"/>
      <c r="X136" s="86"/>
      <c r="Y136" s="86"/>
      <c r="Z136" s="86"/>
      <c r="AA136" s="86"/>
      <c r="AB136" s="86"/>
      <c r="AC136" s="82">
        <f t="shared" si="64"/>
        <v>0</v>
      </c>
      <c r="AD136" s="87"/>
      <c r="AE136" s="87"/>
      <c r="AF136" s="1377"/>
      <c r="AG136" s="87"/>
      <c r="AH136" s="87"/>
      <c r="AI136" s="87"/>
      <c r="AJ136" s="87"/>
      <c r="AK136" s="87"/>
      <c r="AL136" s="87"/>
      <c r="AM136" s="87"/>
      <c r="AN136" s="87"/>
      <c r="AO136" s="87"/>
      <c r="AP136" s="87"/>
      <c r="AQ136" s="87"/>
      <c r="AR136" s="87"/>
      <c r="AS136" s="87"/>
      <c r="AT136" s="88"/>
      <c r="AU136" s="89"/>
      <c r="AV136" s="1954">
        <f t="shared" si="88"/>
        <v>0</v>
      </c>
      <c r="AW136" s="1954">
        <f t="shared" si="89"/>
        <v>0</v>
      </c>
      <c r="AX136" s="1954">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79"/>
      <c r="B137" s="1374"/>
      <c r="C137" s="1375"/>
      <c r="D137" s="76"/>
      <c r="E137" s="82">
        <f t="shared" si="87"/>
        <v>0</v>
      </c>
      <c r="F137" s="83"/>
      <c r="G137" s="84">
        <f t="shared" si="62"/>
        <v>0</v>
      </c>
      <c r="H137" s="85">
        <f t="shared" si="63"/>
        <v>0</v>
      </c>
      <c r="I137" s="1377"/>
      <c r="J137" s="86"/>
      <c r="K137" s="1377"/>
      <c r="L137" s="86"/>
      <c r="M137" s="86"/>
      <c r="N137" s="86"/>
      <c r="O137" s="86"/>
      <c r="P137" s="86"/>
      <c r="Q137" s="86"/>
      <c r="R137" s="86"/>
      <c r="S137" s="86"/>
      <c r="T137" s="86"/>
      <c r="U137" s="86"/>
      <c r="V137" s="86"/>
      <c r="W137" s="86"/>
      <c r="X137" s="86"/>
      <c r="Y137" s="86"/>
      <c r="Z137" s="86"/>
      <c r="AA137" s="86"/>
      <c r="AB137" s="86"/>
      <c r="AC137" s="82">
        <f t="shared" si="64"/>
        <v>0</v>
      </c>
      <c r="AD137" s="87"/>
      <c r="AE137" s="87"/>
      <c r="AF137" s="1377"/>
      <c r="AG137" s="87"/>
      <c r="AH137" s="87"/>
      <c r="AI137" s="87"/>
      <c r="AJ137" s="87"/>
      <c r="AK137" s="87"/>
      <c r="AL137" s="87"/>
      <c r="AM137" s="87"/>
      <c r="AN137" s="87"/>
      <c r="AO137" s="87"/>
      <c r="AP137" s="87"/>
      <c r="AQ137" s="87"/>
      <c r="AR137" s="87"/>
      <c r="AS137" s="87"/>
      <c r="AT137" s="88"/>
      <c r="AU137" s="89"/>
      <c r="AV137" s="1954">
        <f t="shared" si="88"/>
        <v>0</v>
      </c>
      <c r="AW137" s="1954">
        <f t="shared" si="89"/>
        <v>0</v>
      </c>
      <c r="AX137" s="1954">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79"/>
      <c r="B138" s="1374"/>
      <c r="C138" s="1375"/>
      <c r="D138" s="76"/>
      <c r="E138" s="82">
        <f t="shared" si="87"/>
        <v>0</v>
      </c>
      <c r="F138" s="83"/>
      <c r="G138" s="84">
        <f t="shared" si="62"/>
        <v>0</v>
      </c>
      <c r="H138" s="85">
        <f t="shared" si="63"/>
        <v>0</v>
      </c>
      <c r="I138" s="1377"/>
      <c r="J138" s="86"/>
      <c r="K138" s="1377"/>
      <c r="L138" s="86"/>
      <c r="M138" s="86"/>
      <c r="N138" s="86"/>
      <c r="O138" s="86"/>
      <c r="P138" s="86"/>
      <c r="Q138" s="86"/>
      <c r="R138" s="86"/>
      <c r="S138" s="86"/>
      <c r="T138" s="86"/>
      <c r="U138" s="86"/>
      <c r="V138" s="86"/>
      <c r="W138" s="86"/>
      <c r="X138" s="86"/>
      <c r="Y138" s="86"/>
      <c r="Z138" s="86"/>
      <c r="AA138" s="86"/>
      <c r="AB138" s="86"/>
      <c r="AC138" s="82">
        <f t="shared" si="64"/>
        <v>0</v>
      </c>
      <c r="AD138" s="87"/>
      <c r="AE138" s="87"/>
      <c r="AF138" s="1377"/>
      <c r="AG138" s="87"/>
      <c r="AH138" s="87"/>
      <c r="AI138" s="87"/>
      <c r="AJ138" s="87"/>
      <c r="AK138" s="87"/>
      <c r="AL138" s="87"/>
      <c r="AM138" s="87"/>
      <c r="AN138" s="87"/>
      <c r="AO138" s="87"/>
      <c r="AP138" s="87"/>
      <c r="AQ138" s="87"/>
      <c r="AR138" s="87"/>
      <c r="AS138" s="87"/>
      <c r="AT138" s="88"/>
      <c r="AU138" s="89"/>
      <c r="AV138" s="1954">
        <f t="shared" si="88"/>
        <v>0</v>
      </c>
      <c r="AW138" s="1954">
        <f t="shared" si="89"/>
        <v>0</v>
      </c>
      <c r="AX138" s="1954">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79"/>
      <c r="B139" s="1374"/>
      <c r="C139" s="1375"/>
      <c r="D139" s="76"/>
      <c r="E139" s="82">
        <f t="shared" si="87"/>
        <v>0</v>
      </c>
      <c r="F139" s="83"/>
      <c r="G139" s="84">
        <f t="shared" si="62"/>
        <v>0</v>
      </c>
      <c r="H139" s="85">
        <f t="shared" si="63"/>
        <v>0</v>
      </c>
      <c r="I139" s="1377"/>
      <c r="J139" s="86"/>
      <c r="K139" s="1377"/>
      <c r="L139" s="86"/>
      <c r="M139" s="86"/>
      <c r="N139" s="86"/>
      <c r="O139" s="86"/>
      <c r="P139" s="86"/>
      <c r="Q139" s="86"/>
      <c r="R139" s="86"/>
      <c r="S139" s="86"/>
      <c r="T139" s="86"/>
      <c r="U139" s="86"/>
      <c r="V139" s="86"/>
      <c r="W139" s="86"/>
      <c r="X139" s="86"/>
      <c r="Y139" s="86"/>
      <c r="Z139" s="86"/>
      <c r="AA139" s="86"/>
      <c r="AB139" s="86"/>
      <c r="AC139" s="82">
        <f t="shared" si="64"/>
        <v>0</v>
      </c>
      <c r="AD139" s="87"/>
      <c r="AE139" s="87"/>
      <c r="AF139" s="1375"/>
      <c r="AG139" s="87"/>
      <c r="AH139" s="87"/>
      <c r="AI139" s="87"/>
      <c r="AJ139" s="87"/>
      <c r="AK139" s="87"/>
      <c r="AL139" s="87"/>
      <c r="AM139" s="87"/>
      <c r="AN139" s="87"/>
      <c r="AO139" s="87"/>
      <c r="AP139" s="87"/>
      <c r="AQ139" s="87"/>
      <c r="AR139" s="87"/>
      <c r="AS139" s="87"/>
      <c r="AT139" s="88"/>
      <c r="AU139" s="89"/>
      <c r="AV139" s="1954">
        <f t="shared" si="88"/>
        <v>0</v>
      </c>
      <c r="AW139" s="1954">
        <f t="shared" si="89"/>
        <v>0</v>
      </c>
      <c r="AX139" s="1954">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79"/>
      <c r="B140" s="1374"/>
      <c r="C140" s="1375"/>
      <c r="D140" s="76"/>
      <c r="E140" s="82">
        <f t="shared" si="87"/>
        <v>0</v>
      </c>
      <c r="F140" s="83"/>
      <c r="G140" s="84">
        <f t="shared" si="62"/>
        <v>0</v>
      </c>
      <c r="H140" s="85">
        <f t="shared" si="63"/>
        <v>0</v>
      </c>
      <c r="I140" s="1375"/>
      <c r="J140" s="86"/>
      <c r="K140" s="1375"/>
      <c r="L140" s="86"/>
      <c r="M140" s="86"/>
      <c r="N140" s="86"/>
      <c r="O140" s="86"/>
      <c r="P140" s="86"/>
      <c r="Q140" s="86"/>
      <c r="R140" s="86"/>
      <c r="S140" s="86"/>
      <c r="T140" s="86"/>
      <c r="U140" s="86"/>
      <c r="V140" s="86"/>
      <c r="W140" s="86"/>
      <c r="X140" s="86"/>
      <c r="Y140" s="86"/>
      <c r="Z140" s="86"/>
      <c r="AA140" s="86"/>
      <c r="AB140" s="86"/>
      <c r="AC140" s="82">
        <f t="shared" si="64"/>
        <v>0</v>
      </c>
      <c r="AD140" s="87"/>
      <c r="AE140" s="87"/>
      <c r="AF140" s="1375"/>
      <c r="AG140" s="87"/>
      <c r="AH140" s="87"/>
      <c r="AI140" s="87"/>
      <c r="AJ140" s="87"/>
      <c r="AK140" s="87"/>
      <c r="AL140" s="87"/>
      <c r="AM140" s="87"/>
      <c r="AN140" s="87"/>
      <c r="AO140" s="87"/>
      <c r="AP140" s="87"/>
      <c r="AQ140" s="87"/>
      <c r="AR140" s="87"/>
      <c r="AS140" s="87"/>
      <c r="AT140" s="88"/>
      <c r="AU140" s="89"/>
      <c r="AV140" s="1954">
        <f t="shared" si="88"/>
        <v>0</v>
      </c>
      <c r="AW140" s="1954">
        <f t="shared" si="89"/>
        <v>0</v>
      </c>
      <c r="AX140" s="1954">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79"/>
      <c r="B141" s="1374"/>
      <c r="C141" s="1375"/>
      <c r="D141" s="76"/>
      <c r="E141" s="82">
        <f t="shared" si="87"/>
        <v>0</v>
      </c>
      <c r="F141" s="83"/>
      <c r="G141" s="84">
        <f t="shared" si="62"/>
        <v>0</v>
      </c>
      <c r="H141" s="85">
        <f t="shared" si="63"/>
        <v>0</v>
      </c>
      <c r="I141" s="1375"/>
      <c r="J141" s="86"/>
      <c r="K141" s="1375"/>
      <c r="L141" s="86"/>
      <c r="M141" s="86"/>
      <c r="N141" s="86"/>
      <c r="O141" s="86"/>
      <c r="P141" s="86"/>
      <c r="Q141" s="86"/>
      <c r="R141" s="86"/>
      <c r="S141" s="86"/>
      <c r="T141" s="86"/>
      <c r="U141" s="86"/>
      <c r="V141" s="86"/>
      <c r="W141" s="86"/>
      <c r="X141" s="86"/>
      <c r="Y141" s="86"/>
      <c r="Z141" s="86"/>
      <c r="AA141" s="86"/>
      <c r="AB141" s="86"/>
      <c r="AC141" s="82">
        <f t="shared" si="64"/>
        <v>0</v>
      </c>
      <c r="AD141" s="87"/>
      <c r="AE141" s="87"/>
      <c r="AF141" s="1375"/>
      <c r="AG141" s="87"/>
      <c r="AH141" s="87"/>
      <c r="AI141" s="87"/>
      <c r="AJ141" s="87"/>
      <c r="AK141" s="87"/>
      <c r="AL141" s="87"/>
      <c r="AM141" s="87"/>
      <c r="AN141" s="87"/>
      <c r="AO141" s="87"/>
      <c r="AP141" s="87"/>
      <c r="AQ141" s="87"/>
      <c r="AR141" s="87"/>
      <c r="AS141" s="87"/>
      <c r="AT141" s="88"/>
      <c r="AU141" s="89"/>
      <c r="AV141" s="1954">
        <f t="shared" si="88"/>
        <v>0</v>
      </c>
      <c r="AW141" s="1954">
        <f t="shared" si="89"/>
        <v>0</v>
      </c>
      <c r="AX141" s="1954">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79"/>
      <c r="B142" s="1374"/>
      <c r="C142" s="1375"/>
      <c r="D142" s="76"/>
      <c r="E142" s="82">
        <f t="shared" si="87"/>
        <v>0</v>
      </c>
      <c r="F142" s="83"/>
      <c r="G142" s="84">
        <f t="shared" ref="G142:G173" si="91">H142+AC142+AT142</f>
        <v>0</v>
      </c>
      <c r="H142" s="85">
        <f t="shared" ref="H142:H173" si="92">SUMIF(I$12:AB$12,"总值",I142:AB142)</f>
        <v>0</v>
      </c>
      <c r="I142" s="1375"/>
      <c r="J142" s="86"/>
      <c r="K142" s="1375"/>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375"/>
      <c r="AG142" s="87"/>
      <c r="AH142" s="87"/>
      <c r="AI142" s="87"/>
      <c r="AJ142" s="87"/>
      <c r="AK142" s="87"/>
      <c r="AL142" s="87"/>
      <c r="AM142" s="87"/>
      <c r="AN142" s="87"/>
      <c r="AO142" s="87"/>
      <c r="AP142" s="87"/>
      <c r="AQ142" s="87"/>
      <c r="AR142" s="87"/>
      <c r="AS142" s="87"/>
      <c r="AT142" s="88"/>
      <c r="AU142" s="89"/>
      <c r="AV142" s="1954">
        <f t="shared" si="88"/>
        <v>0</v>
      </c>
      <c r="AW142" s="1954">
        <f t="shared" si="89"/>
        <v>0</v>
      </c>
      <c r="AX142" s="1954">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79"/>
      <c r="B143" s="1374"/>
      <c r="C143" s="1375"/>
      <c r="D143" s="76"/>
      <c r="E143" s="82">
        <f t="shared" si="87"/>
        <v>0</v>
      </c>
      <c r="F143" s="83"/>
      <c r="G143" s="84">
        <f t="shared" si="91"/>
        <v>0</v>
      </c>
      <c r="H143" s="85">
        <f t="shared" si="92"/>
        <v>0</v>
      </c>
      <c r="I143" s="1375"/>
      <c r="J143" s="86"/>
      <c r="K143" s="1375"/>
      <c r="L143" s="86"/>
      <c r="M143" s="86"/>
      <c r="N143" s="86"/>
      <c r="O143" s="86"/>
      <c r="P143" s="86"/>
      <c r="Q143" s="86"/>
      <c r="R143" s="86"/>
      <c r="S143" s="86"/>
      <c r="T143" s="86"/>
      <c r="U143" s="86"/>
      <c r="V143" s="86"/>
      <c r="W143" s="86"/>
      <c r="X143" s="86"/>
      <c r="Y143" s="86"/>
      <c r="Z143" s="86"/>
      <c r="AA143" s="86"/>
      <c r="AB143" s="86"/>
      <c r="AC143" s="82">
        <f t="shared" si="93"/>
        <v>0</v>
      </c>
      <c r="AD143" s="87"/>
      <c r="AE143" s="87"/>
      <c r="AF143" s="1375"/>
      <c r="AG143" s="87"/>
      <c r="AH143" s="87"/>
      <c r="AI143" s="87"/>
      <c r="AJ143" s="87"/>
      <c r="AK143" s="87"/>
      <c r="AL143" s="87"/>
      <c r="AM143" s="87"/>
      <c r="AN143" s="87"/>
      <c r="AO143" s="87"/>
      <c r="AP143" s="87"/>
      <c r="AQ143" s="87"/>
      <c r="AR143" s="87"/>
      <c r="AS143" s="87"/>
      <c r="AT143" s="88"/>
      <c r="AU143" s="89"/>
      <c r="AV143" s="1954">
        <f t="shared" si="88"/>
        <v>0</v>
      </c>
      <c r="AW143" s="1954">
        <f t="shared" si="89"/>
        <v>0</v>
      </c>
      <c r="AX143" s="1954">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79"/>
      <c r="B144" s="1374"/>
      <c r="C144" s="1375"/>
      <c r="D144" s="76"/>
      <c r="E144" s="82">
        <f t="shared" si="87"/>
        <v>0</v>
      </c>
      <c r="F144" s="83"/>
      <c r="G144" s="84">
        <f t="shared" si="91"/>
        <v>0</v>
      </c>
      <c r="H144" s="85">
        <f t="shared" si="92"/>
        <v>0</v>
      </c>
      <c r="I144" s="1375"/>
      <c r="J144" s="86"/>
      <c r="K144" s="1375"/>
      <c r="L144" s="86"/>
      <c r="M144" s="86"/>
      <c r="N144" s="86"/>
      <c r="O144" s="86"/>
      <c r="P144" s="86"/>
      <c r="Q144" s="86"/>
      <c r="R144" s="86"/>
      <c r="S144" s="86"/>
      <c r="T144" s="86"/>
      <c r="U144" s="86"/>
      <c r="V144" s="86"/>
      <c r="W144" s="86"/>
      <c r="X144" s="86"/>
      <c r="Y144" s="86"/>
      <c r="Z144" s="86"/>
      <c r="AA144" s="86"/>
      <c r="AB144" s="86"/>
      <c r="AC144" s="82">
        <f t="shared" si="93"/>
        <v>0</v>
      </c>
      <c r="AD144" s="87"/>
      <c r="AE144" s="87"/>
      <c r="AF144" s="1375"/>
      <c r="AG144" s="87"/>
      <c r="AH144" s="87"/>
      <c r="AI144" s="87"/>
      <c r="AJ144" s="87"/>
      <c r="AK144" s="87"/>
      <c r="AL144" s="87"/>
      <c r="AM144" s="87"/>
      <c r="AN144" s="87"/>
      <c r="AO144" s="87"/>
      <c r="AP144" s="87"/>
      <c r="AQ144" s="87"/>
      <c r="AR144" s="87"/>
      <c r="AS144" s="87"/>
      <c r="AT144" s="88"/>
      <c r="AU144" s="89"/>
      <c r="AV144" s="1954">
        <f t="shared" si="88"/>
        <v>0</v>
      </c>
      <c r="AW144" s="1954">
        <f t="shared" si="89"/>
        <v>0</v>
      </c>
      <c r="AX144" s="1954">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79"/>
      <c r="B145" s="1374"/>
      <c r="C145" s="1375"/>
      <c r="D145" s="76"/>
      <c r="E145" s="82">
        <f t="shared" ref="E145:E176" si="116">IF($C$3="是",ROUND($A$3*G145/$B$3,2),ROUND($A$3*(G145-AT145)/$B$3,2))</f>
        <v>0</v>
      </c>
      <c r="F145" s="83"/>
      <c r="G145" s="84">
        <f t="shared" si="91"/>
        <v>0</v>
      </c>
      <c r="H145" s="85">
        <f t="shared" si="92"/>
        <v>0</v>
      </c>
      <c r="I145" s="1375"/>
      <c r="J145" s="86"/>
      <c r="K145" s="1375"/>
      <c r="L145" s="86"/>
      <c r="M145" s="86"/>
      <c r="N145" s="86"/>
      <c r="O145" s="86"/>
      <c r="P145" s="86"/>
      <c r="Q145" s="86"/>
      <c r="R145" s="86"/>
      <c r="S145" s="86"/>
      <c r="T145" s="86"/>
      <c r="U145" s="86"/>
      <c r="V145" s="86"/>
      <c r="W145" s="86"/>
      <c r="X145" s="86"/>
      <c r="Y145" s="86"/>
      <c r="Z145" s="86"/>
      <c r="AA145" s="86"/>
      <c r="AB145" s="86"/>
      <c r="AC145" s="82">
        <f t="shared" si="93"/>
        <v>0</v>
      </c>
      <c r="AD145" s="87"/>
      <c r="AE145" s="87"/>
      <c r="AF145" s="1375"/>
      <c r="AG145" s="87"/>
      <c r="AH145" s="87"/>
      <c r="AI145" s="87"/>
      <c r="AJ145" s="87"/>
      <c r="AK145" s="87"/>
      <c r="AL145" s="87"/>
      <c r="AM145" s="87"/>
      <c r="AN145" s="87"/>
      <c r="AO145" s="87"/>
      <c r="AP145" s="87"/>
      <c r="AQ145" s="87"/>
      <c r="AR145" s="87"/>
      <c r="AS145" s="87"/>
      <c r="AT145" s="88"/>
      <c r="AU145" s="89"/>
      <c r="AV145" s="1954">
        <f t="shared" ref="AV145:AV176" si="117">A145</f>
        <v>0</v>
      </c>
      <c r="AW145" s="1954">
        <f t="shared" ref="AW145:AW176" si="118">B145</f>
        <v>0</v>
      </c>
      <c r="AX145" s="1954">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79"/>
      <c r="B146" s="1374"/>
      <c r="C146" s="1375"/>
      <c r="D146" s="76"/>
      <c r="E146" s="82">
        <f t="shared" si="116"/>
        <v>0</v>
      </c>
      <c r="F146" s="83"/>
      <c r="G146" s="84">
        <f t="shared" si="91"/>
        <v>0</v>
      </c>
      <c r="H146" s="85">
        <f t="shared" si="92"/>
        <v>0</v>
      </c>
      <c r="I146" s="1375"/>
      <c r="J146" s="86"/>
      <c r="K146" s="1375"/>
      <c r="L146" s="86"/>
      <c r="M146" s="86"/>
      <c r="N146" s="86"/>
      <c r="O146" s="86"/>
      <c r="P146" s="86"/>
      <c r="Q146" s="86"/>
      <c r="R146" s="86"/>
      <c r="S146" s="86"/>
      <c r="T146" s="86"/>
      <c r="U146" s="86"/>
      <c r="V146" s="86"/>
      <c r="W146" s="86"/>
      <c r="X146" s="86"/>
      <c r="Y146" s="86"/>
      <c r="Z146" s="86"/>
      <c r="AA146" s="86"/>
      <c r="AB146" s="86"/>
      <c r="AC146" s="82">
        <f t="shared" si="93"/>
        <v>0</v>
      </c>
      <c r="AD146" s="87"/>
      <c r="AE146" s="87"/>
      <c r="AF146" s="1375"/>
      <c r="AG146" s="87"/>
      <c r="AH146" s="87"/>
      <c r="AI146" s="87"/>
      <c r="AJ146" s="87"/>
      <c r="AK146" s="87"/>
      <c r="AL146" s="87"/>
      <c r="AM146" s="87"/>
      <c r="AN146" s="87"/>
      <c r="AO146" s="87"/>
      <c r="AP146" s="87"/>
      <c r="AQ146" s="87"/>
      <c r="AR146" s="87"/>
      <c r="AS146" s="87"/>
      <c r="AT146" s="88"/>
      <c r="AU146" s="89"/>
      <c r="AV146" s="1954">
        <f t="shared" si="117"/>
        <v>0</v>
      </c>
      <c r="AW146" s="1954">
        <f t="shared" si="118"/>
        <v>0</v>
      </c>
      <c r="AX146" s="1954">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79"/>
      <c r="B147" s="1376"/>
      <c r="C147" s="1377"/>
      <c r="D147" s="76"/>
      <c r="E147" s="82">
        <f t="shared" si="116"/>
        <v>0</v>
      </c>
      <c r="F147" s="83"/>
      <c r="G147" s="84">
        <f t="shared" si="91"/>
        <v>0</v>
      </c>
      <c r="H147" s="85">
        <f t="shared" si="92"/>
        <v>0</v>
      </c>
      <c r="I147" s="1375"/>
      <c r="J147" s="86"/>
      <c r="K147" s="1375"/>
      <c r="L147" s="86"/>
      <c r="M147" s="1375"/>
      <c r="N147" s="86"/>
      <c r="O147" s="86"/>
      <c r="P147" s="86"/>
      <c r="Q147" s="86"/>
      <c r="R147" s="86"/>
      <c r="S147" s="86"/>
      <c r="T147" s="86"/>
      <c r="U147" s="86"/>
      <c r="V147" s="86"/>
      <c r="W147" s="86"/>
      <c r="X147" s="86"/>
      <c r="Y147" s="86"/>
      <c r="Z147" s="86"/>
      <c r="AA147" s="86"/>
      <c r="AB147" s="86"/>
      <c r="AC147" s="82">
        <f t="shared" si="93"/>
        <v>0</v>
      </c>
      <c r="AD147" s="87"/>
      <c r="AE147" s="87"/>
      <c r="AF147" s="1375"/>
      <c r="AG147" s="87"/>
      <c r="AH147" s="87"/>
      <c r="AI147" s="87"/>
      <c r="AJ147" s="87"/>
      <c r="AK147" s="87"/>
      <c r="AL147" s="87"/>
      <c r="AM147" s="87"/>
      <c r="AN147" s="87"/>
      <c r="AO147" s="87"/>
      <c r="AP147" s="87"/>
      <c r="AQ147" s="87"/>
      <c r="AR147" s="87"/>
      <c r="AS147" s="87"/>
      <c r="AT147" s="88"/>
      <c r="AU147" s="89"/>
      <c r="AV147" s="1954">
        <f t="shared" si="117"/>
        <v>0</v>
      </c>
      <c r="AW147" s="1954">
        <f t="shared" si="118"/>
        <v>0</v>
      </c>
      <c r="AX147" s="1954">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79"/>
      <c r="B148" s="80"/>
      <c r="C148" s="80"/>
      <c r="D148" s="81"/>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954">
        <f t="shared" si="117"/>
        <v>0</v>
      </c>
      <c r="AW148" s="1954">
        <f t="shared" si="118"/>
        <v>0</v>
      </c>
      <c r="AX148" s="1954">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79"/>
      <c r="B149" s="80"/>
      <c r="C149" s="80"/>
      <c r="D149" s="81"/>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954">
        <f t="shared" si="117"/>
        <v>0</v>
      </c>
      <c r="AW149" s="1954">
        <f t="shared" si="118"/>
        <v>0</v>
      </c>
      <c r="AX149" s="1954">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79"/>
      <c r="B150" s="80"/>
      <c r="C150" s="80"/>
      <c r="D150" s="81"/>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954">
        <f t="shared" si="117"/>
        <v>0</v>
      </c>
      <c r="AW150" s="1954">
        <f t="shared" si="118"/>
        <v>0</v>
      </c>
      <c r="AX150" s="1954">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79"/>
      <c r="B151" s="80"/>
      <c r="C151" s="80"/>
      <c r="D151" s="81"/>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954">
        <f t="shared" si="117"/>
        <v>0</v>
      </c>
      <c r="AW151" s="1954">
        <f t="shared" si="118"/>
        <v>0</v>
      </c>
      <c r="AX151" s="1954">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79"/>
      <c r="B152" s="80"/>
      <c r="C152" s="80"/>
      <c r="D152" s="81"/>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954">
        <f t="shared" si="117"/>
        <v>0</v>
      </c>
      <c r="AW152" s="1954">
        <f t="shared" si="118"/>
        <v>0</v>
      </c>
      <c r="AX152" s="1954">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79"/>
      <c r="B153" s="80"/>
      <c r="C153" s="80"/>
      <c r="D153" s="81"/>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954">
        <f t="shared" si="117"/>
        <v>0</v>
      </c>
      <c r="AW153" s="1954">
        <f t="shared" si="118"/>
        <v>0</v>
      </c>
      <c r="AX153" s="1954">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79"/>
      <c r="B154" s="80"/>
      <c r="C154" s="80"/>
      <c r="D154" s="81"/>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954">
        <f t="shared" si="117"/>
        <v>0</v>
      </c>
      <c r="AW154" s="1954">
        <f t="shared" si="118"/>
        <v>0</v>
      </c>
      <c r="AX154" s="1954">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79"/>
      <c r="B155" s="80"/>
      <c r="C155" s="80"/>
      <c r="D155" s="81"/>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954">
        <f t="shared" si="117"/>
        <v>0</v>
      </c>
      <c r="AW155" s="1954">
        <f t="shared" si="118"/>
        <v>0</v>
      </c>
      <c r="AX155" s="1954">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79"/>
      <c r="B156" s="80"/>
      <c r="C156" s="80"/>
      <c r="D156" s="81"/>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954">
        <f t="shared" si="117"/>
        <v>0</v>
      </c>
      <c r="AW156" s="1954">
        <f t="shared" si="118"/>
        <v>0</v>
      </c>
      <c r="AX156" s="1954">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79"/>
      <c r="B157" s="80"/>
      <c r="C157" s="80"/>
      <c r="D157" s="81"/>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954">
        <f t="shared" si="117"/>
        <v>0</v>
      </c>
      <c r="AW157" s="1954">
        <f t="shared" si="118"/>
        <v>0</v>
      </c>
      <c r="AX157" s="1954">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79"/>
      <c r="B158" s="80"/>
      <c r="C158" s="80"/>
      <c r="D158" s="81"/>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954">
        <f t="shared" si="117"/>
        <v>0</v>
      </c>
      <c r="AW158" s="1954">
        <f t="shared" si="118"/>
        <v>0</v>
      </c>
      <c r="AX158" s="1954">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79"/>
      <c r="B159" s="80"/>
      <c r="C159" s="80"/>
      <c r="D159" s="81"/>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954">
        <f t="shared" si="117"/>
        <v>0</v>
      </c>
      <c r="AW159" s="1954">
        <f t="shared" si="118"/>
        <v>0</v>
      </c>
      <c r="AX159" s="1954">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79"/>
      <c r="B160" s="80"/>
      <c r="C160" s="80"/>
      <c r="D160" s="81"/>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954">
        <f t="shared" si="117"/>
        <v>0</v>
      </c>
      <c r="AW160" s="1954">
        <f t="shared" si="118"/>
        <v>0</v>
      </c>
      <c r="AX160" s="1954">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79"/>
      <c r="B161" s="80"/>
      <c r="C161" s="80"/>
      <c r="D161" s="81"/>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954">
        <f t="shared" si="117"/>
        <v>0</v>
      </c>
      <c r="AW161" s="1954">
        <f t="shared" si="118"/>
        <v>0</v>
      </c>
      <c r="AX161" s="1954">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79"/>
      <c r="B162" s="80"/>
      <c r="C162" s="80"/>
      <c r="D162" s="81"/>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954">
        <f t="shared" si="117"/>
        <v>0</v>
      </c>
      <c r="AW162" s="1954">
        <f t="shared" si="118"/>
        <v>0</v>
      </c>
      <c r="AX162" s="1954">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79"/>
      <c r="B163" s="80"/>
      <c r="C163" s="80"/>
      <c r="D163" s="81"/>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954">
        <f t="shared" si="117"/>
        <v>0</v>
      </c>
      <c r="AW163" s="1954">
        <f t="shared" si="118"/>
        <v>0</v>
      </c>
      <c r="AX163" s="1954">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79"/>
      <c r="B164" s="80"/>
      <c r="C164" s="80"/>
      <c r="D164" s="81"/>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954">
        <f t="shared" si="117"/>
        <v>0</v>
      </c>
      <c r="AW164" s="1954">
        <f t="shared" si="118"/>
        <v>0</v>
      </c>
      <c r="AX164" s="1954">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79"/>
      <c r="B165" s="80"/>
      <c r="C165" s="80"/>
      <c r="D165" s="81"/>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954">
        <f t="shared" si="117"/>
        <v>0</v>
      </c>
      <c r="AW165" s="1954">
        <f t="shared" si="118"/>
        <v>0</v>
      </c>
      <c r="AX165" s="1954">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79"/>
      <c r="B166" s="80"/>
      <c r="C166" s="80"/>
      <c r="D166" s="81"/>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954">
        <f t="shared" si="117"/>
        <v>0</v>
      </c>
      <c r="AW166" s="1954">
        <f t="shared" si="118"/>
        <v>0</v>
      </c>
      <c r="AX166" s="1954">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79"/>
      <c r="B167" s="80"/>
      <c r="C167" s="80"/>
      <c r="D167" s="81"/>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954">
        <f t="shared" si="117"/>
        <v>0</v>
      </c>
      <c r="AW167" s="1954">
        <f t="shared" si="118"/>
        <v>0</v>
      </c>
      <c r="AX167" s="1954">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79"/>
      <c r="B168" s="80"/>
      <c r="C168" s="80"/>
      <c r="D168" s="81"/>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954">
        <f t="shared" si="117"/>
        <v>0</v>
      </c>
      <c r="AW168" s="1954">
        <f t="shared" si="118"/>
        <v>0</v>
      </c>
      <c r="AX168" s="1954">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79"/>
      <c r="B169" s="80"/>
      <c r="C169" s="80"/>
      <c r="D169" s="81"/>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954">
        <f t="shared" si="117"/>
        <v>0</v>
      </c>
      <c r="AW169" s="1954">
        <f t="shared" si="118"/>
        <v>0</v>
      </c>
      <c r="AX169" s="1954">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79"/>
      <c r="B170" s="80"/>
      <c r="C170" s="80"/>
      <c r="D170" s="81"/>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954">
        <f t="shared" si="117"/>
        <v>0</v>
      </c>
      <c r="AW170" s="1954">
        <f t="shared" si="118"/>
        <v>0</v>
      </c>
      <c r="AX170" s="1954">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79"/>
      <c r="B171" s="80"/>
      <c r="C171" s="80"/>
      <c r="D171" s="81"/>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954">
        <f t="shared" si="117"/>
        <v>0</v>
      </c>
      <c r="AW171" s="1954">
        <f t="shared" si="118"/>
        <v>0</v>
      </c>
      <c r="AX171" s="1954">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79"/>
      <c r="B172" s="80"/>
      <c r="C172" s="80"/>
      <c r="D172" s="81"/>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954">
        <f t="shared" si="117"/>
        <v>0</v>
      </c>
      <c r="AW172" s="1954">
        <f t="shared" si="118"/>
        <v>0</v>
      </c>
      <c r="AX172" s="1954">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79"/>
      <c r="B173" s="80"/>
      <c r="C173" s="80"/>
      <c r="D173" s="81"/>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954">
        <f t="shared" si="117"/>
        <v>0</v>
      </c>
      <c r="AW173" s="1954">
        <f t="shared" si="118"/>
        <v>0</v>
      </c>
      <c r="AX173" s="1954">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79"/>
      <c r="B174" s="80"/>
      <c r="C174" s="80"/>
      <c r="D174" s="81"/>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954">
        <f t="shared" si="117"/>
        <v>0</v>
      </c>
      <c r="AW174" s="1954">
        <f t="shared" si="118"/>
        <v>0</v>
      </c>
      <c r="AX174" s="1954">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79"/>
      <c r="B175" s="80"/>
      <c r="C175" s="80"/>
      <c r="D175" s="81"/>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954">
        <f t="shared" si="117"/>
        <v>0</v>
      </c>
      <c r="AW175" s="1954">
        <f t="shared" si="118"/>
        <v>0</v>
      </c>
      <c r="AX175" s="1954">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79"/>
      <c r="B176" s="80"/>
      <c r="C176" s="80"/>
      <c r="D176" s="81"/>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954">
        <f t="shared" si="117"/>
        <v>0</v>
      </c>
      <c r="AW176" s="1954">
        <f t="shared" si="118"/>
        <v>0</v>
      </c>
      <c r="AX176" s="1954">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79"/>
      <c r="B177" s="80"/>
      <c r="C177" s="80"/>
      <c r="D177" s="81"/>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954">
        <f t="shared" ref="AV177:AV204" si="146">A177</f>
        <v>0</v>
      </c>
      <c r="AW177" s="1954">
        <f t="shared" ref="AW177:AW204" si="147">B177</f>
        <v>0</v>
      </c>
      <c r="AX177" s="1954">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79"/>
      <c r="B178" s="80"/>
      <c r="C178" s="80"/>
      <c r="D178" s="81"/>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954">
        <f t="shared" si="146"/>
        <v>0</v>
      </c>
      <c r="AW178" s="1954">
        <f t="shared" si="147"/>
        <v>0</v>
      </c>
      <c r="AX178" s="1954">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79"/>
      <c r="B179" s="80"/>
      <c r="C179" s="80"/>
      <c r="D179" s="81"/>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954">
        <f t="shared" si="146"/>
        <v>0</v>
      </c>
      <c r="AW179" s="1954">
        <f t="shared" si="147"/>
        <v>0</v>
      </c>
      <c r="AX179" s="1954">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79"/>
      <c r="B180" s="80"/>
      <c r="C180" s="80"/>
      <c r="D180" s="81"/>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954">
        <f t="shared" si="146"/>
        <v>0</v>
      </c>
      <c r="AW180" s="1954">
        <f t="shared" si="147"/>
        <v>0</v>
      </c>
      <c r="AX180" s="1954">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79"/>
      <c r="B181" s="80"/>
      <c r="C181" s="80"/>
      <c r="D181" s="81"/>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954">
        <f t="shared" si="146"/>
        <v>0</v>
      </c>
      <c r="AW181" s="1954">
        <f t="shared" si="147"/>
        <v>0</v>
      </c>
      <c r="AX181" s="1954">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79"/>
      <c r="B182" s="80"/>
      <c r="C182" s="80"/>
      <c r="D182" s="81"/>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954">
        <f t="shared" si="146"/>
        <v>0</v>
      </c>
      <c r="AW182" s="1954">
        <f t="shared" si="147"/>
        <v>0</v>
      </c>
      <c r="AX182" s="1954">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79"/>
      <c r="B183" s="80"/>
      <c r="C183" s="80"/>
      <c r="D183" s="81"/>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954">
        <f t="shared" si="146"/>
        <v>0</v>
      </c>
      <c r="AW183" s="1954">
        <f t="shared" si="147"/>
        <v>0</v>
      </c>
      <c r="AX183" s="1954">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79"/>
      <c r="B184" s="80"/>
      <c r="C184" s="80"/>
      <c r="D184" s="81"/>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954">
        <f t="shared" si="146"/>
        <v>0</v>
      </c>
      <c r="AW184" s="1954">
        <f t="shared" si="147"/>
        <v>0</v>
      </c>
      <c r="AX184" s="1954">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79"/>
      <c r="B185" s="80"/>
      <c r="C185" s="80"/>
      <c r="D185" s="81"/>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954">
        <f t="shared" si="146"/>
        <v>0</v>
      </c>
      <c r="AW185" s="1954">
        <f t="shared" si="147"/>
        <v>0</v>
      </c>
      <c r="AX185" s="1954">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79"/>
      <c r="B186" s="80"/>
      <c r="C186" s="80"/>
      <c r="D186" s="81"/>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954">
        <f t="shared" si="146"/>
        <v>0</v>
      </c>
      <c r="AW186" s="1954">
        <f t="shared" si="147"/>
        <v>0</v>
      </c>
      <c r="AX186" s="1954">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79"/>
      <c r="B187" s="80"/>
      <c r="C187" s="80"/>
      <c r="D187" s="81"/>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954">
        <f t="shared" si="146"/>
        <v>0</v>
      </c>
      <c r="AW187" s="1954">
        <f t="shared" si="147"/>
        <v>0</v>
      </c>
      <c r="AX187" s="1954">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79"/>
      <c r="B188" s="80"/>
      <c r="C188" s="80"/>
      <c r="D188" s="81"/>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954">
        <f t="shared" si="146"/>
        <v>0</v>
      </c>
      <c r="AW188" s="1954">
        <f t="shared" si="147"/>
        <v>0</v>
      </c>
      <c r="AX188" s="1954">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79"/>
      <c r="B189" s="80"/>
      <c r="C189" s="80"/>
      <c r="D189" s="81"/>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954">
        <f t="shared" si="146"/>
        <v>0</v>
      </c>
      <c r="AW189" s="1954">
        <f t="shared" si="147"/>
        <v>0</v>
      </c>
      <c r="AX189" s="1954">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79"/>
      <c r="B190" s="80"/>
      <c r="C190" s="80"/>
      <c r="D190" s="81"/>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954">
        <f t="shared" si="146"/>
        <v>0</v>
      </c>
      <c r="AW190" s="1954">
        <f t="shared" si="147"/>
        <v>0</v>
      </c>
      <c r="AX190" s="1954">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79"/>
      <c r="B191" s="80"/>
      <c r="C191" s="80"/>
      <c r="D191" s="81"/>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954">
        <f t="shared" si="146"/>
        <v>0</v>
      </c>
      <c r="AW191" s="1954">
        <f t="shared" si="147"/>
        <v>0</v>
      </c>
      <c r="AX191" s="1954">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79"/>
      <c r="B192" s="80"/>
      <c r="C192" s="80"/>
      <c r="D192" s="81"/>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954">
        <f t="shared" si="146"/>
        <v>0</v>
      </c>
      <c r="AW192" s="1954">
        <f t="shared" si="147"/>
        <v>0</v>
      </c>
      <c r="AX192" s="1954">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79"/>
      <c r="B193" s="80"/>
      <c r="C193" s="80"/>
      <c r="D193" s="81"/>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954">
        <f t="shared" si="146"/>
        <v>0</v>
      </c>
      <c r="AW193" s="1954">
        <f t="shared" si="147"/>
        <v>0</v>
      </c>
      <c r="AX193" s="1954">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79"/>
      <c r="B194" s="80"/>
      <c r="C194" s="80"/>
      <c r="D194" s="81"/>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954">
        <f t="shared" si="146"/>
        <v>0</v>
      </c>
      <c r="AW194" s="1954">
        <f t="shared" si="147"/>
        <v>0</v>
      </c>
      <c r="AX194" s="1954">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79"/>
      <c r="B195" s="80"/>
      <c r="C195" s="80"/>
      <c r="D195" s="81"/>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954">
        <f t="shared" si="146"/>
        <v>0</v>
      </c>
      <c r="AW195" s="1954">
        <f t="shared" si="147"/>
        <v>0</v>
      </c>
      <c r="AX195" s="1954">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79"/>
      <c r="B196" s="80"/>
      <c r="C196" s="80"/>
      <c r="D196" s="81"/>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954">
        <f t="shared" si="146"/>
        <v>0</v>
      </c>
      <c r="AW196" s="1954">
        <f t="shared" si="147"/>
        <v>0</v>
      </c>
      <c r="AX196" s="1954">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79"/>
      <c r="B197" s="80"/>
      <c r="C197" s="80"/>
      <c r="D197" s="81"/>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954">
        <f t="shared" si="146"/>
        <v>0</v>
      </c>
      <c r="AW197" s="1954">
        <f t="shared" si="147"/>
        <v>0</v>
      </c>
      <c r="AX197" s="1954">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79"/>
      <c r="B198" s="80"/>
      <c r="C198" s="80"/>
      <c r="D198" s="81"/>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954">
        <f t="shared" si="146"/>
        <v>0</v>
      </c>
      <c r="AW198" s="1954">
        <f t="shared" si="147"/>
        <v>0</v>
      </c>
      <c r="AX198" s="1954">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79"/>
      <c r="B199" s="80"/>
      <c r="C199" s="80"/>
      <c r="D199" s="81"/>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954">
        <f t="shared" si="146"/>
        <v>0</v>
      </c>
      <c r="AW199" s="1954">
        <f t="shared" si="147"/>
        <v>0</v>
      </c>
      <c r="AX199" s="1954">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79"/>
      <c r="B200" s="80"/>
      <c r="C200" s="80"/>
      <c r="D200" s="81"/>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954">
        <f t="shared" si="146"/>
        <v>0</v>
      </c>
      <c r="AW200" s="1954">
        <f t="shared" si="147"/>
        <v>0</v>
      </c>
      <c r="AX200" s="1954">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79"/>
      <c r="B201" s="80"/>
      <c r="C201" s="80"/>
      <c r="D201" s="81"/>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954">
        <f t="shared" si="146"/>
        <v>0</v>
      </c>
      <c r="AW201" s="1954">
        <f t="shared" si="147"/>
        <v>0</v>
      </c>
      <c r="AX201" s="1954">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79"/>
      <c r="B202" s="79"/>
      <c r="C202" s="79"/>
      <c r="D202" s="81"/>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954">
        <f t="shared" si="146"/>
        <v>0</v>
      </c>
      <c r="AW202" s="1954">
        <f t="shared" si="147"/>
        <v>0</v>
      </c>
      <c r="AX202" s="1954">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79"/>
      <c r="B203" s="79"/>
      <c r="C203" s="79"/>
      <c r="D203" s="81"/>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954">
        <f t="shared" si="146"/>
        <v>0</v>
      </c>
      <c r="AW203" s="1954">
        <f t="shared" si="147"/>
        <v>0</v>
      </c>
      <c r="AX203" s="1954">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79"/>
      <c r="B204" s="79"/>
      <c r="C204" s="79"/>
      <c r="D204" s="81"/>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954">
        <f t="shared" si="146"/>
        <v>0</v>
      </c>
      <c r="AW204" s="1954">
        <f t="shared" si="147"/>
        <v>0</v>
      </c>
      <c r="AX204" s="1954">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79"/>
      <c r="B205" s="1374"/>
      <c r="C205" s="1375"/>
      <c r="D205" s="76"/>
      <c r="E205" s="82">
        <f t="shared" ref="E205:E296" si="149">IF($C$3="是",ROUND($A$3*G205/$B$3,2),ROUND($A$3*(G205-AT205)/$B$3,2))</f>
        <v>0</v>
      </c>
      <c r="F205" s="83"/>
      <c r="G205" s="84">
        <f t="shared" ref="G205:G293" si="150">H205+AC205+AT205</f>
        <v>0</v>
      </c>
      <c r="H205" s="85">
        <f t="shared" ref="H205:H293" si="151">SUMIF(I$12:AB$12,"总值",I205:AB205)</f>
        <v>0</v>
      </c>
      <c r="I205" s="1377"/>
      <c r="J205" s="86"/>
      <c r="K205" s="1377"/>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378"/>
      <c r="AG205" s="87"/>
      <c r="AH205" s="87"/>
      <c r="AI205" s="87"/>
      <c r="AJ205" s="87"/>
      <c r="AK205" s="87"/>
      <c r="AL205" s="87"/>
      <c r="AM205" s="87"/>
      <c r="AN205" s="1350"/>
      <c r="AO205" s="87"/>
      <c r="AP205" s="87"/>
      <c r="AQ205" s="87"/>
      <c r="AR205" s="87"/>
      <c r="AS205" s="87"/>
      <c r="AT205" s="88"/>
      <c r="AU205" s="89"/>
      <c r="AV205" s="1954">
        <f t="shared" ref="AV205:AV296" si="153">A205</f>
        <v>0</v>
      </c>
      <c r="AW205" s="1954">
        <f t="shared" ref="AW205:AW296" si="154">B205</f>
        <v>0</v>
      </c>
      <c r="AX205" s="1954">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79"/>
      <c r="B206" s="1374"/>
      <c r="C206" s="1375"/>
      <c r="D206" s="76"/>
      <c r="E206" s="82">
        <f t="shared" si="149"/>
        <v>0</v>
      </c>
      <c r="F206" s="83"/>
      <c r="G206" s="84">
        <f t="shared" si="150"/>
        <v>0</v>
      </c>
      <c r="H206" s="85">
        <f t="shared" si="151"/>
        <v>0</v>
      </c>
      <c r="I206" s="1377"/>
      <c r="J206" s="86"/>
      <c r="K206" s="1377"/>
      <c r="L206" s="86"/>
      <c r="M206" s="1350"/>
      <c r="N206" s="86"/>
      <c r="O206" s="86"/>
      <c r="P206" s="86"/>
      <c r="Q206" s="86"/>
      <c r="R206" s="86"/>
      <c r="S206" s="86"/>
      <c r="T206" s="86"/>
      <c r="U206" s="86"/>
      <c r="V206" s="86"/>
      <c r="W206" s="86"/>
      <c r="X206" s="86"/>
      <c r="Y206" s="86"/>
      <c r="Z206" s="86"/>
      <c r="AA206" s="86"/>
      <c r="AB206" s="86"/>
      <c r="AC206" s="82">
        <f t="shared" si="152"/>
        <v>0</v>
      </c>
      <c r="AD206" s="1350"/>
      <c r="AE206" s="87"/>
      <c r="AF206" s="1378"/>
      <c r="AG206" s="87"/>
      <c r="AH206" s="87"/>
      <c r="AI206" s="87"/>
      <c r="AJ206" s="87"/>
      <c r="AK206" s="87"/>
      <c r="AL206" s="1350"/>
      <c r="AM206" s="87"/>
      <c r="AN206" s="1350"/>
      <c r="AO206" s="87"/>
      <c r="AP206" s="87"/>
      <c r="AQ206" s="87"/>
      <c r="AR206" s="87"/>
      <c r="AS206" s="87"/>
      <c r="AT206" s="88"/>
      <c r="AU206" s="89"/>
      <c r="AV206" s="1954">
        <f t="shared" si="153"/>
        <v>0</v>
      </c>
      <c r="AW206" s="1954">
        <f t="shared" si="154"/>
        <v>0</v>
      </c>
      <c r="AX206" s="1954">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79"/>
      <c r="B207" s="1374"/>
      <c r="C207" s="1375"/>
      <c r="D207" s="76"/>
      <c r="E207" s="82">
        <f t="shared" si="149"/>
        <v>0</v>
      </c>
      <c r="F207" s="83"/>
      <c r="G207" s="84">
        <f t="shared" si="150"/>
        <v>0</v>
      </c>
      <c r="H207" s="85">
        <f t="shared" si="151"/>
        <v>0</v>
      </c>
      <c r="I207" s="1377"/>
      <c r="J207" s="86"/>
      <c r="K207" s="1377"/>
      <c r="L207" s="86"/>
      <c r="M207" s="1350"/>
      <c r="N207" s="86"/>
      <c r="O207" s="86"/>
      <c r="P207" s="86"/>
      <c r="Q207" s="86"/>
      <c r="R207" s="86"/>
      <c r="S207" s="86"/>
      <c r="T207" s="86"/>
      <c r="U207" s="86"/>
      <c r="V207" s="86"/>
      <c r="W207" s="86"/>
      <c r="X207" s="86"/>
      <c r="Y207" s="86"/>
      <c r="Z207" s="86"/>
      <c r="AA207" s="86"/>
      <c r="AB207" s="86"/>
      <c r="AC207" s="82">
        <f t="shared" si="152"/>
        <v>0</v>
      </c>
      <c r="AD207" s="87"/>
      <c r="AE207" s="87"/>
      <c r="AF207" s="1378"/>
      <c r="AG207" s="87"/>
      <c r="AH207" s="87"/>
      <c r="AI207" s="87"/>
      <c r="AJ207" s="87"/>
      <c r="AK207" s="87"/>
      <c r="AL207" s="1350"/>
      <c r="AM207" s="87"/>
      <c r="AN207" s="1350"/>
      <c r="AO207" s="87"/>
      <c r="AP207" s="87"/>
      <c r="AQ207" s="87"/>
      <c r="AR207" s="87"/>
      <c r="AS207" s="87"/>
      <c r="AT207" s="88"/>
      <c r="AU207" s="89"/>
      <c r="AV207" s="1954">
        <f t="shared" si="153"/>
        <v>0</v>
      </c>
      <c r="AW207" s="1954">
        <f t="shared" si="154"/>
        <v>0</v>
      </c>
      <c r="AX207" s="1954">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79"/>
      <c r="B208" s="1374"/>
      <c r="C208" s="1375"/>
      <c r="D208" s="76"/>
      <c r="E208" s="82">
        <f t="shared" si="149"/>
        <v>0</v>
      </c>
      <c r="F208" s="83"/>
      <c r="G208" s="84">
        <f t="shared" si="150"/>
        <v>0</v>
      </c>
      <c r="H208" s="85">
        <f t="shared" si="151"/>
        <v>0</v>
      </c>
      <c r="I208" s="1377"/>
      <c r="J208" s="86"/>
      <c r="K208" s="1377"/>
      <c r="L208" s="86"/>
      <c r="M208" s="86"/>
      <c r="N208" s="86"/>
      <c r="O208" s="1350"/>
      <c r="P208" s="86"/>
      <c r="Q208" s="86"/>
      <c r="R208" s="86"/>
      <c r="S208" s="86"/>
      <c r="T208" s="86"/>
      <c r="U208" s="86"/>
      <c r="V208" s="86"/>
      <c r="W208" s="86"/>
      <c r="X208" s="86"/>
      <c r="Y208" s="86"/>
      <c r="Z208" s="86"/>
      <c r="AA208" s="86"/>
      <c r="AB208" s="86"/>
      <c r="AC208" s="82">
        <f t="shared" si="152"/>
        <v>0</v>
      </c>
      <c r="AD208" s="87"/>
      <c r="AE208" s="87"/>
      <c r="AF208" s="1378"/>
      <c r="AG208" s="87"/>
      <c r="AH208" s="87"/>
      <c r="AI208" s="87"/>
      <c r="AJ208" s="87"/>
      <c r="AK208" s="87"/>
      <c r="AL208" s="87"/>
      <c r="AM208" s="87"/>
      <c r="AN208" s="1350"/>
      <c r="AO208" s="87"/>
      <c r="AP208" s="87"/>
      <c r="AQ208" s="87"/>
      <c r="AR208" s="87"/>
      <c r="AS208" s="87"/>
      <c r="AT208" s="88"/>
      <c r="AU208" s="89"/>
      <c r="AV208" s="1954">
        <f t="shared" si="153"/>
        <v>0</v>
      </c>
      <c r="AW208" s="1954">
        <f t="shared" si="154"/>
        <v>0</v>
      </c>
      <c r="AX208" s="1954">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79"/>
      <c r="B209" s="1374"/>
      <c r="C209" s="1375"/>
      <c r="D209" s="76"/>
      <c r="E209" s="82">
        <f t="shared" si="149"/>
        <v>0</v>
      </c>
      <c r="F209" s="83"/>
      <c r="G209" s="84">
        <f t="shared" si="150"/>
        <v>0</v>
      </c>
      <c r="H209" s="85">
        <f t="shared" si="151"/>
        <v>0</v>
      </c>
      <c r="I209" s="1377"/>
      <c r="J209" s="86"/>
      <c r="K209" s="1377"/>
      <c r="L209" s="86"/>
      <c r="M209" s="86"/>
      <c r="N209" s="86"/>
      <c r="O209" s="86"/>
      <c r="P209" s="86"/>
      <c r="Q209" s="86"/>
      <c r="R209" s="86"/>
      <c r="S209" s="86"/>
      <c r="T209" s="86"/>
      <c r="U209" s="86"/>
      <c r="V209" s="86"/>
      <c r="W209" s="86"/>
      <c r="X209" s="86"/>
      <c r="Y209" s="86"/>
      <c r="Z209" s="86"/>
      <c r="AA209" s="86"/>
      <c r="AB209" s="86"/>
      <c r="AC209" s="82">
        <f t="shared" si="152"/>
        <v>0</v>
      </c>
      <c r="AD209" s="87"/>
      <c r="AE209" s="87"/>
      <c r="AF209" s="1378"/>
      <c r="AG209" s="87"/>
      <c r="AH209" s="87"/>
      <c r="AI209" s="87"/>
      <c r="AJ209" s="87"/>
      <c r="AK209" s="87"/>
      <c r="AL209" s="87"/>
      <c r="AM209" s="87"/>
      <c r="AN209" s="87"/>
      <c r="AO209" s="87"/>
      <c r="AP209" s="87"/>
      <c r="AQ209" s="87"/>
      <c r="AR209" s="87"/>
      <c r="AS209" s="87"/>
      <c r="AT209" s="88"/>
      <c r="AU209" s="89"/>
      <c r="AV209" s="1954">
        <f t="shared" si="153"/>
        <v>0</v>
      </c>
      <c r="AW209" s="1954">
        <f t="shared" si="154"/>
        <v>0</v>
      </c>
      <c r="AX209" s="1954">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79"/>
      <c r="B210" s="1374"/>
      <c r="C210" s="1375"/>
      <c r="D210" s="76"/>
      <c r="E210" s="82">
        <f t="shared" si="149"/>
        <v>0</v>
      </c>
      <c r="F210" s="83"/>
      <c r="G210" s="84">
        <f t="shared" si="150"/>
        <v>0</v>
      </c>
      <c r="H210" s="85">
        <f t="shared" si="151"/>
        <v>0</v>
      </c>
      <c r="I210" s="1377"/>
      <c r="J210" s="86"/>
      <c r="K210" s="1377"/>
      <c r="L210" s="86"/>
      <c r="M210" s="86"/>
      <c r="N210" s="86"/>
      <c r="O210" s="86"/>
      <c r="P210" s="86"/>
      <c r="Q210" s="86"/>
      <c r="R210" s="86"/>
      <c r="S210" s="86"/>
      <c r="T210" s="86"/>
      <c r="U210" s="86"/>
      <c r="V210" s="86"/>
      <c r="W210" s="86"/>
      <c r="X210" s="86"/>
      <c r="Y210" s="86"/>
      <c r="Z210" s="86"/>
      <c r="AA210" s="86"/>
      <c r="AB210" s="86"/>
      <c r="AC210" s="82">
        <f t="shared" si="152"/>
        <v>0</v>
      </c>
      <c r="AD210" s="87"/>
      <c r="AE210" s="87"/>
      <c r="AF210" s="1378"/>
      <c r="AG210" s="87"/>
      <c r="AH210" s="87"/>
      <c r="AI210" s="87"/>
      <c r="AJ210" s="87"/>
      <c r="AK210" s="87"/>
      <c r="AL210" s="87"/>
      <c r="AM210" s="87"/>
      <c r="AN210" s="87"/>
      <c r="AO210" s="87"/>
      <c r="AP210" s="87"/>
      <c r="AQ210" s="87"/>
      <c r="AR210" s="87"/>
      <c r="AS210" s="87"/>
      <c r="AT210" s="88"/>
      <c r="AU210" s="89"/>
      <c r="AV210" s="1954">
        <f t="shared" si="153"/>
        <v>0</v>
      </c>
      <c r="AW210" s="1954">
        <f t="shared" si="154"/>
        <v>0</v>
      </c>
      <c r="AX210" s="1954">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79"/>
      <c r="B211" s="1374"/>
      <c r="C211" s="1375"/>
      <c r="D211" s="76"/>
      <c r="E211" s="82">
        <f t="shared" si="149"/>
        <v>0</v>
      </c>
      <c r="F211" s="83"/>
      <c r="G211" s="84">
        <f t="shared" si="150"/>
        <v>0</v>
      </c>
      <c r="H211" s="85">
        <f t="shared" si="151"/>
        <v>0</v>
      </c>
      <c r="I211" s="1377"/>
      <c r="J211" s="86"/>
      <c r="K211" s="1377"/>
      <c r="L211" s="86"/>
      <c r="M211" s="86"/>
      <c r="N211" s="86"/>
      <c r="O211" s="86"/>
      <c r="P211" s="86"/>
      <c r="Q211" s="86"/>
      <c r="R211" s="86"/>
      <c r="S211" s="86"/>
      <c r="T211" s="86"/>
      <c r="U211" s="86"/>
      <c r="V211" s="86"/>
      <c r="W211" s="86"/>
      <c r="X211" s="86"/>
      <c r="Y211" s="86"/>
      <c r="Z211" s="86"/>
      <c r="AA211" s="86"/>
      <c r="AB211" s="86"/>
      <c r="AC211" s="82">
        <f t="shared" si="152"/>
        <v>0</v>
      </c>
      <c r="AD211" s="87"/>
      <c r="AE211" s="87"/>
      <c r="AF211" s="1378"/>
      <c r="AG211" s="87"/>
      <c r="AH211" s="87"/>
      <c r="AI211" s="87"/>
      <c r="AJ211" s="87"/>
      <c r="AK211" s="87"/>
      <c r="AL211" s="87"/>
      <c r="AM211" s="87"/>
      <c r="AN211" s="87"/>
      <c r="AO211" s="87"/>
      <c r="AP211" s="87"/>
      <c r="AQ211" s="87"/>
      <c r="AR211" s="87"/>
      <c r="AS211" s="87"/>
      <c r="AT211" s="88"/>
      <c r="AU211" s="89"/>
      <c r="AV211" s="1954">
        <f t="shared" si="153"/>
        <v>0</v>
      </c>
      <c r="AW211" s="1954">
        <f t="shared" si="154"/>
        <v>0</v>
      </c>
      <c r="AX211" s="1954">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79"/>
      <c r="B212" s="1374"/>
      <c r="C212" s="1375"/>
      <c r="D212" s="76"/>
      <c r="E212" s="82">
        <f t="shared" si="149"/>
        <v>0</v>
      </c>
      <c r="F212" s="83"/>
      <c r="G212" s="84">
        <f t="shared" si="150"/>
        <v>0</v>
      </c>
      <c r="H212" s="85">
        <f t="shared" si="151"/>
        <v>0</v>
      </c>
      <c r="I212" s="1377"/>
      <c r="J212" s="86"/>
      <c r="K212" s="1377"/>
      <c r="L212" s="86"/>
      <c r="M212" s="86"/>
      <c r="N212" s="86"/>
      <c r="O212" s="86"/>
      <c r="P212" s="86"/>
      <c r="Q212" s="86"/>
      <c r="R212" s="86"/>
      <c r="S212" s="86"/>
      <c r="T212" s="86"/>
      <c r="U212" s="86"/>
      <c r="V212" s="86"/>
      <c r="W212" s="86"/>
      <c r="X212" s="86"/>
      <c r="Y212" s="86"/>
      <c r="Z212" s="86"/>
      <c r="AA212" s="86"/>
      <c r="AB212" s="86"/>
      <c r="AC212" s="82">
        <f t="shared" si="152"/>
        <v>0</v>
      </c>
      <c r="AD212" s="87"/>
      <c r="AE212" s="87"/>
      <c r="AF212" s="1377"/>
      <c r="AG212" s="87"/>
      <c r="AH212" s="87"/>
      <c r="AI212" s="87"/>
      <c r="AJ212" s="87"/>
      <c r="AK212" s="87"/>
      <c r="AL212" s="87"/>
      <c r="AM212" s="87"/>
      <c r="AN212" s="87"/>
      <c r="AO212" s="87"/>
      <c r="AP212" s="87"/>
      <c r="AQ212" s="87"/>
      <c r="AR212" s="87"/>
      <c r="AS212" s="87"/>
      <c r="AT212" s="88"/>
      <c r="AU212" s="89"/>
      <c r="AV212" s="1954">
        <f t="shared" si="153"/>
        <v>0</v>
      </c>
      <c r="AW212" s="1954">
        <f t="shared" si="154"/>
        <v>0</v>
      </c>
      <c r="AX212" s="1954">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79"/>
      <c r="B213" s="1376"/>
      <c r="C213" s="1377"/>
      <c r="D213" s="76"/>
      <c r="E213" s="82">
        <f t="shared" si="149"/>
        <v>0</v>
      </c>
      <c r="F213" s="83"/>
      <c r="G213" s="84">
        <f t="shared" si="150"/>
        <v>0</v>
      </c>
      <c r="H213" s="85">
        <f t="shared" si="151"/>
        <v>0</v>
      </c>
      <c r="I213" s="1377"/>
      <c r="J213" s="86"/>
      <c r="K213" s="1377"/>
      <c r="L213" s="86"/>
      <c r="M213" s="86"/>
      <c r="N213" s="86"/>
      <c r="O213" s="86"/>
      <c r="P213" s="86"/>
      <c r="Q213" s="86"/>
      <c r="R213" s="86"/>
      <c r="S213" s="86"/>
      <c r="T213" s="86"/>
      <c r="U213" s="86"/>
      <c r="V213" s="86"/>
      <c r="W213" s="86"/>
      <c r="X213" s="86"/>
      <c r="Y213" s="86"/>
      <c r="Z213" s="86"/>
      <c r="AA213" s="86"/>
      <c r="AB213" s="86"/>
      <c r="AC213" s="82">
        <f t="shared" si="152"/>
        <v>0</v>
      </c>
      <c r="AD213" s="87"/>
      <c r="AE213" s="87"/>
      <c r="AF213" s="1377"/>
      <c r="AG213" s="87"/>
      <c r="AH213" s="87"/>
      <c r="AI213" s="87"/>
      <c r="AJ213" s="87"/>
      <c r="AK213" s="87"/>
      <c r="AL213" s="87"/>
      <c r="AM213" s="87"/>
      <c r="AN213" s="87"/>
      <c r="AO213" s="87"/>
      <c r="AP213" s="87"/>
      <c r="AQ213" s="87"/>
      <c r="AR213" s="87"/>
      <c r="AS213" s="87"/>
      <c r="AT213" s="88"/>
      <c r="AU213" s="89"/>
      <c r="AV213" s="1954">
        <f t="shared" si="153"/>
        <v>0</v>
      </c>
      <c r="AW213" s="1954">
        <f t="shared" si="154"/>
        <v>0</v>
      </c>
      <c r="AX213" s="1954">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79"/>
      <c r="B214" s="1374"/>
      <c r="C214" s="1375"/>
      <c r="D214" s="76"/>
      <c r="E214" s="82">
        <f t="shared" si="149"/>
        <v>0</v>
      </c>
      <c r="F214" s="83"/>
      <c r="G214" s="84">
        <f t="shared" si="150"/>
        <v>0</v>
      </c>
      <c r="H214" s="85">
        <f t="shared" si="151"/>
        <v>0</v>
      </c>
      <c r="I214" s="1377"/>
      <c r="J214" s="86"/>
      <c r="K214" s="1377"/>
      <c r="L214" s="86"/>
      <c r="M214" s="86"/>
      <c r="N214" s="86"/>
      <c r="O214" s="86"/>
      <c r="P214" s="86"/>
      <c r="Q214" s="86"/>
      <c r="R214" s="86"/>
      <c r="S214" s="86"/>
      <c r="T214" s="86"/>
      <c r="U214" s="86"/>
      <c r="V214" s="86"/>
      <c r="W214" s="86"/>
      <c r="X214" s="86"/>
      <c r="Y214" s="86"/>
      <c r="Z214" s="86"/>
      <c r="AA214" s="86"/>
      <c r="AB214" s="86"/>
      <c r="AC214" s="82">
        <f t="shared" si="152"/>
        <v>0</v>
      </c>
      <c r="AD214" s="87"/>
      <c r="AE214" s="87"/>
      <c r="AF214" s="1377"/>
      <c r="AG214" s="87"/>
      <c r="AH214" s="87"/>
      <c r="AI214" s="87"/>
      <c r="AJ214" s="87"/>
      <c r="AK214" s="87"/>
      <c r="AL214" s="87"/>
      <c r="AM214" s="87"/>
      <c r="AN214" s="87"/>
      <c r="AO214" s="87"/>
      <c r="AP214" s="87"/>
      <c r="AQ214" s="87"/>
      <c r="AR214" s="87"/>
      <c r="AS214" s="87"/>
      <c r="AT214" s="88"/>
      <c r="AU214" s="89"/>
      <c r="AV214" s="1954">
        <f t="shared" si="153"/>
        <v>0</v>
      </c>
      <c r="AW214" s="1954">
        <f t="shared" si="154"/>
        <v>0</v>
      </c>
      <c r="AX214" s="1954">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79"/>
      <c r="B215" s="1374"/>
      <c r="C215" s="1375"/>
      <c r="D215" s="76"/>
      <c r="E215" s="82">
        <f t="shared" si="149"/>
        <v>0</v>
      </c>
      <c r="F215" s="83"/>
      <c r="G215" s="84">
        <f t="shared" si="150"/>
        <v>0</v>
      </c>
      <c r="H215" s="85">
        <f t="shared" si="151"/>
        <v>0</v>
      </c>
      <c r="I215" s="1377"/>
      <c r="J215" s="86"/>
      <c r="K215" s="1377"/>
      <c r="L215" s="86"/>
      <c r="M215" s="86"/>
      <c r="N215" s="86"/>
      <c r="O215" s="86"/>
      <c r="P215" s="86"/>
      <c r="Q215" s="86"/>
      <c r="R215" s="86"/>
      <c r="S215" s="86"/>
      <c r="T215" s="86"/>
      <c r="U215" s="86"/>
      <c r="V215" s="86"/>
      <c r="W215" s="86"/>
      <c r="X215" s="86"/>
      <c r="Y215" s="86"/>
      <c r="Z215" s="86"/>
      <c r="AA215" s="86"/>
      <c r="AB215" s="86"/>
      <c r="AC215" s="82">
        <f t="shared" si="152"/>
        <v>0</v>
      </c>
      <c r="AD215" s="87"/>
      <c r="AE215" s="87"/>
      <c r="AF215" s="1377"/>
      <c r="AG215" s="87"/>
      <c r="AH215" s="87"/>
      <c r="AI215" s="87"/>
      <c r="AJ215" s="87"/>
      <c r="AK215" s="87"/>
      <c r="AL215" s="87"/>
      <c r="AM215" s="87"/>
      <c r="AN215" s="87"/>
      <c r="AO215" s="87"/>
      <c r="AP215" s="87"/>
      <c r="AQ215" s="87"/>
      <c r="AR215" s="87"/>
      <c r="AS215" s="87"/>
      <c r="AT215" s="88"/>
      <c r="AU215" s="89"/>
      <c r="AV215" s="1954">
        <f t="shared" si="153"/>
        <v>0</v>
      </c>
      <c r="AW215" s="1954">
        <f t="shared" si="154"/>
        <v>0</v>
      </c>
      <c r="AX215" s="1954">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79"/>
      <c r="B216" s="1374"/>
      <c r="C216" s="1375"/>
      <c r="D216" s="76"/>
      <c r="E216" s="82">
        <f t="shared" si="149"/>
        <v>0</v>
      </c>
      <c r="F216" s="83"/>
      <c r="G216" s="84">
        <f t="shared" si="150"/>
        <v>0</v>
      </c>
      <c r="H216" s="85">
        <f t="shared" si="151"/>
        <v>0</v>
      </c>
      <c r="I216" s="1377"/>
      <c r="J216" s="86"/>
      <c r="K216" s="1377"/>
      <c r="L216" s="86"/>
      <c r="M216" s="86"/>
      <c r="N216" s="86"/>
      <c r="O216" s="86"/>
      <c r="P216" s="86"/>
      <c r="Q216" s="86"/>
      <c r="R216" s="86"/>
      <c r="S216" s="86"/>
      <c r="T216" s="86"/>
      <c r="U216" s="86"/>
      <c r="V216" s="86"/>
      <c r="W216" s="86"/>
      <c r="X216" s="86"/>
      <c r="Y216" s="86"/>
      <c r="Z216" s="86"/>
      <c r="AA216" s="86"/>
      <c r="AB216" s="86"/>
      <c r="AC216" s="82">
        <f t="shared" si="152"/>
        <v>0</v>
      </c>
      <c r="AD216" s="87"/>
      <c r="AE216" s="87"/>
      <c r="AF216" s="1377"/>
      <c r="AG216" s="87"/>
      <c r="AH216" s="87"/>
      <c r="AI216" s="87"/>
      <c r="AJ216" s="87"/>
      <c r="AK216" s="87"/>
      <c r="AL216" s="87"/>
      <c r="AM216" s="87"/>
      <c r="AN216" s="87"/>
      <c r="AO216" s="87"/>
      <c r="AP216" s="87"/>
      <c r="AQ216" s="87"/>
      <c r="AR216" s="87"/>
      <c r="AS216" s="87"/>
      <c r="AT216" s="88"/>
      <c r="AU216" s="89"/>
      <c r="AV216" s="1954">
        <f t="shared" si="153"/>
        <v>0</v>
      </c>
      <c r="AW216" s="1954">
        <f t="shared" si="154"/>
        <v>0</v>
      </c>
      <c r="AX216" s="1954">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79"/>
      <c r="B217" s="1374"/>
      <c r="C217" s="1375"/>
      <c r="D217" s="76"/>
      <c r="E217" s="82">
        <f t="shared" si="149"/>
        <v>0</v>
      </c>
      <c r="F217" s="83"/>
      <c r="G217" s="84">
        <f t="shared" si="150"/>
        <v>0</v>
      </c>
      <c r="H217" s="85">
        <f t="shared" si="151"/>
        <v>0</v>
      </c>
      <c r="I217" s="1377"/>
      <c r="J217" s="86"/>
      <c r="K217" s="1377"/>
      <c r="L217" s="86"/>
      <c r="M217" s="86"/>
      <c r="N217" s="86"/>
      <c r="O217" s="86"/>
      <c r="P217" s="86"/>
      <c r="Q217" s="86"/>
      <c r="R217" s="86"/>
      <c r="S217" s="86"/>
      <c r="T217" s="86"/>
      <c r="U217" s="86"/>
      <c r="V217" s="86"/>
      <c r="W217" s="86"/>
      <c r="X217" s="86"/>
      <c r="Y217" s="86"/>
      <c r="Z217" s="86"/>
      <c r="AA217" s="86"/>
      <c r="AB217" s="86"/>
      <c r="AC217" s="82">
        <f t="shared" si="152"/>
        <v>0</v>
      </c>
      <c r="AD217" s="87"/>
      <c r="AE217" s="87"/>
      <c r="AF217" s="1377"/>
      <c r="AG217" s="87"/>
      <c r="AH217" s="87"/>
      <c r="AI217" s="87"/>
      <c r="AJ217" s="87"/>
      <c r="AK217" s="87"/>
      <c r="AL217" s="87"/>
      <c r="AM217" s="87"/>
      <c r="AN217" s="87"/>
      <c r="AO217" s="87"/>
      <c r="AP217" s="87"/>
      <c r="AQ217" s="87"/>
      <c r="AR217" s="87"/>
      <c r="AS217" s="87"/>
      <c r="AT217" s="88"/>
      <c r="AU217" s="89"/>
      <c r="AV217" s="1954">
        <f t="shared" si="153"/>
        <v>0</v>
      </c>
      <c r="AW217" s="1954">
        <f t="shared" si="154"/>
        <v>0</v>
      </c>
      <c r="AX217" s="1954">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79"/>
      <c r="B218" s="1374"/>
      <c r="C218" s="1375"/>
      <c r="D218" s="76"/>
      <c r="E218" s="82">
        <f t="shared" si="149"/>
        <v>0</v>
      </c>
      <c r="F218" s="83"/>
      <c r="G218" s="84">
        <f t="shared" si="150"/>
        <v>0</v>
      </c>
      <c r="H218" s="85">
        <f t="shared" si="151"/>
        <v>0</v>
      </c>
      <c r="I218" s="1377"/>
      <c r="J218" s="86"/>
      <c r="K218" s="1377"/>
      <c r="L218" s="86"/>
      <c r="M218" s="86"/>
      <c r="N218" s="86"/>
      <c r="O218" s="86"/>
      <c r="P218" s="86"/>
      <c r="Q218" s="86"/>
      <c r="R218" s="86"/>
      <c r="S218" s="86"/>
      <c r="T218" s="86"/>
      <c r="U218" s="86"/>
      <c r="V218" s="86"/>
      <c r="W218" s="86"/>
      <c r="X218" s="86"/>
      <c r="Y218" s="86"/>
      <c r="Z218" s="86"/>
      <c r="AA218" s="86"/>
      <c r="AB218" s="86"/>
      <c r="AC218" s="82">
        <f t="shared" si="152"/>
        <v>0</v>
      </c>
      <c r="AD218" s="87"/>
      <c r="AE218" s="87"/>
      <c r="AF218" s="1377"/>
      <c r="AG218" s="87"/>
      <c r="AH218" s="87"/>
      <c r="AI218" s="87"/>
      <c r="AJ218" s="87"/>
      <c r="AK218" s="87"/>
      <c r="AL218" s="87"/>
      <c r="AM218" s="87"/>
      <c r="AN218" s="87"/>
      <c r="AO218" s="87"/>
      <c r="AP218" s="87"/>
      <c r="AQ218" s="87"/>
      <c r="AR218" s="87"/>
      <c r="AS218" s="87"/>
      <c r="AT218" s="88"/>
      <c r="AU218" s="89"/>
      <c r="AV218" s="1954">
        <f t="shared" si="153"/>
        <v>0</v>
      </c>
      <c r="AW218" s="1954">
        <f t="shared" si="154"/>
        <v>0</v>
      </c>
      <c r="AX218" s="1954">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79"/>
      <c r="B219" s="1374"/>
      <c r="C219" s="1375"/>
      <c r="D219" s="76"/>
      <c r="E219" s="82">
        <f t="shared" si="149"/>
        <v>0</v>
      </c>
      <c r="F219" s="83"/>
      <c r="G219" s="84">
        <f t="shared" si="150"/>
        <v>0</v>
      </c>
      <c r="H219" s="85">
        <f t="shared" si="151"/>
        <v>0</v>
      </c>
      <c r="I219" s="1377"/>
      <c r="J219" s="86"/>
      <c r="K219" s="1377"/>
      <c r="L219" s="86"/>
      <c r="M219" s="86"/>
      <c r="N219" s="86"/>
      <c r="O219" s="86"/>
      <c r="P219" s="86"/>
      <c r="Q219" s="86"/>
      <c r="R219" s="86"/>
      <c r="S219" s="86"/>
      <c r="T219" s="86"/>
      <c r="U219" s="86"/>
      <c r="V219" s="86"/>
      <c r="W219" s="86"/>
      <c r="X219" s="86"/>
      <c r="Y219" s="86"/>
      <c r="Z219" s="86"/>
      <c r="AA219" s="86"/>
      <c r="AB219" s="86"/>
      <c r="AC219" s="82">
        <f t="shared" si="152"/>
        <v>0</v>
      </c>
      <c r="AD219" s="87"/>
      <c r="AE219" s="87"/>
      <c r="AF219" s="1377"/>
      <c r="AG219" s="87"/>
      <c r="AH219" s="87"/>
      <c r="AI219" s="87"/>
      <c r="AJ219" s="87"/>
      <c r="AK219" s="87"/>
      <c r="AL219" s="87"/>
      <c r="AM219" s="87"/>
      <c r="AN219" s="87"/>
      <c r="AO219" s="87"/>
      <c r="AP219" s="87"/>
      <c r="AQ219" s="87"/>
      <c r="AR219" s="87"/>
      <c r="AS219" s="87"/>
      <c r="AT219" s="88"/>
      <c r="AU219" s="89"/>
      <c r="AV219" s="1954">
        <f t="shared" si="153"/>
        <v>0</v>
      </c>
      <c r="AW219" s="1954">
        <f t="shared" si="154"/>
        <v>0</v>
      </c>
      <c r="AX219" s="1954">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79"/>
      <c r="B220" s="1374"/>
      <c r="C220" s="1375"/>
      <c r="D220" s="76"/>
      <c r="E220" s="82">
        <f t="shared" si="149"/>
        <v>0</v>
      </c>
      <c r="F220" s="83"/>
      <c r="G220" s="84">
        <f t="shared" si="150"/>
        <v>0</v>
      </c>
      <c r="H220" s="85">
        <f t="shared" si="151"/>
        <v>0</v>
      </c>
      <c r="I220" s="1377"/>
      <c r="J220" s="86"/>
      <c r="K220" s="1377"/>
      <c r="L220" s="86"/>
      <c r="M220" s="86"/>
      <c r="N220" s="86"/>
      <c r="O220" s="86"/>
      <c r="P220" s="86"/>
      <c r="Q220" s="86"/>
      <c r="R220" s="86"/>
      <c r="S220" s="86"/>
      <c r="T220" s="86"/>
      <c r="U220" s="86"/>
      <c r="V220" s="86"/>
      <c r="W220" s="86"/>
      <c r="X220" s="86"/>
      <c r="Y220" s="86"/>
      <c r="Z220" s="86"/>
      <c r="AA220" s="86"/>
      <c r="AB220" s="86"/>
      <c r="AC220" s="82">
        <f t="shared" si="152"/>
        <v>0</v>
      </c>
      <c r="AD220" s="87"/>
      <c r="AE220" s="87"/>
      <c r="AF220" s="1377"/>
      <c r="AG220" s="87"/>
      <c r="AH220" s="87"/>
      <c r="AI220" s="87"/>
      <c r="AJ220" s="87"/>
      <c r="AK220" s="87"/>
      <c r="AL220" s="87"/>
      <c r="AM220" s="87"/>
      <c r="AN220" s="87"/>
      <c r="AO220" s="87"/>
      <c r="AP220" s="87"/>
      <c r="AQ220" s="87"/>
      <c r="AR220" s="87"/>
      <c r="AS220" s="87"/>
      <c r="AT220" s="88"/>
      <c r="AU220" s="89"/>
      <c r="AV220" s="1954">
        <f t="shared" si="153"/>
        <v>0</v>
      </c>
      <c r="AW220" s="1954">
        <f t="shared" si="154"/>
        <v>0</v>
      </c>
      <c r="AX220" s="1954">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79"/>
      <c r="B221" s="1374"/>
      <c r="C221" s="1375"/>
      <c r="D221" s="76"/>
      <c r="E221" s="82">
        <f t="shared" si="149"/>
        <v>0</v>
      </c>
      <c r="F221" s="83"/>
      <c r="G221" s="84">
        <f t="shared" si="150"/>
        <v>0</v>
      </c>
      <c r="H221" s="85">
        <f t="shared" si="151"/>
        <v>0</v>
      </c>
      <c r="I221" s="1377"/>
      <c r="J221" s="86"/>
      <c r="K221" s="1377"/>
      <c r="L221" s="86"/>
      <c r="M221" s="86"/>
      <c r="N221" s="86"/>
      <c r="O221" s="86"/>
      <c r="P221" s="86"/>
      <c r="Q221" s="86"/>
      <c r="R221" s="86"/>
      <c r="S221" s="86"/>
      <c r="T221" s="86"/>
      <c r="U221" s="86"/>
      <c r="V221" s="86"/>
      <c r="W221" s="86"/>
      <c r="X221" s="86"/>
      <c r="Y221" s="86"/>
      <c r="Z221" s="86"/>
      <c r="AA221" s="86"/>
      <c r="AB221" s="86"/>
      <c r="AC221" s="82">
        <f t="shared" si="152"/>
        <v>0</v>
      </c>
      <c r="AD221" s="87"/>
      <c r="AE221" s="87"/>
      <c r="AF221" s="1377"/>
      <c r="AG221" s="87"/>
      <c r="AH221" s="87"/>
      <c r="AI221" s="87"/>
      <c r="AJ221" s="87"/>
      <c r="AK221" s="87"/>
      <c r="AL221" s="87"/>
      <c r="AM221" s="87"/>
      <c r="AN221" s="87"/>
      <c r="AO221" s="87"/>
      <c r="AP221" s="87"/>
      <c r="AQ221" s="87"/>
      <c r="AR221" s="87"/>
      <c r="AS221" s="87"/>
      <c r="AT221" s="88"/>
      <c r="AU221" s="89"/>
      <c r="AV221" s="1954">
        <f t="shared" si="153"/>
        <v>0</v>
      </c>
      <c r="AW221" s="1954">
        <f t="shared" si="154"/>
        <v>0</v>
      </c>
      <c r="AX221" s="1954">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79"/>
      <c r="B222" s="1374"/>
      <c r="C222" s="1375"/>
      <c r="D222" s="76"/>
      <c r="E222" s="82">
        <f t="shared" si="149"/>
        <v>0</v>
      </c>
      <c r="F222" s="83"/>
      <c r="G222" s="84">
        <f t="shared" si="150"/>
        <v>0</v>
      </c>
      <c r="H222" s="85">
        <f t="shared" si="151"/>
        <v>0</v>
      </c>
      <c r="I222" s="1377"/>
      <c r="J222" s="86"/>
      <c r="K222" s="1377"/>
      <c r="L222" s="86"/>
      <c r="M222" s="86"/>
      <c r="N222" s="86"/>
      <c r="O222" s="86"/>
      <c r="P222" s="86"/>
      <c r="Q222" s="86"/>
      <c r="R222" s="86"/>
      <c r="S222" s="86"/>
      <c r="T222" s="86"/>
      <c r="U222" s="86"/>
      <c r="V222" s="86"/>
      <c r="W222" s="86"/>
      <c r="X222" s="86"/>
      <c r="Y222" s="86"/>
      <c r="Z222" s="86"/>
      <c r="AA222" s="86"/>
      <c r="AB222" s="86"/>
      <c r="AC222" s="82">
        <f t="shared" si="152"/>
        <v>0</v>
      </c>
      <c r="AD222" s="87"/>
      <c r="AE222" s="87"/>
      <c r="AF222" s="1377"/>
      <c r="AG222" s="87"/>
      <c r="AH222" s="87"/>
      <c r="AI222" s="87"/>
      <c r="AJ222" s="87"/>
      <c r="AK222" s="87"/>
      <c r="AL222" s="87"/>
      <c r="AM222" s="87"/>
      <c r="AN222" s="87"/>
      <c r="AO222" s="87"/>
      <c r="AP222" s="87"/>
      <c r="AQ222" s="87"/>
      <c r="AR222" s="87"/>
      <c r="AS222" s="87"/>
      <c r="AT222" s="88"/>
      <c r="AU222" s="89"/>
      <c r="AV222" s="1954">
        <f t="shared" si="153"/>
        <v>0</v>
      </c>
      <c r="AW222" s="1954">
        <f t="shared" si="154"/>
        <v>0</v>
      </c>
      <c r="AX222" s="1954">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79"/>
      <c r="B223" s="1374"/>
      <c r="C223" s="1375"/>
      <c r="D223" s="76"/>
      <c r="E223" s="82">
        <f t="shared" si="149"/>
        <v>0</v>
      </c>
      <c r="F223" s="83"/>
      <c r="G223" s="84">
        <f t="shared" si="150"/>
        <v>0</v>
      </c>
      <c r="H223" s="85">
        <f t="shared" si="151"/>
        <v>0</v>
      </c>
      <c r="I223" s="1377"/>
      <c r="J223" s="86"/>
      <c r="K223" s="1377"/>
      <c r="L223" s="86"/>
      <c r="M223" s="86"/>
      <c r="N223" s="86"/>
      <c r="O223" s="86"/>
      <c r="P223" s="86"/>
      <c r="Q223" s="86"/>
      <c r="R223" s="86"/>
      <c r="S223" s="86"/>
      <c r="T223" s="86"/>
      <c r="U223" s="86"/>
      <c r="V223" s="86"/>
      <c r="W223" s="86"/>
      <c r="X223" s="86"/>
      <c r="Y223" s="86"/>
      <c r="Z223" s="86"/>
      <c r="AA223" s="86"/>
      <c r="AB223" s="86"/>
      <c r="AC223" s="82">
        <f t="shared" si="152"/>
        <v>0</v>
      </c>
      <c r="AD223" s="87"/>
      <c r="AE223" s="87"/>
      <c r="AF223" s="1377"/>
      <c r="AG223" s="87"/>
      <c r="AH223" s="87"/>
      <c r="AI223" s="87"/>
      <c r="AJ223" s="87"/>
      <c r="AK223" s="87"/>
      <c r="AL223" s="87"/>
      <c r="AM223" s="87"/>
      <c r="AN223" s="87"/>
      <c r="AO223" s="87"/>
      <c r="AP223" s="87"/>
      <c r="AQ223" s="87"/>
      <c r="AR223" s="87"/>
      <c r="AS223" s="87"/>
      <c r="AT223" s="88"/>
      <c r="AU223" s="89"/>
      <c r="AV223" s="1954">
        <f t="shared" si="153"/>
        <v>0</v>
      </c>
      <c r="AW223" s="1954">
        <f t="shared" si="154"/>
        <v>0</v>
      </c>
      <c r="AX223" s="1954">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79"/>
      <c r="B224" s="1374"/>
      <c r="C224" s="1375"/>
      <c r="D224" s="76"/>
      <c r="E224" s="82">
        <f t="shared" si="149"/>
        <v>0</v>
      </c>
      <c r="F224" s="83"/>
      <c r="G224" s="84">
        <f t="shared" si="150"/>
        <v>0</v>
      </c>
      <c r="H224" s="85">
        <f t="shared" si="151"/>
        <v>0</v>
      </c>
      <c r="I224" s="1377"/>
      <c r="J224" s="86"/>
      <c r="K224" s="1377"/>
      <c r="L224" s="86"/>
      <c r="M224" s="86"/>
      <c r="N224" s="86"/>
      <c r="O224" s="86"/>
      <c r="P224" s="86"/>
      <c r="Q224" s="86"/>
      <c r="R224" s="86"/>
      <c r="S224" s="86"/>
      <c r="T224" s="86"/>
      <c r="U224" s="86"/>
      <c r="V224" s="86"/>
      <c r="W224" s="86"/>
      <c r="X224" s="86"/>
      <c r="Y224" s="86"/>
      <c r="Z224" s="86"/>
      <c r="AA224" s="86"/>
      <c r="AB224" s="86"/>
      <c r="AC224" s="82">
        <f t="shared" si="152"/>
        <v>0</v>
      </c>
      <c r="AD224" s="87"/>
      <c r="AE224" s="87"/>
      <c r="AF224" s="1377"/>
      <c r="AG224" s="87"/>
      <c r="AH224" s="87"/>
      <c r="AI224" s="87"/>
      <c r="AJ224" s="87"/>
      <c r="AK224" s="87"/>
      <c r="AL224" s="87"/>
      <c r="AM224" s="87"/>
      <c r="AN224" s="87"/>
      <c r="AO224" s="87"/>
      <c r="AP224" s="87"/>
      <c r="AQ224" s="87"/>
      <c r="AR224" s="87"/>
      <c r="AS224" s="87"/>
      <c r="AT224" s="88"/>
      <c r="AU224" s="89"/>
      <c r="AV224" s="1954">
        <f t="shared" si="153"/>
        <v>0</v>
      </c>
      <c r="AW224" s="1954">
        <f t="shared" si="154"/>
        <v>0</v>
      </c>
      <c r="AX224" s="1954">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79"/>
      <c r="B225" s="1374"/>
      <c r="C225" s="1375"/>
      <c r="D225" s="76"/>
      <c r="E225" s="82">
        <f t="shared" si="149"/>
        <v>0</v>
      </c>
      <c r="F225" s="83"/>
      <c r="G225" s="84">
        <f t="shared" si="150"/>
        <v>0</v>
      </c>
      <c r="H225" s="85">
        <f t="shared" si="151"/>
        <v>0</v>
      </c>
      <c r="I225" s="1377"/>
      <c r="J225" s="86"/>
      <c r="K225" s="1377"/>
      <c r="L225" s="86"/>
      <c r="M225" s="86"/>
      <c r="N225" s="86"/>
      <c r="O225" s="86"/>
      <c r="P225" s="86"/>
      <c r="Q225" s="86"/>
      <c r="R225" s="86"/>
      <c r="S225" s="86"/>
      <c r="T225" s="86"/>
      <c r="U225" s="86"/>
      <c r="V225" s="86"/>
      <c r="W225" s="86"/>
      <c r="X225" s="86"/>
      <c r="Y225" s="86"/>
      <c r="Z225" s="86"/>
      <c r="AA225" s="86"/>
      <c r="AB225" s="86"/>
      <c r="AC225" s="82">
        <f t="shared" si="152"/>
        <v>0</v>
      </c>
      <c r="AD225" s="87"/>
      <c r="AE225" s="87"/>
      <c r="AF225" s="1377"/>
      <c r="AG225" s="87"/>
      <c r="AH225" s="87"/>
      <c r="AI225" s="87"/>
      <c r="AJ225" s="87"/>
      <c r="AK225" s="87"/>
      <c r="AL225" s="87"/>
      <c r="AM225" s="87"/>
      <c r="AN225" s="87"/>
      <c r="AO225" s="87"/>
      <c r="AP225" s="87"/>
      <c r="AQ225" s="87"/>
      <c r="AR225" s="87"/>
      <c r="AS225" s="87"/>
      <c r="AT225" s="88"/>
      <c r="AU225" s="89"/>
      <c r="AV225" s="1954">
        <f t="shared" si="153"/>
        <v>0</v>
      </c>
      <c r="AW225" s="1954">
        <f t="shared" si="154"/>
        <v>0</v>
      </c>
      <c r="AX225" s="1954">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79"/>
      <c r="B226" s="1374"/>
      <c r="C226" s="1375"/>
      <c r="D226" s="76"/>
      <c r="E226" s="82">
        <f t="shared" si="149"/>
        <v>0</v>
      </c>
      <c r="F226" s="83"/>
      <c r="G226" s="84">
        <f t="shared" si="150"/>
        <v>0</v>
      </c>
      <c r="H226" s="85">
        <f t="shared" si="151"/>
        <v>0</v>
      </c>
      <c r="I226" s="1377"/>
      <c r="J226" s="86"/>
      <c r="K226" s="1377"/>
      <c r="L226" s="86"/>
      <c r="M226" s="86"/>
      <c r="N226" s="86"/>
      <c r="O226" s="86"/>
      <c r="P226" s="86"/>
      <c r="Q226" s="86"/>
      <c r="R226" s="86"/>
      <c r="S226" s="86"/>
      <c r="T226" s="86"/>
      <c r="U226" s="86"/>
      <c r="V226" s="86"/>
      <c r="W226" s="86"/>
      <c r="X226" s="86"/>
      <c r="Y226" s="86"/>
      <c r="Z226" s="86"/>
      <c r="AA226" s="86"/>
      <c r="AB226" s="86"/>
      <c r="AC226" s="82">
        <f t="shared" si="152"/>
        <v>0</v>
      </c>
      <c r="AD226" s="87"/>
      <c r="AE226" s="87"/>
      <c r="AF226" s="1377"/>
      <c r="AG226" s="87"/>
      <c r="AH226" s="87"/>
      <c r="AI226" s="87"/>
      <c r="AJ226" s="87"/>
      <c r="AK226" s="87"/>
      <c r="AL226" s="87"/>
      <c r="AM226" s="87"/>
      <c r="AN226" s="87"/>
      <c r="AO226" s="87"/>
      <c r="AP226" s="87"/>
      <c r="AQ226" s="87"/>
      <c r="AR226" s="87"/>
      <c r="AS226" s="87"/>
      <c r="AT226" s="88"/>
      <c r="AU226" s="89"/>
      <c r="AV226" s="1954">
        <f t="shared" si="153"/>
        <v>0</v>
      </c>
      <c r="AW226" s="1954">
        <f t="shared" si="154"/>
        <v>0</v>
      </c>
      <c r="AX226" s="1954">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79"/>
      <c r="B227" s="1374"/>
      <c r="C227" s="1375"/>
      <c r="D227" s="76"/>
      <c r="E227" s="82">
        <f t="shared" si="149"/>
        <v>0</v>
      </c>
      <c r="F227" s="83"/>
      <c r="G227" s="84">
        <f t="shared" si="150"/>
        <v>0</v>
      </c>
      <c r="H227" s="85">
        <f t="shared" si="151"/>
        <v>0</v>
      </c>
      <c r="I227" s="1377"/>
      <c r="J227" s="86"/>
      <c r="K227" s="1377"/>
      <c r="L227" s="86"/>
      <c r="M227" s="86"/>
      <c r="N227" s="86"/>
      <c r="O227" s="86"/>
      <c r="P227" s="86"/>
      <c r="Q227" s="86"/>
      <c r="R227" s="86"/>
      <c r="S227" s="86"/>
      <c r="T227" s="86"/>
      <c r="U227" s="86"/>
      <c r="V227" s="86"/>
      <c r="W227" s="86"/>
      <c r="X227" s="86"/>
      <c r="Y227" s="86"/>
      <c r="Z227" s="86"/>
      <c r="AA227" s="86"/>
      <c r="AB227" s="86"/>
      <c r="AC227" s="82">
        <f t="shared" si="152"/>
        <v>0</v>
      </c>
      <c r="AD227" s="87"/>
      <c r="AE227" s="87"/>
      <c r="AF227" s="1377"/>
      <c r="AG227" s="87"/>
      <c r="AH227" s="87"/>
      <c r="AI227" s="87"/>
      <c r="AJ227" s="87"/>
      <c r="AK227" s="87"/>
      <c r="AL227" s="87"/>
      <c r="AM227" s="87"/>
      <c r="AN227" s="87"/>
      <c r="AO227" s="87"/>
      <c r="AP227" s="87"/>
      <c r="AQ227" s="87"/>
      <c r="AR227" s="87"/>
      <c r="AS227" s="87"/>
      <c r="AT227" s="88"/>
      <c r="AU227" s="89"/>
      <c r="AV227" s="1954">
        <f t="shared" si="153"/>
        <v>0</v>
      </c>
      <c r="AW227" s="1954">
        <f t="shared" si="154"/>
        <v>0</v>
      </c>
      <c r="AX227" s="1954">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79"/>
      <c r="B228" s="1374"/>
      <c r="C228" s="1375"/>
      <c r="D228" s="76"/>
      <c r="E228" s="82">
        <f t="shared" si="149"/>
        <v>0</v>
      </c>
      <c r="F228" s="83"/>
      <c r="G228" s="84">
        <f t="shared" si="150"/>
        <v>0</v>
      </c>
      <c r="H228" s="85">
        <f t="shared" si="151"/>
        <v>0</v>
      </c>
      <c r="I228" s="1377"/>
      <c r="J228" s="86"/>
      <c r="K228" s="1377"/>
      <c r="L228" s="86"/>
      <c r="M228" s="86"/>
      <c r="N228" s="86"/>
      <c r="O228" s="86"/>
      <c r="P228" s="86"/>
      <c r="Q228" s="86"/>
      <c r="R228" s="86"/>
      <c r="S228" s="86"/>
      <c r="T228" s="86"/>
      <c r="U228" s="86"/>
      <c r="V228" s="86"/>
      <c r="W228" s="86"/>
      <c r="X228" s="86"/>
      <c r="Y228" s="86"/>
      <c r="Z228" s="86"/>
      <c r="AA228" s="86"/>
      <c r="AB228" s="86"/>
      <c r="AC228" s="82">
        <f t="shared" si="152"/>
        <v>0</v>
      </c>
      <c r="AD228" s="87"/>
      <c r="AE228" s="87"/>
      <c r="AF228" s="1377"/>
      <c r="AG228" s="87"/>
      <c r="AH228" s="87"/>
      <c r="AI228" s="87"/>
      <c r="AJ228" s="87"/>
      <c r="AK228" s="87"/>
      <c r="AL228" s="87"/>
      <c r="AM228" s="87"/>
      <c r="AN228" s="87"/>
      <c r="AO228" s="87"/>
      <c r="AP228" s="87"/>
      <c r="AQ228" s="87"/>
      <c r="AR228" s="87"/>
      <c r="AS228" s="87"/>
      <c r="AT228" s="88"/>
      <c r="AU228" s="89"/>
      <c r="AV228" s="1954">
        <f t="shared" si="153"/>
        <v>0</v>
      </c>
      <c r="AW228" s="1954">
        <f t="shared" si="154"/>
        <v>0</v>
      </c>
      <c r="AX228" s="1954">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79"/>
      <c r="B229" s="1374"/>
      <c r="C229" s="1375"/>
      <c r="D229" s="76"/>
      <c r="E229" s="82">
        <f t="shared" si="149"/>
        <v>0</v>
      </c>
      <c r="F229" s="83"/>
      <c r="G229" s="84">
        <f t="shared" si="150"/>
        <v>0</v>
      </c>
      <c r="H229" s="85">
        <f t="shared" si="151"/>
        <v>0</v>
      </c>
      <c r="I229" s="1377"/>
      <c r="J229" s="86"/>
      <c r="K229" s="1377"/>
      <c r="L229" s="86"/>
      <c r="M229" s="86"/>
      <c r="N229" s="86"/>
      <c r="O229" s="86"/>
      <c r="P229" s="86"/>
      <c r="Q229" s="86"/>
      <c r="R229" s="86"/>
      <c r="S229" s="86"/>
      <c r="T229" s="86"/>
      <c r="U229" s="86"/>
      <c r="V229" s="86"/>
      <c r="W229" s="86"/>
      <c r="X229" s="86"/>
      <c r="Y229" s="86"/>
      <c r="Z229" s="86"/>
      <c r="AA229" s="86"/>
      <c r="AB229" s="86"/>
      <c r="AC229" s="82">
        <f t="shared" si="152"/>
        <v>0</v>
      </c>
      <c r="AD229" s="87"/>
      <c r="AE229" s="87"/>
      <c r="AF229" s="1377"/>
      <c r="AG229" s="87"/>
      <c r="AH229" s="87"/>
      <c r="AI229" s="87"/>
      <c r="AJ229" s="87"/>
      <c r="AK229" s="87"/>
      <c r="AL229" s="87"/>
      <c r="AM229" s="87"/>
      <c r="AN229" s="87"/>
      <c r="AO229" s="87"/>
      <c r="AP229" s="87"/>
      <c r="AQ229" s="87"/>
      <c r="AR229" s="87"/>
      <c r="AS229" s="87"/>
      <c r="AT229" s="88"/>
      <c r="AU229" s="89"/>
      <c r="AV229" s="1954">
        <f t="shared" si="153"/>
        <v>0</v>
      </c>
      <c r="AW229" s="1954">
        <f t="shared" si="154"/>
        <v>0</v>
      </c>
      <c r="AX229" s="1954">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79"/>
      <c r="B230" s="1374"/>
      <c r="C230" s="1375"/>
      <c r="D230" s="76"/>
      <c r="E230" s="82">
        <f t="shared" si="149"/>
        <v>0</v>
      </c>
      <c r="F230" s="83"/>
      <c r="G230" s="84">
        <f t="shared" si="150"/>
        <v>0</v>
      </c>
      <c r="H230" s="85">
        <f t="shared" si="151"/>
        <v>0</v>
      </c>
      <c r="I230" s="1377"/>
      <c r="J230" s="86"/>
      <c r="K230" s="1377"/>
      <c r="L230" s="86"/>
      <c r="M230" s="86"/>
      <c r="N230" s="86"/>
      <c r="O230" s="86"/>
      <c r="P230" s="86"/>
      <c r="Q230" s="86"/>
      <c r="R230" s="86"/>
      <c r="S230" s="86"/>
      <c r="T230" s="86"/>
      <c r="U230" s="86"/>
      <c r="V230" s="86"/>
      <c r="W230" s="86"/>
      <c r="X230" s="86"/>
      <c r="Y230" s="86"/>
      <c r="Z230" s="86"/>
      <c r="AA230" s="86"/>
      <c r="AB230" s="86"/>
      <c r="AC230" s="82">
        <f t="shared" si="152"/>
        <v>0</v>
      </c>
      <c r="AD230" s="87"/>
      <c r="AE230" s="87"/>
      <c r="AF230" s="1377"/>
      <c r="AG230" s="87"/>
      <c r="AH230" s="87"/>
      <c r="AI230" s="87"/>
      <c r="AJ230" s="87"/>
      <c r="AK230" s="87"/>
      <c r="AL230" s="87"/>
      <c r="AM230" s="87"/>
      <c r="AN230" s="87"/>
      <c r="AO230" s="87"/>
      <c r="AP230" s="87"/>
      <c r="AQ230" s="87"/>
      <c r="AR230" s="87"/>
      <c r="AS230" s="87"/>
      <c r="AT230" s="88"/>
      <c r="AU230" s="89"/>
      <c r="AV230" s="1954">
        <f t="shared" si="153"/>
        <v>0</v>
      </c>
      <c r="AW230" s="1954">
        <f t="shared" si="154"/>
        <v>0</v>
      </c>
      <c r="AX230" s="1954">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79"/>
      <c r="B231" s="1374"/>
      <c r="C231" s="1375"/>
      <c r="D231" s="76"/>
      <c r="E231" s="82">
        <f t="shared" si="149"/>
        <v>0</v>
      </c>
      <c r="F231" s="83"/>
      <c r="G231" s="84">
        <f t="shared" si="150"/>
        <v>0</v>
      </c>
      <c r="H231" s="85">
        <f t="shared" si="151"/>
        <v>0</v>
      </c>
      <c r="I231" s="1377"/>
      <c r="J231" s="86"/>
      <c r="K231" s="1377"/>
      <c r="L231" s="86"/>
      <c r="M231" s="86"/>
      <c r="N231" s="86"/>
      <c r="O231" s="86"/>
      <c r="P231" s="86"/>
      <c r="Q231" s="86"/>
      <c r="R231" s="86"/>
      <c r="S231" s="86"/>
      <c r="T231" s="86"/>
      <c r="U231" s="86"/>
      <c r="V231" s="86"/>
      <c r="W231" s="86"/>
      <c r="X231" s="86"/>
      <c r="Y231" s="86"/>
      <c r="Z231" s="86"/>
      <c r="AA231" s="86"/>
      <c r="AB231" s="86"/>
      <c r="AC231" s="82">
        <f t="shared" si="152"/>
        <v>0</v>
      </c>
      <c r="AD231" s="87"/>
      <c r="AE231" s="87"/>
      <c r="AF231" s="1375"/>
      <c r="AG231" s="87"/>
      <c r="AH231" s="87"/>
      <c r="AI231" s="87"/>
      <c r="AJ231" s="87"/>
      <c r="AK231" s="87"/>
      <c r="AL231" s="87"/>
      <c r="AM231" s="87"/>
      <c r="AN231" s="87"/>
      <c r="AO231" s="87"/>
      <c r="AP231" s="87"/>
      <c r="AQ231" s="87"/>
      <c r="AR231" s="87"/>
      <c r="AS231" s="87"/>
      <c r="AT231" s="88"/>
      <c r="AU231" s="89"/>
      <c r="AV231" s="1954">
        <f t="shared" si="153"/>
        <v>0</v>
      </c>
      <c r="AW231" s="1954">
        <f t="shared" si="154"/>
        <v>0</v>
      </c>
      <c r="AX231" s="1954">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79"/>
      <c r="B232" s="1374"/>
      <c r="C232" s="1375"/>
      <c r="D232" s="76"/>
      <c r="E232" s="82">
        <f t="shared" si="149"/>
        <v>0</v>
      </c>
      <c r="F232" s="83"/>
      <c r="G232" s="84">
        <f t="shared" si="150"/>
        <v>0</v>
      </c>
      <c r="H232" s="85">
        <f t="shared" si="151"/>
        <v>0</v>
      </c>
      <c r="I232" s="1375"/>
      <c r="J232" s="86"/>
      <c r="K232" s="1375"/>
      <c r="L232" s="86"/>
      <c r="M232" s="86"/>
      <c r="N232" s="86"/>
      <c r="O232" s="86"/>
      <c r="P232" s="86"/>
      <c r="Q232" s="86"/>
      <c r="R232" s="86"/>
      <c r="S232" s="86"/>
      <c r="T232" s="86"/>
      <c r="U232" s="86"/>
      <c r="V232" s="86"/>
      <c r="W232" s="86"/>
      <c r="X232" s="86"/>
      <c r="Y232" s="86"/>
      <c r="Z232" s="86"/>
      <c r="AA232" s="86"/>
      <c r="AB232" s="86"/>
      <c r="AC232" s="82">
        <f t="shared" si="152"/>
        <v>0</v>
      </c>
      <c r="AD232" s="87"/>
      <c r="AE232" s="87"/>
      <c r="AF232" s="1375"/>
      <c r="AG232" s="87"/>
      <c r="AH232" s="87"/>
      <c r="AI232" s="87"/>
      <c r="AJ232" s="87"/>
      <c r="AK232" s="87"/>
      <c r="AL232" s="87"/>
      <c r="AM232" s="87"/>
      <c r="AN232" s="87"/>
      <c r="AO232" s="87"/>
      <c r="AP232" s="87"/>
      <c r="AQ232" s="87"/>
      <c r="AR232" s="87"/>
      <c r="AS232" s="87"/>
      <c r="AT232" s="88"/>
      <c r="AU232" s="89"/>
      <c r="AV232" s="1954">
        <f t="shared" si="153"/>
        <v>0</v>
      </c>
      <c r="AW232" s="1954">
        <f t="shared" si="154"/>
        <v>0</v>
      </c>
      <c r="AX232" s="1954">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79"/>
      <c r="B233" s="1374"/>
      <c r="C233" s="1375"/>
      <c r="D233" s="76"/>
      <c r="E233" s="82">
        <f t="shared" si="149"/>
        <v>0</v>
      </c>
      <c r="F233" s="83"/>
      <c r="G233" s="84">
        <f t="shared" si="150"/>
        <v>0</v>
      </c>
      <c r="H233" s="85">
        <f t="shared" si="151"/>
        <v>0</v>
      </c>
      <c r="I233" s="1375"/>
      <c r="J233" s="86"/>
      <c r="K233" s="1375"/>
      <c r="L233" s="86"/>
      <c r="M233" s="86"/>
      <c r="N233" s="86"/>
      <c r="O233" s="86"/>
      <c r="P233" s="86"/>
      <c r="Q233" s="86"/>
      <c r="R233" s="86"/>
      <c r="S233" s="86"/>
      <c r="T233" s="86"/>
      <c r="U233" s="86"/>
      <c r="V233" s="86"/>
      <c r="W233" s="86"/>
      <c r="X233" s="86"/>
      <c r="Y233" s="86"/>
      <c r="Z233" s="86"/>
      <c r="AA233" s="86"/>
      <c r="AB233" s="86"/>
      <c r="AC233" s="82">
        <f t="shared" si="152"/>
        <v>0</v>
      </c>
      <c r="AD233" s="87"/>
      <c r="AE233" s="87"/>
      <c r="AF233" s="1375"/>
      <c r="AG233" s="87"/>
      <c r="AH233" s="87"/>
      <c r="AI233" s="87"/>
      <c r="AJ233" s="87"/>
      <c r="AK233" s="87"/>
      <c r="AL233" s="87"/>
      <c r="AM233" s="87"/>
      <c r="AN233" s="87"/>
      <c r="AO233" s="87"/>
      <c r="AP233" s="87"/>
      <c r="AQ233" s="87"/>
      <c r="AR233" s="87"/>
      <c r="AS233" s="87"/>
      <c r="AT233" s="88"/>
      <c r="AU233" s="89"/>
      <c r="AV233" s="1954">
        <f t="shared" si="153"/>
        <v>0</v>
      </c>
      <c r="AW233" s="1954">
        <f t="shared" si="154"/>
        <v>0</v>
      </c>
      <c r="AX233" s="1954">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79"/>
      <c r="B234" s="1374"/>
      <c r="C234" s="1375"/>
      <c r="D234" s="76"/>
      <c r="E234" s="82">
        <f t="shared" si="149"/>
        <v>0</v>
      </c>
      <c r="F234" s="83"/>
      <c r="G234" s="84">
        <f t="shared" si="150"/>
        <v>0</v>
      </c>
      <c r="H234" s="85">
        <f t="shared" si="151"/>
        <v>0</v>
      </c>
      <c r="I234" s="1375"/>
      <c r="J234" s="86"/>
      <c r="K234" s="1375"/>
      <c r="L234" s="86"/>
      <c r="M234" s="86"/>
      <c r="N234" s="86"/>
      <c r="O234" s="86"/>
      <c r="P234" s="86"/>
      <c r="Q234" s="86"/>
      <c r="R234" s="86"/>
      <c r="S234" s="86"/>
      <c r="T234" s="86"/>
      <c r="U234" s="86"/>
      <c r="V234" s="86"/>
      <c r="W234" s="86"/>
      <c r="X234" s="86"/>
      <c r="Y234" s="86"/>
      <c r="Z234" s="86"/>
      <c r="AA234" s="86"/>
      <c r="AB234" s="86"/>
      <c r="AC234" s="82">
        <f t="shared" si="152"/>
        <v>0</v>
      </c>
      <c r="AD234" s="87"/>
      <c r="AE234" s="87"/>
      <c r="AF234" s="1375"/>
      <c r="AG234" s="87"/>
      <c r="AH234" s="87"/>
      <c r="AI234" s="87"/>
      <c r="AJ234" s="87"/>
      <c r="AK234" s="87"/>
      <c r="AL234" s="87"/>
      <c r="AM234" s="87"/>
      <c r="AN234" s="87"/>
      <c r="AO234" s="87"/>
      <c r="AP234" s="87"/>
      <c r="AQ234" s="87"/>
      <c r="AR234" s="87"/>
      <c r="AS234" s="87"/>
      <c r="AT234" s="88"/>
      <c r="AU234" s="89"/>
      <c r="AV234" s="1954">
        <f t="shared" si="153"/>
        <v>0</v>
      </c>
      <c r="AW234" s="1954">
        <f t="shared" si="154"/>
        <v>0</v>
      </c>
      <c r="AX234" s="1954">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79"/>
      <c r="B235" s="1374"/>
      <c r="C235" s="1375"/>
      <c r="D235" s="76"/>
      <c r="E235" s="82">
        <f t="shared" si="149"/>
        <v>0</v>
      </c>
      <c r="F235" s="83"/>
      <c r="G235" s="84">
        <f t="shared" si="150"/>
        <v>0</v>
      </c>
      <c r="H235" s="85">
        <f t="shared" si="151"/>
        <v>0</v>
      </c>
      <c r="I235" s="1375"/>
      <c r="J235" s="86"/>
      <c r="K235" s="1375"/>
      <c r="L235" s="86"/>
      <c r="M235" s="86"/>
      <c r="N235" s="86"/>
      <c r="O235" s="86"/>
      <c r="P235" s="86"/>
      <c r="Q235" s="86"/>
      <c r="R235" s="86"/>
      <c r="S235" s="86"/>
      <c r="T235" s="86"/>
      <c r="U235" s="86"/>
      <c r="V235" s="86"/>
      <c r="W235" s="86"/>
      <c r="X235" s="86"/>
      <c r="Y235" s="86"/>
      <c r="Z235" s="86"/>
      <c r="AA235" s="86"/>
      <c r="AB235" s="86"/>
      <c r="AC235" s="82">
        <f t="shared" si="152"/>
        <v>0</v>
      </c>
      <c r="AD235" s="87"/>
      <c r="AE235" s="87"/>
      <c r="AF235" s="1375"/>
      <c r="AG235" s="87"/>
      <c r="AH235" s="87"/>
      <c r="AI235" s="87"/>
      <c r="AJ235" s="87"/>
      <c r="AK235" s="87"/>
      <c r="AL235" s="87"/>
      <c r="AM235" s="87"/>
      <c r="AN235" s="87"/>
      <c r="AO235" s="87"/>
      <c r="AP235" s="87"/>
      <c r="AQ235" s="87"/>
      <c r="AR235" s="87"/>
      <c r="AS235" s="87"/>
      <c r="AT235" s="88"/>
      <c r="AU235" s="89"/>
      <c r="AV235" s="1954">
        <f t="shared" si="153"/>
        <v>0</v>
      </c>
      <c r="AW235" s="1954">
        <f t="shared" si="154"/>
        <v>0</v>
      </c>
      <c r="AX235" s="1954">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79"/>
      <c r="B236" s="1374"/>
      <c r="C236" s="1375"/>
      <c r="D236" s="76"/>
      <c r="E236" s="82">
        <f t="shared" si="149"/>
        <v>0</v>
      </c>
      <c r="F236" s="83"/>
      <c r="G236" s="84">
        <f t="shared" si="150"/>
        <v>0</v>
      </c>
      <c r="H236" s="85">
        <f t="shared" si="151"/>
        <v>0</v>
      </c>
      <c r="I236" s="1375"/>
      <c r="J236" s="86"/>
      <c r="K236" s="1375"/>
      <c r="L236" s="86"/>
      <c r="M236" s="86"/>
      <c r="N236" s="86"/>
      <c r="O236" s="86"/>
      <c r="P236" s="86"/>
      <c r="Q236" s="86"/>
      <c r="R236" s="86"/>
      <c r="S236" s="86"/>
      <c r="T236" s="86"/>
      <c r="U236" s="86"/>
      <c r="V236" s="86"/>
      <c r="W236" s="86"/>
      <c r="X236" s="86"/>
      <c r="Y236" s="86"/>
      <c r="Z236" s="86"/>
      <c r="AA236" s="86"/>
      <c r="AB236" s="86"/>
      <c r="AC236" s="82">
        <f t="shared" si="152"/>
        <v>0</v>
      </c>
      <c r="AD236" s="87"/>
      <c r="AE236" s="87"/>
      <c r="AF236" s="1375"/>
      <c r="AG236" s="87"/>
      <c r="AH236" s="87"/>
      <c r="AI236" s="87"/>
      <c r="AJ236" s="87"/>
      <c r="AK236" s="87"/>
      <c r="AL236" s="87"/>
      <c r="AM236" s="87"/>
      <c r="AN236" s="87"/>
      <c r="AO236" s="87"/>
      <c r="AP236" s="87"/>
      <c r="AQ236" s="87"/>
      <c r="AR236" s="87"/>
      <c r="AS236" s="87"/>
      <c r="AT236" s="88"/>
      <c r="AU236" s="89"/>
      <c r="AV236" s="1954">
        <f t="shared" si="153"/>
        <v>0</v>
      </c>
      <c r="AW236" s="1954">
        <f t="shared" si="154"/>
        <v>0</v>
      </c>
      <c r="AX236" s="1954">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79"/>
      <c r="B237" s="1374"/>
      <c r="C237" s="1375"/>
      <c r="D237" s="76"/>
      <c r="E237" s="82">
        <f t="shared" si="149"/>
        <v>0</v>
      </c>
      <c r="F237" s="83"/>
      <c r="G237" s="84">
        <f t="shared" si="150"/>
        <v>0</v>
      </c>
      <c r="H237" s="85">
        <f t="shared" si="151"/>
        <v>0</v>
      </c>
      <c r="I237" s="1375"/>
      <c r="J237" s="86"/>
      <c r="K237" s="1375"/>
      <c r="L237" s="86"/>
      <c r="M237" s="86"/>
      <c r="N237" s="86"/>
      <c r="O237" s="86"/>
      <c r="P237" s="86"/>
      <c r="Q237" s="86"/>
      <c r="R237" s="86"/>
      <c r="S237" s="86"/>
      <c r="T237" s="86"/>
      <c r="U237" s="86"/>
      <c r="V237" s="86"/>
      <c r="W237" s="86"/>
      <c r="X237" s="86"/>
      <c r="Y237" s="86"/>
      <c r="Z237" s="86"/>
      <c r="AA237" s="86"/>
      <c r="AB237" s="86"/>
      <c r="AC237" s="82">
        <f t="shared" si="152"/>
        <v>0</v>
      </c>
      <c r="AD237" s="87"/>
      <c r="AE237" s="87"/>
      <c r="AF237" s="1375"/>
      <c r="AG237" s="87"/>
      <c r="AH237" s="87"/>
      <c r="AI237" s="87"/>
      <c r="AJ237" s="87"/>
      <c r="AK237" s="87"/>
      <c r="AL237" s="87"/>
      <c r="AM237" s="87"/>
      <c r="AN237" s="87"/>
      <c r="AO237" s="87"/>
      <c r="AP237" s="87"/>
      <c r="AQ237" s="87"/>
      <c r="AR237" s="87"/>
      <c r="AS237" s="87"/>
      <c r="AT237" s="88"/>
      <c r="AU237" s="89"/>
      <c r="AV237" s="1954">
        <f t="shared" si="153"/>
        <v>0</v>
      </c>
      <c r="AW237" s="1954">
        <f t="shared" si="154"/>
        <v>0</v>
      </c>
      <c r="AX237" s="1954">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79"/>
      <c r="B238" s="1374"/>
      <c r="C238" s="1375"/>
      <c r="D238" s="76"/>
      <c r="E238" s="82">
        <f t="shared" si="149"/>
        <v>0</v>
      </c>
      <c r="F238" s="83"/>
      <c r="G238" s="84">
        <f t="shared" si="150"/>
        <v>0</v>
      </c>
      <c r="H238" s="85">
        <f t="shared" si="151"/>
        <v>0</v>
      </c>
      <c r="I238" s="1375"/>
      <c r="J238" s="86"/>
      <c r="K238" s="1375"/>
      <c r="L238" s="86"/>
      <c r="M238" s="86"/>
      <c r="N238" s="86"/>
      <c r="O238" s="86"/>
      <c r="P238" s="86"/>
      <c r="Q238" s="86"/>
      <c r="R238" s="86"/>
      <c r="S238" s="86"/>
      <c r="T238" s="86"/>
      <c r="U238" s="86"/>
      <c r="V238" s="86"/>
      <c r="W238" s="86"/>
      <c r="X238" s="86"/>
      <c r="Y238" s="86"/>
      <c r="Z238" s="86"/>
      <c r="AA238" s="86"/>
      <c r="AB238" s="86"/>
      <c r="AC238" s="82">
        <f t="shared" si="152"/>
        <v>0</v>
      </c>
      <c r="AD238" s="87"/>
      <c r="AE238" s="87"/>
      <c r="AF238" s="1375"/>
      <c r="AG238" s="87"/>
      <c r="AH238" s="87"/>
      <c r="AI238" s="87"/>
      <c r="AJ238" s="87"/>
      <c r="AK238" s="87"/>
      <c r="AL238" s="87"/>
      <c r="AM238" s="87"/>
      <c r="AN238" s="87"/>
      <c r="AO238" s="87"/>
      <c r="AP238" s="87"/>
      <c r="AQ238" s="87"/>
      <c r="AR238" s="87"/>
      <c r="AS238" s="87"/>
      <c r="AT238" s="88"/>
      <c r="AU238" s="89"/>
      <c r="AV238" s="1954">
        <f t="shared" si="153"/>
        <v>0</v>
      </c>
      <c r="AW238" s="1954">
        <f t="shared" si="154"/>
        <v>0</v>
      </c>
      <c r="AX238" s="1954">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79"/>
      <c r="B239" s="1376"/>
      <c r="C239" s="1377"/>
      <c r="D239" s="76"/>
      <c r="E239" s="82">
        <f t="shared" si="149"/>
        <v>0</v>
      </c>
      <c r="F239" s="83"/>
      <c r="G239" s="84">
        <f t="shared" si="150"/>
        <v>0</v>
      </c>
      <c r="H239" s="85">
        <f t="shared" si="151"/>
        <v>0</v>
      </c>
      <c r="I239" s="1375"/>
      <c r="J239" s="86"/>
      <c r="K239" s="1375"/>
      <c r="L239" s="86"/>
      <c r="M239" s="1375"/>
      <c r="N239" s="86"/>
      <c r="O239" s="86"/>
      <c r="P239" s="86"/>
      <c r="Q239" s="86"/>
      <c r="R239" s="86"/>
      <c r="S239" s="86"/>
      <c r="T239" s="86"/>
      <c r="U239" s="86"/>
      <c r="V239" s="86"/>
      <c r="W239" s="86"/>
      <c r="X239" s="86"/>
      <c r="Y239" s="86"/>
      <c r="Z239" s="86"/>
      <c r="AA239" s="86"/>
      <c r="AB239" s="86"/>
      <c r="AC239" s="82">
        <f t="shared" si="152"/>
        <v>0</v>
      </c>
      <c r="AD239" s="87"/>
      <c r="AE239" s="87"/>
      <c r="AF239" s="1375"/>
      <c r="AG239" s="87"/>
      <c r="AH239" s="87"/>
      <c r="AI239" s="87"/>
      <c r="AJ239" s="87"/>
      <c r="AK239" s="87"/>
      <c r="AL239" s="87"/>
      <c r="AM239" s="87"/>
      <c r="AN239" s="87"/>
      <c r="AO239" s="87"/>
      <c r="AP239" s="87"/>
      <c r="AQ239" s="87"/>
      <c r="AR239" s="87"/>
      <c r="AS239" s="87"/>
      <c r="AT239" s="88"/>
      <c r="AU239" s="89"/>
      <c r="AV239" s="1954">
        <f t="shared" si="153"/>
        <v>0</v>
      </c>
      <c r="AW239" s="1954">
        <f t="shared" si="154"/>
        <v>0</v>
      </c>
      <c r="AX239" s="1954">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79"/>
      <c r="B240" s="80"/>
      <c r="C240" s="80"/>
      <c r="D240" s="81"/>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954">
        <f t="shared" si="153"/>
        <v>0</v>
      </c>
      <c r="AW240" s="1954">
        <f t="shared" si="154"/>
        <v>0</v>
      </c>
      <c r="AX240" s="1954">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79"/>
      <c r="B241" s="80"/>
      <c r="C241" s="80"/>
      <c r="D241" s="81"/>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954">
        <f t="shared" si="153"/>
        <v>0</v>
      </c>
      <c r="AW241" s="1954">
        <f t="shared" si="154"/>
        <v>0</v>
      </c>
      <c r="AX241" s="1954">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79"/>
      <c r="B242" s="80"/>
      <c r="C242" s="80"/>
      <c r="D242" s="81"/>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954">
        <f t="shared" si="153"/>
        <v>0</v>
      </c>
      <c r="AW242" s="1954">
        <f t="shared" si="154"/>
        <v>0</v>
      </c>
      <c r="AX242" s="1954">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79"/>
      <c r="B243" s="80"/>
      <c r="C243" s="80"/>
      <c r="D243" s="81"/>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954">
        <f t="shared" si="153"/>
        <v>0</v>
      </c>
      <c r="AW243" s="1954">
        <f t="shared" si="154"/>
        <v>0</v>
      </c>
      <c r="AX243" s="1954">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79"/>
      <c r="B244" s="80"/>
      <c r="C244" s="80"/>
      <c r="D244" s="81"/>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954">
        <f t="shared" si="153"/>
        <v>0</v>
      </c>
      <c r="AW244" s="1954">
        <f t="shared" si="154"/>
        <v>0</v>
      </c>
      <c r="AX244" s="1954">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79"/>
      <c r="B245" s="80"/>
      <c r="C245" s="80"/>
      <c r="D245" s="81"/>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954">
        <f t="shared" si="153"/>
        <v>0</v>
      </c>
      <c r="AW245" s="1954">
        <f t="shared" si="154"/>
        <v>0</v>
      </c>
      <c r="AX245" s="1954">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79"/>
      <c r="B246" s="80"/>
      <c r="C246" s="80"/>
      <c r="D246" s="81"/>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954">
        <f t="shared" si="153"/>
        <v>0</v>
      </c>
      <c r="AW246" s="1954">
        <f t="shared" si="154"/>
        <v>0</v>
      </c>
      <c r="AX246" s="1954">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79"/>
      <c r="B247" s="80"/>
      <c r="C247" s="80"/>
      <c r="D247" s="81"/>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954">
        <f t="shared" si="153"/>
        <v>0</v>
      </c>
      <c r="AW247" s="1954">
        <f t="shared" si="154"/>
        <v>0</v>
      </c>
      <c r="AX247" s="1954">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79"/>
      <c r="B248" s="80"/>
      <c r="C248" s="80"/>
      <c r="D248" s="81"/>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954">
        <f t="shared" si="153"/>
        <v>0</v>
      </c>
      <c r="AW248" s="1954">
        <f t="shared" si="154"/>
        <v>0</v>
      </c>
      <c r="AX248" s="1954">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79"/>
      <c r="B249" s="80"/>
      <c r="C249" s="80"/>
      <c r="D249" s="81"/>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954">
        <f t="shared" si="153"/>
        <v>0</v>
      </c>
      <c r="AW249" s="1954">
        <f t="shared" si="154"/>
        <v>0</v>
      </c>
      <c r="AX249" s="1954">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79"/>
      <c r="B250" s="80"/>
      <c r="C250" s="80"/>
      <c r="D250" s="81"/>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954">
        <f t="shared" si="153"/>
        <v>0</v>
      </c>
      <c r="AW250" s="1954">
        <f t="shared" si="154"/>
        <v>0</v>
      </c>
      <c r="AX250" s="1954">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79"/>
      <c r="B251" s="80"/>
      <c r="C251" s="80"/>
      <c r="D251" s="81"/>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954">
        <f t="shared" si="153"/>
        <v>0</v>
      </c>
      <c r="AW251" s="1954">
        <f t="shared" si="154"/>
        <v>0</v>
      </c>
      <c r="AX251" s="1954">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79"/>
      <c r="B252" s="80"/>
      <c r="C252" s="80"/>
      <c r="D252" s="81"/>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954">
        <f t="shared" si="153"/>
        <v>0</v>
      </c>
      <c r="AW252" s="1954">
        <f t="shared" si="154"/>
        <v>0</v>
      </c>
      <c r="AX252" s="1954">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79"/>
      <c r="B253" s="80"/>
      <c r="C253" s="80"/>
      <c r="D253" s="81"/>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954">
        <f t="shared" si="153"/>
        <v>0</v>
      </c>
      <c r="AW253" s="1954">
        <f t="shared" si="154"/>
        <v>0</v>
      </c>
      <c r="AX253" s="1954">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79"/>
      <c r="B254" s="80"/>
      <c r="C254" s="80"/>
      <c r="D254" s="81"/>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954">
        <f t="shared" si="153"/>
        <v>0</v>
      </c>
      <c r="AW254" s="1954">
        <f t="shared" si="154"/>
        <v>0</v>
      </c>
      <c r="AX254" s="1954">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79"/>
      <c r="B255" s="80"/>
      <c r="C255" s="80"/>
      <c r="D255" s="81"/>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954">
        <f t="shared" si="153"/>
        <v>0</v>
      </c>
      <c r="AW255" s="1954">
        <f t="shared" si="154"/>
        <v>0</v>
      </c>
      <c r="AX255" s="1954">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79"/>
      <c r="B256" s="80"/>
      <c r="C256" s="80"/>
      <c r="D256" s="81"/>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954">
        <f t="shared" si="153"/>
        <v>0</v>
      </c>
      <c r="AW256" s="1954">
        <f t="shared" si="154"/>
        <v>0</v>
      </c>
      <c r="AX256" s="1954">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79"/>
      <c r="B257" s="80"/>
      <c r="C257" s="80"/>
      <c r="D257" s="81"/>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954">
        <f t="shared" si="153"/>
        <v>0</v>
      </c>
      <c r="AW257" s="1954">
        <f t="shared" si="154"/>
        <v>0</v>
      </c>
      <c r="AX257" s="1954">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79"/>
      <c r="B258" s="80"/>
      <c r="C258" s="80"/>
      <c r="D258" s="81"/>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954">
        <f t="shared" si="153"/>
        <v>0</v>
      </c>
      <c r="AW258" s="1954">
        <f t="shared" si="154"/>
        <v>0</v>
      </c>
      <c r="AX258" s="1954">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79"/>
      <c r="B259" s="80"/>
      <c r="C259" s="80"/>
      <c r="D259" s="81"/>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954">
        <f t="shared" si="153"/>
        <v>0</v>
      </c>
      <c r="AW259" s="1954">
        <f t="shared" si="154"/>
        <v>0</v>
      </c>
      <c r="AX259" s="1954">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79"/>
      <c r="B260" s="80"/>
      <c r="C260" s="80"/>
      <c r="D260" s="81"/>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954">
        <f t="shared" si="153"/>
        <v>0</v>
      </c>
      <c r="AW260" s="1954">
        <f t="shared" si="154"/>
        <v>0</v>
      </c>
      <c r="AX260" s="1954">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79"/>
      <c r="B261" s="80"/>
      <c r="C261" s="80"/>
      <c r="D261" s="81"/>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954">
        <f t="shared" si="153"/>
        <v>0</v>
      </c>
      <c r="AW261" s="1954">
        <f t="shared" si="154"/>
        <v>0</v>
      </c>
      <c r="AX261" s="1954">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79"/>
      <c r="B262" s="80"/>
      <c r="C262" s="80"/>
      <c r="D262" s="81"/>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954">
        <f t="shared" si="153"/>
        <v>0</v>
      </c>
      <c r="AW262" s="1954">
        <f t="shared" si="154"/>
        <v>0</v>
      </c>
      <c r="AX262" s="1954">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79"/>
      <c r="B263" s="80"/>
      <c r="C263" s="80"/>
      <c r="D263" s="81"/>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954">
        <f t="shared" si="153"/>
        <v>0</v>
      </c>
      <c r="AW263" s="1954">
        <f t="shared" si="154"/>
        <v>0</v>
      </c>
      <c r="AX263" s="1954">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79"/>
      <c r="B264" s="80"/>
      <c r="C264" s="80"/>
      <c r="D264" s="81"/>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954">
        <f t="shared" si="153"/>
        <v>0</v>
      </c>
      <c r="AW264" s="1954">
        <f t="shared" si="154"/>
        <v>0</v>
      </c>
      <c r="AX264" s="1954">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79"/>
      <c r="B265" s="80"/>
      <c r="C265" s="80"/>
      <c r="D265" s="81"/>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954">
        <f t="shared" si="153"/>
        <v>0</v>
      </c>
      <c r="AW265" s="1954">
        <f t="shared" si="154"/>
        <v>0</v>
      </c>
      <c r="AX265" s="1954">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79"/>
      <c r="B266" s="80"/>
      <c r="C266" s="80"/>
      <c r="D266" s="81"/>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954">
        <f t="shared" si="153"/>
        <v>0</v>
      </c>
      <c r="AW266" s="1954">
        <f t="shared" si="154"/>
        <v>0</v>
      </c>
      <c r="AX266" s="1954">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79"/>
      <c r="B267" s="80"/>
      <c r="C267" s="80"/>
      <c r="D267" s="81"/>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954">
        <f t="shared" si="153"/>
        <v>0</v>
      </c>
      <c r="AW267" s="1954">
        <f t="shared" si="154"/>
        <v>0</v>
      </c>
      <c r="AX267" s="1954">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79"/>
      <c r="B268" s="80"/>
      <c r="C268" s="80"/>
      <c r="D268" s="81"/>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954">
        <f t="shared" si="153"/>
        <v>0</v>
      </c>
      <c r="AW268" s="1954">
        <f t="shared" si="154"/>
        <v>0</v>
      </c>
      <c r="AX268" s="1954">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79"/>
      <c r="B269" s="80"/>
      <c r="C269" s="80"/>
      <c r="D269" s="81"/>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954">
        <f t="shared" si="153"/>
        <v>0</v>
      </c>
      <c r="AW269" s="1954">
        <f t="shared" si="154"/>
        <v>0</v>
      </c>
      <c r="AX269" s="1954">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79"/>
      <c r="B270" s="80"/>
      <c r="C270" s="80"/>
      <c r="D270" s="81"/>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954">
        <f t="shared" si="153"/>
        <v>0</v>
      </c>
      <c r="AW270" s="1954">
        <f t="shared" si="154"/>
        <v>0</v>
      </c>
      <c r="AX270" s="1954">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79"/>
      <c r="B271" s="80"/>
      <c r="C271" s="80"/>
      <c r="D271" s="81"/>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954">
        <f t="shared" si="153"/>
        <v>0</v>
      </c>
      <c r="AW271" s="1954">
        <f t="shared" si="154"/>
        <v>0</v>
      </c>
      <c r="AX271" s="1954">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79"/>
      <c r="B272" s="80"/>
      <c r="C272" s="80"/>
      <c r="D272" s="81"/>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954">
        <f t="shared" si="153"/>
        <v>0</v>
      </c>
      <c r="AW272" s="1954">
        <f t="shared" si="154"/>
        <v>0</v>
      </c>
      <c r="AX272" s="1954">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79"/>
      <c r="B273" s="80"/>
      <c r="C273" s="80"/>
      <c r="D273" s="81"/>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954">
        <f t="shared" si="153"/>
        <v>0</v>
      </c>
      <c r="AW273" s="1954">
        <f t="shared" si="154"/>
        <v>0</v>
      </c>
      <c r="AX273" s="1954">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79"/>
      <c r="B274" s="80"/>
      <c r="C274" s="80"/>
      <c r="D274" s="81"/>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954">
        <f t="shared" si="153"/>
        <v>0</v>
      </c>
      <c r="AW274" s="1954">
        <f t="shared" si="154"/>
        <v>0</v>
      </c>
      <c r="AX274" s="1954">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79"/>
      <c r="B275" s="80"/>
      <c r="C275" s="80"/>
      <c r="D275" s="81"/>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954">
        <f t="shared" si="153"/>
        <v>0</v>
      </c>
      <c r="AW275" s="1954">
        <f t="shared" si="154"/>
        <v>0</v>
      </c>
      <c r="AX275" s="1954">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79"/>
      <c r="B276" s="80"/>
      <c r="C276" s="80"/>
      <c r="D276" s="81"/>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954">
        <f t="shared" si="153"/>
        <v>0</v>
      </c>
      <c r="AW276" s="1954">
        <f t="shared" si="154"/>
        <v>0</v>
      </c>
      <c r="AX276" s="1954">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79"/>
      <c r="B277" s="80"/>
      <c r="C277" s="80"/>
      <c r="D277" s="81"/>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954">
        <f t="shared" si="153"/>
        <v>0</v>
      </c>
      <c r="AW277" s="1954">
        <f t="shared" si="154"/>
        <v>0</v>
      </c>
      <c r="AX277" s="1954">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79"/>
      <c r="B278" s="80"/>
      <c r="C278" s="80"/>
      <c r="D278" s="81"/>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954">
        <f t="shared" si="153"/>
        <v>0</v>
      </c>
      <c r="AW278" s="1954">
        <f t="shared" si="154"/>
        <v>0</v>
      </c>
      <c r="AX278" s="1954">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79"/>
      <c r="B279" s="80"/>
      <c r="C279" s="80"/>
      <c r="D279" s="81"/>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954">
        <f t="shared" si="153"/>
        <v>0</v>
      </c>
      <c r="AW279" s="1954">
        <f t="shared" si="154"/>
        <v>0</v>
      </c>
      <c r="AX279" s="1954">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79"/>
      <c r="B280" s="80"/>
      <c r="C280" s="80"/>
      <c r="D280" s="81"/>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954">
        <f t="shared" si="153"/>
        <v>0</v>
      </c>
      <c r="AW280" s="1954">
        <f t="shared" si="154"/>
        <v>0</v>
      </c>
      <c r="AX280" s="1954">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79"/>
      <c r="B281" s="80"/>
      <c r="C281" s="80"/>
      <c r="D281" s="81"/>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954">
        <f t="shared" si="153"/>
        <v>0</v>
      </c>
      <c r="AW281" s="1954">
        <f t="shared" si="154"/>
        <v>0</v>
      </c>
      <c r="AX281" s="1954">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79"/>
      <c r="B282" s="80"/>
      <c r="C282" s="80"/>
      <c r="D282" s="81"/>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954">
        <f t="shared" si="153"/>
        <v>0</v>
      </c>
      <c r="AW282" s="1954">
        <f t="shared" si="154"/>
        <v>0</v>
      </c>
      <c r="AX282" s="1954">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79"/>
      <c r="B283" s="80"/>
      <c r="C283" s="80"/>
      <c r="D283" s="81"/>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954">
        <f t="shared" si="153"/>
        <v>0</v>
      </c>
      <c r="AW283" s="1954">
        <f t="shared" si="154"/>
        <v>0</v>
      </c>
      <c r="AX283" s="1954">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79"/>
      <c r="B284" s="80"/>
      <c r="C284" s="80"/>
      <c r="D284" s="81"/>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954">
        <f t="shared" si="153"/>
        <v>0</v>
      </c>
      <c r="AW284" s="1954">
        <f t="shared" si="154"/>
        <v>0</v>
      </c>
      <c r="AX284" s="1954">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79"/>
      <c r="B285" s="80"/>
      <c r="C285" s="80"/>
      <c r="D285" s="81"/>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954">
        <f t="shared" si="153"/>
        <v>0</v>
      </c>
      <c r="AW285" s="1954">
        <f t="shared" si="154"/>
        <v>0</v>
      </c>
      <c r="AX285" s="1954">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79"/>
      <c r="B286" s="80"/>
      <c r="C286" s="80"/>
      <c r="D286" s="81"/>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954">
        <f t="shared" si="153"/>
        <v>0</v>
      </c>
      <c r="AW286" s="1954">
        <f t="shared" si="154"/>
        <v>0</v>
      </c>
      <c r="AX286" s="1954">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79"/>
      <c r="B287" s="80"/>
      <c r="C287" s="80"/>
      <c r="D287" s="81"/>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954">
        <f t="shared" si="153"/>
        <v>0</v>
      </c>
      <c r="AW287" s="1954">
        <f t="shared" si="154"/>
        <v>0</v>
      </c>
      <c r="AX287" s="1954">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79"/>
      <c r="B288" s="80"/>
      <c r="C288" s="80"/>
      <c r="D288" s="81"/>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954">
        <f t="shared" si="153"/>
        <v>0</v>
      </c>
      <c r="AW288" s="1954">
        <f t="shared" si="154"/>
        <v>0</v>
      </c>
      <c r="AX288" s="1954">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79"/>
      <c r="B289" s="80"/>
      <c r="C289" s="80"/>
      <c r="D289" s="81"/>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954">
        <f t="shared" si="153"/>
        <v>0</v>
      </c>
      <c r="AW289" s="1954">
        <f t="shared" si="154"/>
        <v>0</v>
      </c>
      <c r="AX289" s="1954">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79"/>
      <c r="B290" s="80"/>
      <c r="C290" s="80"/>
      <c r="D290" s="81"/>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954">
        <f t="shared" si="153"/>
        <v>0</v>
      </c>
      <c r="AW290" s="1954">
        <f t="shared" si="154"/>
        <v>0</v>
      </c>
      <c r="AX290" s="1954">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79"/>
      <c r="B291" s="80"/>
      <c r="C291" s="80"/>
      <c r="D291" s="81"/>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954">
        <f t="shared" si="153"/>
        <v>0</v>
      </c>
      <c r="AW291" s="1954">
        <f t="shared" si="154"/>
        <v>0</v>
      </c>
      <c r="AX291" s="1954">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79"/>
      <c r="B292" s="80"/>
      <c r="C292" s="80"/>
      <c r="D292" s="81"/>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954">
        <f t="shared" si="153"/>
        <v>0</v>
      </c>
      <c r="AW292" s="1954">
        <f t="shared" si="154"/>
        <v>0</v>
      </c>
      <c r="AX292" s="1954">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79"/>
      <c r="B293" s="80"/>
      <c r="C293" s="80"/>
      <c r="D293" s="81"/>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954">
        <f t="shared" si="153"/>
        <v>0</v>
      </c>
      <c r="AW293" s="1954">
        <f t="shared" si="154"/>
        <v>0</v>
      </c>
      <c r="AX293" s="1954">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79"/>
      <c r="B294" s="79"/>
      <c r="C294" s="79"/>
      <c r="D294" s="81"/>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954">
        <f t="shared" si="153"/>
        <v>0</v>
      </c>
      <c r="AW294" s="1954">
        <f t="shared" si="154"/>
        <v>0</v>
      </c>
      <c r="AX294" s="1954">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79"/>
      <c r="B295" s="79"/>
      <c r="C295" s="79"/>
      <c r="D295" s="81"/>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954">
        <f t="shared" si="153"/>
        <v>0</v>
      </c>
      <c r="AW295" s="1954">
        <f t="shared" si="154"/>
        <v>0</v>
      </c>
      <c r="AX295" s="1954">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79"/>
      <c r="B296" s="79"/>
      <c r="C296" s="79"/>
      <c r="D296" s="81"/>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954">
        <f t="shared" si="153"/>
        <v>0</v>
      </c>
      <c r="AW296" s="1954">
        <f t="shared" si="154"/>
        <v>0</v>
      </c>
      <c r="AX296" s="1954">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79"/>
      <c r="B297" s="1374"/>
      <c r="C297" s="1375"/>
      <c r="D297" s="76"/>
      <c r="E297" s="82">
        <f t="shared" ref="E297:E328" si="203">IF($C$3="是",ROUND($A$3*G297/$B$3,2),ROUND($A$3*(G297-AT297)/$B$3,2))</f>
        <v>0</v>
      </c>
      <c r="F297" s="83"/>
      <c r="G297" s="84">
        <f t="shared" si="178"/>
        <v>0</v>
      </c>
      <c r="H297" s="85">
        <f t="shared" si="179"/>
        <v>0</v>
      </c>
      <c r="I297" s="1377"/>
      <c r="J297" s="86"/>
      <c r="K297" s="1377"/>
      <c r="L297" s="86"/>
      <c r="M297" s="86"/>
      <c r="N297" s="86"/>
      <c r="O297" s="86"/>
      <c r="P297" s="86"/>
      <c r="Q297" s="86"/>
      <c r="R297" s="86"/>
      <c r="S297" s="86"/>
      <c r="T297" s="86"/>
      <c r="U297" s="86"/>
      <c r="V297" s="86"/>
      <c r="W297" s="86"/>
      <c r="X297" s="86"/>
      <c r="Y297" s="86"/>
      <c r="Z297" s="86"/>
      <c r="AA297" s="86"/>
      <c r="AB297" s="86"/>
      <c r="AC297" s="82">
        <f t="shared" si="180"/>
        <v>0</v>
      </c>
      <c r="AD297" s="87"/>
      <c r="AE297" s="87"/>
      <c r="AF297" s="1378"/>
      <c r="AG297" s="87"/>
      <c r="AH297" s="87"/>
      <c r="AI297" s="87"/>
      <c r="AJ297" s="87"/>
      <c r="AK297" s="87"/>
      <c r="AL297" s="87"/>
      <c r="AM297" s="87"/>
      <c r="AN297" s="1350"/>
      <c r="AO297" s="87"/>
      <c r="AP297" s="87"/>
      <c r="AQ297" s="87"/>
      <c r="AR297" s="87"/>
      <c r="AS297" s="87"/>
      <c r="AT297" s="88"/>
      <c r="AU297" s="89"/>
      <c r="AV297" s="1954">
        <f t="shared" ref="AV297:AV328" si="204">A297</f>
        <v>0</v>
      </c>
      <c r="AW297" s="1954">
        <f t="shared" ref="AW297:AW328" si="205">B297</f>
        <v>0</v>
      </c>
      <c r="AX297" s="1954">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79"/>
      <c r="B298" s="1374"/>
      <c r="C298" s="1375"/>
      <c r="D298" s="76"/>
      <c r="E298" s="82">
        <f t="shared" si="203"/>
        <v>0</v>
      </c>
      <c r="F298" s="83"/>
      <c r="G298" s="84">
        <f t="shared" si="178"/>
        <v>0</v>
      </c>
      <c r="H298" s="85">
        <f t="shared" si="179"/>
        <v>0</v>
      </c>
      <c r="I298" s="1377"/>
      <c r="J298" s="86"/>
      <c r="K298" s="1377"/>
      <c r="L298" s="86"/>
      <c r="M298" s="1350"/>
      <c r="N298" s="86"/>
      <c r="O298" s="86"/>
      <c r="P298" s="86"/>
      <c r="Q298" s="86"/>
      <c r="R298" s="86"/>
      <c r="S298" s="86"/>
      <c r="T298" s="86"/>
      <c r="U298" s="86"/>
      <c r="V298" s="86"/>
      <c r="W298" s="86"/>
      <c r="X298" s="86"/>
      <c r="Y298" s="86"/>
      <c r="Z298" s="86"/>
      <c r="AA298" s="86"/>
      <c r="AB298" s="86"/>
      <c r="AC298" s="82">
        <f t="shared" si="180"/>
        <v>0</v>
      </c>
      <c r="AD298" s="1350"/>
      <c r="AE298" s="87"/>
      <c r="AF298" s="1378"/>
      <c r="AG298" s="87"/>
      <c r="AH298" s="87"/>
      <c r="AI298" s="87"/>
      <c r="AJ298" s="87"/>
      <c r="AK298" s="87"/>
      <c r="AL298" s="1350"/>
      <c r="AM298" s="87"/>
      <c r="AN298" s="1350"/>
      <c r="AO298" s="87"/>
      <c r="AP298" s="87"/>
      <c r="AQ298" s="87"/>
      <c r="AR298" s="87"/>
      <c r="AS298" s="87"/>
      <c r="AT298" s="88"/>
      <c r="AU298" s="89"/>
      <c r="AV298" s="1954">
        <f t="shared" si="204"/>
        <v>0</v>
      </c>
      <c r="AW298" s="1954">
        <f t="shared" si="205"/>
        <v>0</v>
      </c>
      <c r="AX298" s="1954">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79"/>
      <c r="B299" s="1374"/>
      <c r="C299" s="1375"/>
      <c r="D299" s="76"/>
      <c r="E299" s="82">
        <f t="shared" si="203"/>
        <v>0</v>
      </c>
      <c r="F299" s="83"/>
      <c r="G299" s="84">
        <f t="shared" si="178"/>
        <v>0</v>
      </c>
      <c r="H299" s="85">
        <f t="shared" si="179"/>
        <v>0</v>
      </c>
      <c r="I299" s="1377"/>
      <c r="J299" s="86"/>
      <c r="K299" s="1377"/>
      <c r="L299" s="86"/>
      <c r="M299" s="1350"/>
      <c r="N299" s="86"/>
      <c r="O299" s="86"/>
      <c r="P299" s="86"/>
      <c r="Q299" s="86"/>
      <c r="R299" s="86"/>
      <c r="S299" s="86"/>
      <c r="T299" s="86"/>
      <c r="U299" s="86"/>
      <c r="V299" s="86"/>
      <c r="W299" s="86"/>
      <c r="X299" s="86"/>
      <c r="Y299" s="86"/>
      <c r="Z299" s="86"/>
      <c r="AA299" s="86"/>
      <c r="AB299" s="86"/>
      <c r="AC299" s="82">
        <f t="shared" si="180"/>
        <v>0</v>
      </c>
      <c r="AD299" s="87"/>
      <c r="AE299" s="87"/>
      <c r="AF299" s="1378"/>
      <c r="AG299" s="87"/>
      <c r="AH299" s="87"/>
      <c r="AI299" s="87"/>
      <c r="AJ299" s="87"/>
      <c r="AK299" s="87"/>
      <c r="AL299" s="1350"/>
      <c r="AM299" s="87"/>
      <c r="AN299" s="1350"/>
      <c r="AO299" s="87"/>
      <c r="AP299" s="87"/>
      <c r="AQ299" s="87"/>
      <c r="AR299" s="87"/>
      <c r="AS299" s="87"/>
      <c r="AT299" s="88"/>
      <c r="AU299" s="89"/>
      <c r="AV299" s="1954">
        <f t="shared" si="204"/>
        <v>0</v>
      </c>
      <c r="AW299" s="1954">
        <f t="shared" si="205"/>
        <v>0</v>
      </c>
      <c r="AX299" s="1954">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79"/>
      <c r="B300" s="1374"/>
      <c r="C300" s="1375"/>
      <c r="D300" s="76"/>
      <c r="E300" s="82">
        <f t="shared" si="203"/>
        <v>0</v>
      </c>
      <c r="F300" s="83"/>
      <c r="G300" s="84">
        <f t="shared" si="178"/>
        <v>0</v>
      </c>
      <c r="H300" s="85">
        <f t="shared" si="179"/>
        <v>0</v>
      </c>
      <c r="I300" s="1377"/>
      <c r="J300" s="86"/>
      <c r="K300" s="1377"/>
      <c r="L300" s="86"/>
      <c r="M300" s="86"/>
      <c r="N300" s="86"/>
      <c r="O300" s="1350"/>
      <c r="P300" s="86"/>
      <c r="Q300" s="86"/>
      <c r="R300" s="86"/>
      <c r="S300" s="86"/>
      <c r="T300" s="86"/>
      <c r="U300" s="86"/>
      <c r="V300" s="86"/>
      <c r="W300" s="86"/>
      <c r="X300" s="86"/>
      <c r="Y300" s="86"/>
      <c r="Z300" s="86"/>
      <c r="AA300" s="86"/>
      <c r="AB300" s="86"/>
      <c r="AC300" s="82">
        <f t="shared" si="180"/>
        <v>0</v>
      </c>
      <c r="AD300" s="87"/>
      <c r="AE300" s="87"/>
      <c r="AF300" s="1378"/>
      <c r="AG300" s="87"/>
      <c r="AH300" s="87"/>
      <c r="AI300" s="87"/>
      <c r="AJ300" s="87"/>
      <c r="AK300" s="87"/>
      <c r="AL300" s="87"/>
      <c r="AM300" s="87"/>
      <c r="AN300" s="1350"/>
      <c r="AO300" s="87"/>
      <c r="AP300" s="87"/>
      <c r="AQ300" s="87"/>
      <c r="AR300" s="87"/>
      <c r="AS300" s="87"/>
      <c r="AT300" s="88"/>
      <c r="AU300" s="89"/>
      <c r="AV300" s="1954">
        <f t="shared" si="204"/>
        <v>0</v>
      </c>
      <c r="AW300" s="1954">
        <f t="shared" si="205"/>
        <v>0</v>
      </c>
      <c r="AX300" s="1954">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79"/>
      <c r="B301" s="1374"/>
      <c r="C301" s="1375"/>
      <c r="D301" s="76"/>
      <c r="E301" s="82">
        <f t="shared" si="203"/>
        <v>0</v>
      </c>
      <c r="F301" s="83"/>
      <c r="G301" s="84">
        <f t="shared" si="178"/>
        <v>0</v>
      </c>
      <c r="H301" s="85">
        <f t="shared" si="179"/>
        <v>0</v>
      </c>
      <c r="I301" s="1377"/>
      <c r="J301" s="86"/>
      <c r="K301" s="1377"/>
      <c r="L301" s="86"/>
      <c r="M301" s="86"/>
      <c r="N301" s="86"/>
      <c r="O301" s="86"/>
      <c r="P301" s="86"/>
      <c r="Q301" s="86"/>
      <c r="R301" s="86"/>
      <c r="S301" s="86"/>
      <c r="T301" s="86"/>
      <c r="U301" s="86"/>
      <c r="V301" s="86"/>
      <c r="W301" s="86"/>
      <c r="X301" s="86"/>
      <c r="Y301" s="86"/>
      <c r="Z301" s="86"/>
      <c r="AA301" s="86"/>
      <c r="AB301" s="86"/>
      <c r="AC301" s="82">
        <f t="shared" si="180"/>
        <v>0</v>
      </c>
      <c r="AD301" s="87"/>
      <c r="AE301" s="87"/>
      <c r="AF301" s="1378"/>
      <c r="AG301" s="87"/>
      <c r="AH301" s="87"/>
      <c r="AI301" s="87"/>
      <c r="AJ301" s="87"/>
      <c r="AK301" s="87"/>
      <c r="AL301" s="87"/>
      <c r="AM301" s="87"/>
      <c r="AN301" s="87"/>
      <c r="AO301" s="87"/>
      <c r="AP301" s="87"/>
      <c r="AQ301" s="87"/>
      <c r="AR301" s="87"/>
      <c r="AS301" s="87"/>
      <c r="AT301" s="88"/>
      <c r="AU301" s="89"/>
      <c r="AV301" s="1954">
        <f t="shared" si="204"/>
        <v>0</v>
      </c>
      <c r="AW301" s="1954">
        <f t="shared" si="205"/>
        <v>0</v>
      </c>
      <c r="AX301" s="1954">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79"/>
      <c r="B302" s="1374"/>
      <c r="C302" s="1375"/>
      <c r="D302" s="76"/>
      <c r="E302" s="82">
        <f t="shared" si="203"/>
        <v>0</v>
      </c>
      <c r="F302" s="83"/>
      <c r="G302" s="84">
        <f t="shared" si="178"/>
        <v>0</v>
      </c>
      <c r="H302" s="85">
        <f t="shared" si="179"/>
        <v>0</v>
      </c>
      <c r="I302" s="1377"/>
      <c r="J302" s="86"/>
      <c r="K302" s="1377"/>
      <c r="L302" s="86"/>
      <c r="M302" s="86"/>
      <c r="N302" s="86"/>
      <c r="O302" s="86"/>
      <c r="P302" s="86"/>
      <c r="Q302" s="86"/>
      <c r="R302" s="86"/>
      <c r="S302" s="86"/>
      <c r="T302" s="86"/>
      <c r="U302" s="86"/>
      <c r="V302" s="86"/>
      <c r="W302" s="86"/>
      <c r="X302" s="86"/>
      <c r="Y302" s="86"/>
      <c r="Z302" s="86"/>
      <c r="AA302" s="86"/>
      <c r="AB302" s="86"/>
      <c r="AC302" s="82">
        <f t="shared" si="180"/>
        <v>0</v>
      </c>
      <c r="AD302" s="87"/>
      <c r="AE302" s="87"/>
      <c r="AF302" s="1378"/>
      <c r="AG302" s="87"/>
      <c r="AH302" s="87"/>
      <c r="AI302" s="87"/>
      <c r="AJ302" s="87"/>
      <c r="AK302" s="87"/>
      <c r="AL302" s="87"/>
      <c r="AM302" s="87"/>
      <c r="AN302" s="87"/>
      <c r="AO302" s="87"/>
      <c r="AP302" s="87"/>
      <c r="AQ302" s="87"/>
      <c r="AR302" s="87"/>
      <c r="AS302" s="87"/>
      <c r="AT302" s="88"/>
      <c r="AU302" s="89"/>
      <c r="AV302" s="1954">
        <f t="shared" si="204"/>
        <v>0</v>
      </c>
      <c r="AW302" s="1954">
        <f t="shared" si="205"/>
        <v>0</v>
      </c>
      <c r="AX302" s="1954">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79"/>
      <c r="B303" s="1374"/>
      <c r="C303" s="1375"/>
      <c r="D303" s="76"/>
      <c r="E303" s="82">
        <f t="shared" si="203"/>
        <v>0</v>
      </c>
      <c r="F303" s="83"/>
      <c r="G303" s="84">
        <f t="shared" si="178"/>
        <v>0</v>
      </c>
      <c r="H303" s="85">
        <f t="shared" si="179"/>
        <v>0</v>
      </c>
      <c r="I303" s="1377"/>
      <c r="J303" s="86"/>
      <c r="K303" s="1377"/>
      <c r="L303" s="86"/>
      <c r="M303" s="86"/>
      <c r="N303" s="86"/>
      <c r="O303" s="86"/>
      <c r="P303" s="86"/>
      <c r="Q303" s="86"/>
      <c r="R303" s="86"/>
      <c r="S303" s="86"/>
      <c r="T303" s="86"/>
      <c r="U303" s="86"/>
      <c r="V303" s="86"/>
      <c r="W303" s="86"/>
      <c r="X303" s="86"/>
      <c r="Y303" s="86"/>
      <c r="Z303" s="86"/>
      <c r="AA303" s="86"/>
      <c r="AB303" s="86"/>
      <c r="AC303" s="82">
        <f t="shared" si="180"/>
        <v>0</v>
      </c>
      <c r="AD303" s="87"/>
      <c r="AE303" s="87"/>
      <c r="AF303" s="1378"/>
      <c r="AG303" s="87"/>
      <c r="AH303" s="87"/>
      <c r="AI303" s="87"/>
      <c r="AJ303" s="87"/>
      <c r="AK303" s="87"/>
      <c r="AL303" s="87"/>
      <c r="AM303" s="87"/>
      <c r="AN303" s="87"/>
      <c r="AO303" s="87"/>
      <c r="AP303" s="87"/>
      <c r="AQ303" s="87"/>
      <c r="AR303" s="87"/>
      <c r="AS303" s="87"/>
      <c r="AT303" s="88"/>
      <c r="AU303" s="89"/>
      <c r="AV303" s="1954">
        <f t="shared" si="204"/>
        <v>0</v>
      </c>
      <c r="AW303" s="1954">
        <f t="shared" si="205"/>
        <v>0</v>
      </c>
      <c r="AX303" s="1954">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79"/>
      <c r="B304" s="1374"/>
      <c r="C304" s="1375"/>
      <c r="D304" s="76"/>
      <c r="E304" s="82">
        <f t="shared" si="203"/>
        <v>0</v>
      </c>
      <c r="F304" s="83"/>
      <c r="G304" s="84">
        <f t="shared" si="178"/>
        <v>0</v>
      </c>
      <c r="H304" s="85">
        <f t="shared" si="179"/>
        <v>0</v>
      </c>
      <c r="I304" s="1377"/>
      <c r="J304" s="86"/>
      <c r="K304" s="1377"/>
      <c r="L304" s="86"/>
      <c r="M304" s="86"/>
      <c r="N304" s="86"/>
      <c r="O304" s="86"/>
      <c r="P304" s="86"/>
      <c r="Q304" s="86"/>
      <c r="R304" s="86"/>
      <c r="S304" s="86"/>
      <c r="T304" s="86"/>
      <c r="U304" s="86"/>
      <c r="V304" s="86"/>
      <c r="W304" s="86"/>
      <c r="X304" s="86"/>
      <c r="Y304" s="86"/>
      <c r="Z304" s="86"/>
      <c r="AA304" s="86"/>
      <c r="AB304" s="86"/>
      <c r="AC304" s="82">
        <f t="shared" si="180"/>
        <v>0</v>
      </c>
      <c r="AD304" s="87"/>
      <c r="AE304" s="87"/>
      <c r="AF304" s="1377"/>
      <c r="AG304" s="87"/>
      <c r="AH304" s="87"/>
      <c r="AI304" s="87"/>
      <c r="AJ304" s="87"/>
      <c r="AK304" s="87"/>
      <c r="AL304" s="87"/>
      <c r="AM304" s="87"/>
      <c r="AN304" s="87"/>
      <c r="AO304" s="87"/>
      <c r="AP304" s="87"/>
      <c r="AQ304" s="87"/>
      <c r="AR304" s="87"/>
      <c r="AS304" s="87"/>
      <c r="AT304" s="88"/>
      <c r="AU304" s="89"/>
      <c r="AV304" s="1954">
        <f t="shared" si="204"/>
        <v>0</v>
      </c>
      <c r="AW304" s="1954">
        <f t="shared" si="205"/>
        <v>0</v>
      </c>
      <c r="AX304" s="1954">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79"/>
      <c r="B305" s="1376"/>
      <c r="C305" s="1377"/>
      <c r="D305" s="76"/>
      <c r="E305" s="82">
        <f t="shared" si="203"/>
        <v>0</v>
      </c>
      <c r="F305" s="83"/>
      <c r="G305" s="84">
        <f t="shared" si="178"/>
        <v>0</v>
      </c>
      <c r="H305" s="85">
        <f t="shared" si="179"/>
        <v>0</v>
      </c>
      <c r="I305" s="1377"/>
      <c r="J305" s="86"/>
      <c r="K305" s="1377"/>
      <c r="L305" s="86"/>
      <c r="M305" s="86"/>
      <c r="N305" s="86"/>
      <c r="O305" s="86"/>
      <c r="P305" s="86"/>
      <c r="Q305" s="86"/>
      <c r="R305" s="86"/>
      <c r="S305" s="86"/>
      <c r="T305" s="86"/>
      <c r="U305" s="86"/>
      <c r="V305" s="86"/>
      <c r="W305" s="86"/>
      <c r="X305" s="86"/>
      <c r="Y305" s="86"/>
      <c r="Z305" s="86"/>
      <c r="AA305" s="86"/>
      <c r="AB305" s="86"/>
      <c r="AC305" s="82">
        <f t="shared" si="180"/>
        <v>0</v>
      </c>
      <c r="AD305" s="87"/>
      <c r="AE305" s="87"/>
      <c r="AF305" s="1377"/>
      <c r="AG305" s="87"/>
      <c r="AH305" s="87"/>
      <c r="AI305" s="87"/>
      <c r="AJ305" s="87"/>
      <c r="AK305" s="87"/>
      <c r="AL305" s="87"/>
      <c r="AM305" s="87"/>
      <c r="AN305" s="87"/>
      <c r="AO305" s="87"/>
      <c r="AP305" s="87"/>
      <c r="AQ305" s="87"/>
      <c r="AR305" s="87"/>
      <c r="AS305" s="87"/>
      <c r="AT305" s="88"/>
      <c r="AU305" s="89"/>
      <c r="AV305" s="1954">
        <f t="shared" si="204"/>
        <v>0</v>
      </c>
      <c r="AW305" s="1954">
        <f t="shared" si="205"/>
        <v>0</v>
      </c>
      <c r="AX305" s="1954">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79"/>
      <c r="B306" s="1374"/>
      <c r="C306" s="1375"/>
      <c r="D306" s="76"/>
      <c r="E306" s="82">
        <f t="shared" si="203"/>
        <v>0</v>
      </c>
      <c r="F306" s="83"/>
      <c r="G306" s="84">
        <f t="shared" si="178"/>
        <v>0</v>
      </c>
      <c r="H306" s="85">
        <f t="shared" si="179"/>
        <v>0</v>
      </c>
      <c r="I306" s="1377"/>
      <c r="J306" s="86"/>
      <c r="K306" s="1377"/>
      <c r="L306" s="86"/>
      <c r="M306" s="86"/>
      <c r="N306" s="86"/>
      <c r="O306" s="86"/>
      <c r="P306" s="86"/>
      <c r="Q306" s="86"/>
      <c r="R306" s="86"/>
      <c r="S306" s="86"/>
      <c r="T306" s="86"/>
      <c r="U306" s="86"/>
      <c r="V306" s="86"/>
      <c r="W306" s="86"/>
      <c r="X306" s="86"/>
      <c r="Y306" s="86"/>
      <c r="Z306" s="86"/>
      <c r="AA306" s="86"/>
      <c r="AB306" s="86"/>
      <c r="AC306" s="82">
        <f t="shared" si="180"/>
        <v>0</v>
      </c>
      <c r="AD306" s="87"/>
      <c r="AE306" s="87"/>
      <c r="AF306" s="1377"/>
      <c r="AG306" s="87"/>
      <c r="AH306" s="87"/>
      <c r="AI306" s="87"/>
      <c r="AJ306" s="87"/>
      <c r="AK306" s="87"/>
      <c r="AL306" s="87"/>
      <c r="AM306" s="87"/>
      <c r="AN306" s="87"/>
      <c r="AO306" s="87"/>
      <c r="AP306" s="87"/>
      <c r="AQ306" s="87"/>
      <c r="AR306" s="87"/>
      <c r="AS306" s="87"/>
      <c r="AT306" s="88"/>
      <c r="AU306" s="89"/>
      <c r="AV306" s="1954">
        <f t="shared" si="204"/>
        <v>0</v>
      </c>
      <c r="AW306" s="1954">
        <f t="shared" si="205"/>
        <v>0</v>
      </c>
      <c r="AX306" s="1954">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79"/>
      <c r="B307" s="1374"/>
      <c r="C307" s="1375"/>
      <c r="D307" s="76"/>
      <c r="E307" s="82">
        <f t="shared" si="203"/>
        <v>0</v>
      </c>
      <c r="F307" s="83"/>
      <c r="G307" s="84">
        <f t="shared" si="178"/>
        <v>0</v>
      </c>
      <c r="H307" s="85">
        <f t="shared" si="179"/>
        <v>0</v>
      </c>
      <c r="I307" s="1377"/>
      <c r="J307" s="86"/>
      <c r="K307" s="1377"/>
      <c r="L307" s="86"/>
      <c r="M307" s="86"/>
      <c r="N307" s="86"/>
      <c r="O307" s="86"/>
      <c r="P307" s="86"/>
      <c r="Q307" s="86"/>
      <c r="R307" s="86"/>
      <c r="S307" s="86"/>
      <c r="T307" s="86"/>
      <c r="U307" s="86"/>
      <c r="V307" s="86"/>
      <c r="W307" s="86"/>
      <c r="X307" s="86"/>
      <c r="Y307" s="86"/>
      <c r="Z307" s="86"/>
      <c r="AA307" s="86"/>
      <c r="AB307" s="86"/>
      <c r="AC307" s="82">
        <f t="shared" si="180"/>
        <v>0</v>
      </c>
      <c r="AD307" s="87"/>
      <c r="AE307" s="87"/>
      <c r="AF307" s="1377"/>
      <c r="AG307" s="87"/>
      <c r="AH307" s="87"/>
      <c r="AI307" s="87"/>
      <c r="AJ307" s="87"/>
      <c r="AK307" s="87"/>
      <c r="AL307" s="87"/>
      <c r="AM307" s="87"/>
      <c r="AN307" s="87"/>
      <c r="AO307" s="87"/>
      <c r="AP307" s="87"/>
      <c r="AQ307" s="87"/>
      <c r="AR307" s="87"/>
      <c r="AS307" s="87"/>
      <c r="AT307" s="88"/>
      <c r="AU307" s="89"/>
      <c r="AV307" s="1954">
        <f t="shared" si="204"/>
        <v>0</v>
      </c>
      <c r="AW307" s="1954">
        <f t="shared" si="205"/>
        <v>0</v>
      </c>
      <c r="AX307" s="1954">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79"/>
      <c r="B308" s="1374"/>
      <c r="C308" s="1375"/>
      <c r="D308" s="76"/>
      <c r="E308" s="82">
        <f t="shared" si="203"/>
        <v>0</v>
      </c>
      <c r="F308" s="83"/>
      <c r="G308" s="84">
        <f t="shared" si="178"/>
        <v>0</v>
      </c>
      <c r="H308" s="85">
        <f t="shared" si="179"/>
        <v>0</v>
      </c>
      <c r="I308" s="1377"/>
      <c r="J308" s="86"/>
      <c r="K308" s="1377"/>
      <c r="L308" s="86"/>
      <c r="M308" s="86"/>
      <c r="N308" s="86"/>
      <c r="O308" s="86"/>
      <c r="P308" s="86"/>
      <c r="Q308" s="86"/>
      <c r="R308" s="86"/>
      <c r="S308" s="86"/>
      <c r="T308" s="86"/>
      <c r="U308" s="86"/>
      <c r="V308" s="86"/>
      <c r="W308" s="86"/>
      <c r="X308" s="86"/>
      <c r="Y308" s="86"/>
      <c r="Z308" s="86"/>
      <c r="AA308" s="86"/>
      <c r="AB308" s="86"/>
      <c r="AC308" s="82">
        <f t="shared" si="180"/>
        <v>0</v>
      </c>
      <c r="AD308" s="87"/>
      <c r="AE308" s="87"/>
      <c r="AF308" s="1377"/>
      <c r="AG308" s="87"/>
      <c r="AH308" s="87"/>
      <c r="AI308" s="87"/>
      <c r="AJ308" s="87"/>
      <c r="AK308" s="87"/>
      <c r="AL308" s="87"/>
      <c r="AM308" s="87"/>
      <c r="AN308" s="87"/>
      <c r="AO308" s="87"/>
      <c r="AP308" s="87"/>
      <c r="AQ308" s="87"/>
      <c r="AR308" s="87"/>
      <c r="AS308" s="87"/>
      <c r="AT308" s="88"/>
      <c r="AU308" s="89"/>
      <c r="AV308" s="1954">
        <f t="shared" si="204"/>
        <v>0</v>
      </c>
      <c r="AW308" s="1954">
        <f t="shared" si="205"/>
        <v>0</v>
      </c>
      <c r="AX308" s="1954">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79"/>
      <c r="B309" s="1374"/>
      <c r="C309" s="1375"/>
      <c r="D309" s="76"/>
      <c r="E309" s="82">
        <f t="shared" si="203"/>
        <v>0</v>
      </c>
      <c r="F309" s="83"/>
      <c r="G309" s="84">
        <f t="shared" si="178"/>
        <v>0</v>
      </c>
      <c r="H309" s="85">
        <f t="shared" si="179"/>
        <v>0</v>
      </c>
      <c r="I309" s="1377"/>
      <c r="J309" s="86"/>
      <c r="K309" s="1377"/>
      <c r="L309" s="86"/>
      <c r="M309" s="86"/>
      <c r="N309" s="86"/>
      <c r="O309" s="86"/>
      <c r="P309" s="86"/>
      <c r="Q309" s="86"/>
      <c r="R309" s="86"/>
      <c r="S309" s="86"/>
      <c r="T309" s="86"/>
      <c r="U309" s="86"/>
      <c r="V309" s="86"/>
      <c r="W309" s="86"/>
      <c r="X309" s="86"/>
      <c r="Y309" s="86"/>
      <c r="Z309" s="86"/>
      <c r="AA309" s="86"/>
      <c r="AB309" s="86"/>
      <c r="AC309" s="82">
        <f t="shared" si="180"/>
        <v>0</v>
      </c>
      <c r="AD309" s="87"/>
      <c r="AE309" s="87"/>
      <c r="AF309" s="1377"/>
      <c r="AG309" s="87"/>
      <c r="AH309" s="87"/>
      <c r="AI309" s="87"/>
      <c r="AJ309" s="87"/>
      <c r="AK309" s="87"/>
      <c r="AL309" s="87"/>
      <c r="AM309" s="87"/>
      <c r="AN309" s="87"/>
      <c r="AO309" s="87"/>
      <c r="AP309" s="87"/>
      <c r="AQ309" s="87"/>
      <c r="AR309" s="87"/>
      <c r="AS309" s="87"/>
      <c r="AT309" s="88"/>
      <c r="AU309" s="89"/>
      <c r="AV309" s="1954">
        <f t="shared" si="204"/>
        <v>0</v>
      </c>
      <c r="AW309" s="1954">
        <f t="shared" si="205"/>
        <v>0</v>
      </c>
      <c r="AX309" s="1954">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79"/>
      <c r="B310" s="1374"/>
      <c r="C310" s="1375"/>
      <c r="D310" s="76"/>
      <c r="E310" s="82">
        <f t="shared" si="203"/>
        <v>0</v>
      </c>
      <c r="F310" s="83"/>
      <c r="G310" s="84">
        <f t="shared" si="178"/>
        <v>0</v>
      </c>
      <c r="H310" s="85">
        <f t="shared" si="179"/>
        <v>0</v>
      </c>
      <c r="I310" s="1377"/>
      <c r="J310" s="86"/>
      <c r="K310" s="1377"/>
      <c r="L310" s="86"/>
      <c r="M310" s="86"/>
      <c r="N310" s="86"/>
      <c r="O310" s="86"/>
      <c r="P310" s="86"/>
      <c r="Q310" s="86"/>
      <c r="R310" s="86"/>
      <c r="S310" s="86"/>
      <c r="T310" s="86"/>
      <c r="U310" s="86"/>
      <c r="V310" s="86"/>
      <c r="W310" s="86"/>
      <c r="X310" s="86"/>
      <c r="Y310" s="86"/>
      <c r="Z310" s="86"/>
      <c r="AA310" s="86"/>
      <c r="AB310" s="86"/>
      <c r="AC310" s="82">
        <f t="shared" si="180"/>
        <v>0</v>
      </c>
      <c r="AD310" s="87"/>
      <c r="AE310" s="87"/>
      <c r="AF310" s="1377"/>
      <c r="AG310" s="87"/>
      <c r="AH310" s="87"/>
      <c r="AI310" s="87"/>
      <c r="AJ310" s="87"/>
      <c r="AK310" s="87"/>
      <c r="AL310" s="87"/>
      <c r="AM310" s="87"/>
      <c r="AN310" s="87"/>
      <c r="AO310" s="87"/>
      <c r="AP310" s="87"/>
      <c r="AQ310" s="87"/>
      <c r="AR310" s="87"/>
      <c r="AS310" s="87"/>
      <c r="AT310" s="88"/>
      <c r="AU310" s="89"/>
      <c r="AV310" s="1954">
        <f t="shared" si="204"/>
        <v>0</v>
      </c>
      <c r="AW310" s="1954">
        <f t="shared" si="205"/>
        <v>0</v>
      </c>
      <c r="AX310" s="1954">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79"/>
      <c r="B311" s="1374"/>
      <c r="C311" s="1375"/>
      <c r="D311" s="76"/>
      <c r="E311" s="82">
        <f t="shared" si="203"/>
        <v>0</v>
      </c>
      <c r="F311" s="83"/>
      <c r="G311" s="84">
        <f t="shared" si="178"/>
        <v>0</v>
      </c>
      <c r="H311" s="85">
        <f t="shared" si="179"/>
        <v>0</v>
      </c>
      <c r="I311" s="1377"/>
      <c r="J311" s="86"/>
      <c r="K311" s="1377"/>
      <c r="L311" s="86"/>
      <c r="M311" s="86"/>
      <c r="N311" s="86"/>
      <c r="O311" s="86"/>
      <c r="P311" s="86"/>
      <c r="Q311" s="86"/>
      <c r="R311" s="86"/>
      <c r="S311" s="86"/>
      <c r="T311" s="86"/>
      <c r="U311" s="86"/>
      <c r="V311" s="86"/>
      <c r="W311" s="86"/>
      <c r="X311" s="86"/>
      <c r="Y311" s="86"/>
      <c r="Z311" s="86"/>
      <c r="AA311" s="86"/>
      <c r="AB311" s="86"/>
      <c r="AC311" s="82">
        <f t="shared" si="180"/>
        <v>0</v>
      </c>
      <c r="AD311" s="87"/>
      <c r="AE311" s="87"/>
      <c r="AF311" s="1377"/>
      <c r="AG311" s="87"/>
      <c r="AH311" s="87"/>
      <c r="AI311" s="87"/>
      <c r="AJ311" s="87"/>
      <c r="AK311" s="87"/>
      <c r="AL311" s="87"/>
      <c r="AM311" s="87"/>
      <c r="AN311" s="87"/>
      <c r="AO311" s="87"/>
      <c r="AP311" s="87"/>
      <c r="AQ311" s="87"/>
      <c r="AR311" s="87"/>
      <c r="AS311" s="87"/>
      <c r="AT311" s="88"/>
      <c r="AU311" s="89"/>
      <c r="AV311" s="1954">
        <f t="shared" si="204"/>
        <v>0</v>
      </c>
      <c r="AW311" s="1954">
        <f t="shared" si="205"/>
        <v>0</v>
      </c>
      <c r="AX311" s="1954">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79"/>
      <c r="B312" s="1374"/>
      <c r="C312" s="1375"/>
      <c r="D312" s="76"/>
      <c r="E312" s="82">
        <f t="shared" si="203"/>
        <v>0</v>
      </c>
      <c r="F312" s="83"/>
      <c r="G312" s="84">
        <f t="shared" si="178"/>
        <v>0</v>
      </c>
      <c r="H312" s="85">
        <f t="shared" si="179"/>
        <v>0</v>
      </c>
      <c r="I312" s="1377"/>
      <c r="J312" s="86"/>
      <c r="K312" s="1377"/>
      <c r="L312" s="86"/>
      <c r="M312" s="86"/>
      <c r="N312" s="86"/>
      <c r="O312" s="86"/>
      <c r="P312" s="86"/>
      <c r="Q312" s="86"/>
      <c r="R312" s="86"/>
      <c r="S312" s="86"/>
      <c r="T312" s="86"/>
      <c r="U312" s="86"/>
      <c r="V312" s="86"/>
      <c r="W312" s="86"/>
      <c r="X312" s="86"/>
      <c r="Y312" s="86"/>
      <c r="Z312" s="86"/>
      <c r="AA312" s="86"/>
      <c r="AB312" s="86"/>
      <c r="AC312" s="82">
        <f t="shared" si="180"/>
        <v>0</v>
      </c>
      <c r="AD312" s="87"/>
      <c r="AE312" s="87"/>
      <c r="AF312" s="1377"/>
      <c r="AG312" s="87"/>
      <c r="AH312" s="87"/>
      <c r="AI312" s="87"/>
      <c r="AJ312" s="87"/>
      <c r="AK312" s="87"/>
      <c r="AL312" s="87"/>
      <c r="AM312" s="87"/>
      <c r="AN312" s="87"/>
      <c r="AO312" s="87"/>
      <c r="AP312" s="87"/>
      <c r="AQ312" s="87"/>
      <c r="AR312" s="87"/>
      <c r="AS312" s="87"/>
      <c r="AT312" s="88"/>
      <c r="AU312" s="89"/>
      <c r="AV312" s="1954">
        <f t="shared" si="204"/>
        <v>0</v>
      </c>
      <c r="AW312" s="1954">
        <f t="shared" si="205"/>
        <v>0</v>
      </c>
      <c r="AX312" s="1954">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79"/>
      <c r="B313" s="1374"/>
      <c r="C313" s="1375"/>
      <c r="D313" s="76"/>
      <c r="E313" s="82">
        <f t="shared" si="203"/>
        <v>0</v>
      </c>
      <c r="F313" s="83"/>
      <c r="G313" s="84">
        <f t="shared" si="178"/>
        <v>0</v>
      </c>
      <c r="H313" s="85">
        <f t="shared" si="179"/>
        <v>0</v>
      </c>
      <c r="I313" s="1377"/>
      <c r="J313" s="86"/>
      <c r="K313" s="1377"/>
      <c r="L313" s="86"/>
      <c r="M313" s="86"/>
      <c r="N313" s="86"/>
      <c r="O313" s="86"/>
      <c r="P313" s="86"/>
      <c r="Q313" s="86"/>
      <c r="R313" s="86"/>
      <c r="S313" s="86"/>
      <c r="T313" s="86"/>
      <c r="U313" s="86"/>
      <c r="V313" s="86"/>
      <c r="W313" s="86"/>
      <c r="X313" s="86"/>
      <c r="Y313" s="86"/>
      <c r="Z313" s="86"/>
      <c r="AA313" s="86"/>
      <c r="AB313" s="86"/>
      <c r="AC313" s="82">
        <f t="shared" si="180"/>
        <v>0</v>
      </c>
      <c r="AD313" s="87"/>
      <c r="AE313" s="87"/>
      <c r="AF313" s="1377"/>
      <c r="AG313" s="87"/>
      <c r="AH313" s="87"/>
      <c r="AI313" s="87"/>
      <c r="AJ313" s="87"/>
      <c r="AK313" s="87"/>
      <c r="AL313" s="87"/>
      <c r="AM313" s="87"/>
      <c r="AN313" s="87"/>
      <c r="AO313" s="87"/>
      <c r="AP313" s="87"/>
      <c r="AQ313" s="87"/>
      <c r="AR313" s="87"/>
      <c r="AS313" s="87"/>
      <c r="AT313" s="88"/>
      <c r="AU313" s="89"/>
      <c r="AV313" s="1954">
        <f t="shared" si="204"/>
        <v>0</v>
      </c>
      <c r="AW313" s="1954">
        <f t="shared" si="205"/>
        <v>0</v>
      </c>
      <c r="AX313" s="1954">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79"/>
      <c r="B314" s="1374"/>
      <c r="C314" s="1375"/>
      <c r="D314" s="76"/>
      <c r="E314" s="82">
        <f t="shared" si="203"/>
        <v>0</v>
      </c>
      <c r="F314" s="83"/>
      <c r="G314" s="84">
        <f t="shared" si="178"/>
        <v>0</v>
      </c>
      <c r="H314" s="85">
        <f t="shared" si="179"/>
        <v>0</v>
      </c>
      <c r="I314" s="1377"/>
      <c r="J314" s="86"/>
      <c r="K314" s="1377"/>
      <c r="L314" s="86"/>
      <c r="M314" s="86"/>
      <c r="N314" s="86"/>
      <c r="O314" s="86"/>
      <c r="P314" s="86"/>
      <c r="Q314" s="86"/>
      <c r="R314" s="86"/>
      <c r="S314" s="86"/>
      <c r="T314" s="86"/>
      <c r="U314" s="86"/>
      <c r="V314" s="86"/>
      <c r="W314" s="86"/>
      <c r="X314" s="86"/>
      <c r="Y314" s="86"/>
      <c r="Z314" s="86"/>
      <c r="AA314" s="86"/>
      <c r="AB314" s="86"/>
      <c r="AC314" s="82">
        <f t="shared" si="180"/>
        <v>0</v>
      </c>
      <c r="AD314" s="87"/>
      <c r="AE314" s="87"/>
      <c r="AF314" s="1377"/>
      <c r="AG314" s="87"/>
      <c r="AH314" s="87"/>
      <c r="AI314" s="87"/>
      <c r="AJ314" s="87"/>
      <c r="AK314" s="87"/>
      <c r="AL314" s="87"/>
      <c r="AM314" s="87"/>
      <c r="AN314" s="87"/>
      <c r="AO314" s="87"/>
      <c r="AP314" s="87"/>
      <c r="AQ314" s="87"/>
      <c r="AR314" s="87"/>
      <c r="AS314" s="87"/>
      <c r="AT314" s="88"/>
      <c r="AU314" s="89"/>
      <c r="AV314" s="1954">
        <f t="shared" si="204"/>
        <v>0</v>
      </c>
      <c r="AW314" s="1954">
        <f t="shared" si="205"/>
        <v>0</v>
      </c>
      <c r="AX314" s="1954">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79"/>
      <c r="B315" s="1374"/>
      <c r="C315" s="1375"/>
      <c r="D315" s="76"/>
      <c r="E315" s="82">
        <f t="shared" si="203"/>
        <v>0</v>
      </c>
      <c r="F315" s="83"/>
      <c r="G315" s="84">
        <f t="shared" si="178"/>
        <v>0</v>
      </c>
      <c r="H315" s="85">
        <f t="shared" si="179"/>
        <v>0</v>
      </c>
      <c r="I315" s="1377"/>
      <c r="J315" s="86"/>
      <c r="K315" s="1377"/>
      <c r="L315" s="86"/>
      <c r="M315" s="86"/>
      <c r="N315" s="86"/>
      <c r="O315" s="86"/>
      <c r="P315" s="86"/>
      <c r="Q315" s="86"/>
      <c r="R315" s="86"/>
      <c r="S315" s="86"/>
      <c r="T315" s="86"/>
      <c r="U315" s="86"/>
      <c r="V315" s="86"/>
      <c r="W315" s="86"/>
      <c r="X315" s="86"/>
      <c r="Y315" s="86"/>
      <c r="Z315" s="86"/>
      <c r="AA315" s="86"/>
      <c r="AB315" s="86"/>
      <c r="AC315" s="82">
        <f t="shared" si="180"/>
        <v>0</v>
      </c>
      <c r="AD315" s="87"/>
      <c r="AE315" s="87"/>
      <c r="AF315" s="1377"/>
      <c r="AG315" s="87"/>
      <c r="AH315" s="87"/>
      <c r="AI315" s="87"/>
      <c r="AJ315" s="87"/>
      <c r="AK315" s="87"/>
      <c r="AL315" s="87"/>
      <c r="AM315" s="87"/>
      <c r="AN315" s="87"/>
      <c r="AO315" s="87"/>
      <c r="AP315" s="87"/>
      <c r="AQ315" s="87"/>
      <c r="AR315" s="87"/>
      <c r="AS315" s="87"/>
      <c r="AT315" s="88"/>
      <c r="AU315" s="89"/>
      <c r="AV315" s="1954">
        <f t="shared" si="204"/>
        <v>0</v>
      </c>
      <c r="AW315" s="1954">
        <f t="shared" si="205"/>
        <v>0</v>
      </c>
      <c r="AX315" s="1954">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79"/>
      <c r="B316" s="1374"/>
      <c r="C316" s="1375"/>
      <c r="D316" s="76"/>
      <c r="E316" s="82">
        <f t="shared" si="203"/>
        <v>0</v>
      </c>
      <c r="F316" s="83"/>
      <c r="G316" s="84">
        <f t="shared" si="178"/>
        <v>0</v>
      </c>
      <c r="H316" s="85">
        <f t="shared" si="179"/>
        <v>0</v>
      </c>
      <c r="I316" s="1377"/>
      <c r="J316" s="86"/>
      <c r="K316" s="1377"/>
      <c r="L316" s="86"/>
      <c r="M316" s="86"/>
      <c r="N316" s="86"/>
      <c r="O316" s="86"/>
      <c r="P316" s="86"/>
      <c r="Q316" s="86"/>
      <c r="R316" s="86"/>
      <c r="S316" s="86"/>
      <c r="T316" s="86"/>
      <c r="U316" s="86"/>
      <c r="V316" s="86"/>
      <c r="W316" s="86"/>
      <c r="X316" s="86"/>
      <c r="Y316" s="86"/>
      <c r="Z316" s="86"/>
      <c r="AA316" s="86"/>
      <c r="AB316" s="86"/>
      <c r="AC316" s="82">
        <f t="shared" si="180"/>
        <v>0</v>
      </c>
      <c r="AD316" s="87"/>
      <c r="AE316" s="87"/>
      <c r="AF316" s="1377"/>
      <c r="AG316" s="87"/>
      <c r="AH316" s="87"/>
      <c r="AI316" s="87"/>
      <c r="AJ316" s="87"/>
      <c r="AK316" s="87"/>
      <c r="AL316" s="87"/>
      <c r="AM316" s="87"/>
      <c r="AN316" s="87"/>
      <c r="AO316" s="87"/>
      <c r="AP316" s="87"/>
      <c r="AQ316" s="87"/>
      <c r="AR316" s="87"/>
      <c r="AS316" s="87"/>
      <c r="AT316" s="88"/>
      <c r="AU316" s="89"/>
      <c r="AV316" s="1954">
        <f t="shared" si="204"/>
        <v>0</v>
      </c>
      <c r="AW316" s="1954">
        <f t="shared" si="205"/>
        <v>0</v>
      </c>
      <c r="AX316" s="1954">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79"/>
      <c r="B317" s="1374"/>
      <c r="C317" s="1375"/>
      <c r="D317" s="76"/>
      <c r="E317" s="82">
        <f t="shared" si="203"/>
        <v>0</v>
      </c>
      <c r="F317" s="83"/>
      <c r="G317" s="84">
        <f t="shared" si="178"/>
        <v>0</v>
      </c>
      <c r="H317" s="85">
        <f t="shared" si="179"/>
        <v>0</v>
      </c>
      <c r="I317" s="1377"/>
      <c r="J317" s="86"/>
      <c r="K317" s="1377"/>
      <c r="L317" s="86"/>
      <c r="M317" s="86"/>
      <c r="N317" s="86"/>
      <c r="O317" s="86"/>
      <c r="P317" s="86"/>
      <c r="Q317" s="86"/>
      <c r="R317" s="86"/>
      <c r="S317" s="86"/>
      <c r="T317" s="86"/>
      <c r="U317" s="86"/>
      <c r="V317" s="86"/>
      <c r="W317" s="86"/>
      <c r="X317" s="86"/>
      <c r="Y317" s="86"/>
      <c r="Z317" s="86"/>
      <c r="AA317" s="86"/>
      <c r="AB317" s="86"/>
      <c r="AC317" s="82">
        <f t="shared" si="180"/>
        <v>0</v>
      </c>
      <c r="AD317" s="87"/>
      <c r="AE317" s="87"/>
      <c r="AF317" s="1377"/>
      <c r="AG317" s="87"/>
      <c r="AH317" s="87"/>
      <c r="AI317" s="87"/>
      <c r="AJ317" s="87"/>
      <c r="AK317" s="87"/>
      <c r="AL317" s="87"/>
      <c r="AM317" s="87"/>
      <c r="AN317" s="87"/>
      <c r="AO317" s="87"/>
      <c r="AP317" s="87"/>
      <c r="AQ317" s="87"/>
      <c r="AR317" s="87"/>
      <c r="AS317" s="87"/>
      <c r="AT317" s="88"/>
      <c r="AU317" s="89"/>
      <c r="AV317" s="1954">
        <f t="shared" si="204"/>
        <v>0</v>
      </c>
      <c r="AW317" s="1954">
        <f t="shared" si="205"/>
        <v>0</v>
      </c>
      <c r="AX317" s="1954">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79"/>
      <c r="B318" s="1374"/>
      <c r="C318" s="1375"/>
      <c r="D318" s="76"/>
      <c r="E318" s="82">
        <f t="shared" si="203"/>
        <v>0</v>
      </c>
      <c r="F318" s="83"/>
      <c r="G318" s="84">
        <f t="shared" si="178"/>
        <v>0</v>
      </c>
      <c r="H318" s="85">
        <f t="shared" si="179"/>
        <v>0</v>
      </c>
      <c r="I318" s="1377"/>
      <c r="J318" s="86"/>
      <c r="K318" s="1377"/>
      <c r="L318" s="86"/>
      <c r="M318" s="86"/>
      <c r="N318" s="86"/>
      <c r="O318" s="86"/>
      <c r="P318" s="86"/>
      <c r="Q318" s="86"/>
      <c r="R318" s="86"/>
      <c r="S318" s="86"/>
      <c r="T318" s="86"/>
      <c r="U318" s="86"/>
      <c r="V318" s="86"/>
      <c r="W318" s="86"/>
      <c r="X318" s="86"/>
      <c r="Y318" s="86"/>
      <c r="Z318" s="86"/>
      <c r="AA318" s="86"/>
      <c r="AB318" s="86"/>
      <c r="AC318" s="82">
        <f t="shared" si="180"/>
        <v>0</v>
      </c>
      <c r="AD318" s="87"/>
      <c r="AE318" s="87"/>
      <c r="AF318" s="1377"/>
      <c r="AG318" s="87"/>
      <c r="AH318" s="87"/>
      <c r="AI318" s="87"/>
      <c r="AJ318" s="87"/>
      <c r="AK318" s="87"/>
      <c r="AL318" s="87"/>
      <c r="AM318" s="87"/>
      <c r="AN318" s="87"/>
      <c r="AO318" s="87"/>
      <c r="AP318" s="87"/>
      <c r="AQ318" s="87"/>
      <c r="AR318" s="87"/>
      <c r="AS318" s="87"/>
      <c r="AT318" s="88"/>
      <c r="AU318" s="89"/>
      <c r="AV318" s="1954">
        <f t="shared" si="204"/>
        <v>0</v>
      </c>
      <c r="AW318" s="1954">
        <f t="shared" si="205"/>
        <v>0</v>
      </c>
      <c r="AX318" s="1954">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79"/>
      <c r="B319" s="1374"/>
      <c r="C319" s="1375"/>
      <c r="D319" s="76"/>
      <c r="E319" s="82">
        <f t="shared" si="203"/>
        <v>0</v>
      </c>
      <c r="F319" s="83"/>
      <c r="G319" s="84">
        <f t="shared" si="178"/>
        <v>0</v>
      </c>
      <c r="H319" s="85">
        <f t="shared" si="179"/>
        <v>0</v>
      </c>
      <c r="I319" s="1377"/>
      <c r="J319" s="86"/>
      <c r="K319" s="1377"/>
      <c r="L319" s="86"/>
      <c r="M319" s="86"/>
      <c r="N319" s="86"/>
      <c r="O319" s="86"/>
      <c r="P319" s="86"/>
      <c r="Q319" s="86"/>
      <c r="R319" s="86"/>
      <c r="S319" s="86"/>
      <c r="T319" s="86"/>
      <c r="U319" s="86"/>
      <c r="V319" s="86"/>
      <c r="W319" s="86"/>
      <c r="X319" s="86"/>
      <c r="Y319" s="86"/>
      <c r="Z319" s="86"/>
      <c r="AA319" s="86"/>
      <c r="AB319" s="86"/>
      <c r="AC319" s="82">
        <f t="shared" si="180"/>
        <v>0</v>
      </c>
      <c r="AD319" s="87"/>
      <c r="AE319" s="87"/>
      <c r="AF319" s="1377"/>
      <c r="AG319" s="87"/>
      <c r="AH319" s="87"/>
      <c r="AI319" s="87"/>
      <c r="AJ319" s="87"/>
      <c r="AK319" s="87"/>
      <c r="AL319" s="87"/>
      <c r="AM319" s="87"/>
      <c r="AN319" s="87"/>
      <c r="AO319" s="87"/>
      <c r="AP319" s="87"/>
      <c r="AQ319" s="87"/>
      <c r="AR319" s="87"/>
      <c r="AS319" s="87"/>
      <c r="AT319" s="88"/>
      <c r="AU319" s="89"/>
      <c r="AV319" s="1954">
        <f t="shared" si="204"/>
        <v>0</v>
      </c>
      <c r="AW319" s="1954">
        <f t="shared" si="205"/>
        <v>0</v>
      </c>
      <c r="AX319" s="1954">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79"/>
      <c r="B320" s="1374"/>
      <c r="C320" s="1375"/>
      <c r="D320" s="76"/>
      <c r="E320" s="82">
        <f t="shared" si="203"/>
        <v>0</v>
      </c>
      <c r="F320" s="83"/>
      <c r="G320" s="84">
        <f t="shared" si="178"/>
        <v>0</v>
      </c>
      <c r="H320" s="85">
        <f t="shared" si="179"/>
        <v>0</v>
      </c>
      <c r="I320" s="1377"/>
      <c r="J320" s="86"/>
      <c r="K320" s="1377"/>
      <c r="L320" s="86"/>
      <c r="M320" s="86"/>
      <c r="N320" s="86"/>
      <c r="O320" s="86"/>
      <c r="P320" s="86"/>
      <c r="Q320" s="86"/>
      <c r="R320" s="86"/>
      <c r="S320" s="86"/>
      <c r="T320" s="86"/>
      <c r="U320" s="86"/>
      <c r="V320" s="86"/>
      <c r="W320" s="86"/>
      <c r="X320" s="86"/>
      <c r="Y320" s="86"/>
      <c r="Z320" s="86"/>
      <c r="AA320" s="86"/>
      <c r="AB320" s="86"/>
      <c r="AC320" s="82">
        <f t="shared" si="180"/>
        <v>0</v>
      </c>
      <c r="AD320" s="87"/>
      <c r="AE320" s="87"/>
      <c r="AF320" s="1377"/>
      <c r="AG320" s="87"/>
      <c r="AH320" s="87"/>
      <c r="AI320" s="87"/>
      <c r="AJ320" s="87"/>
      <c r="AK320" s="87"/>
      <c r="AL320" s="87"/>
      <c r="AM320" s="87"/>
      <c r="AN320" s="87"/>
      <c r="AO320" s="87"/>
      <c r="AP320" s="87"/>
      <c r="AQ320" s="87"/>
      <c r="AR320" s="87"/>
      <c r="AS320" s="87"/>
      <c r="AT320" s="88"/>
      <c r="AU320" s="89"/>
      <c r="AV320" s="1954">
        <f t="shared" si="204"/>
        <v>0</v>
      </c>
      <c r="AW320" s="1954">
        <f t="shared" si="205"/>
        <v>0</v>
      </c>
      <c r="AX320" s="1954">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79"/>
      <c r="B321" s="1374"/>
      <c r="C321" s="1375"/>
      <c r="D321" s="76"/>
      <c r="E321" s="82">
        <f t="shared" si="203"/>
        <v>0</v>
      </c>
      <c r="F321" s="83"/>
      <c r="G321" s="84">
        <f t="shared" si="178"/>
        <v>0</v>
      </c>
      <c r="H321" s="85">
        <f t="shared" si="179"/>
        <v>0</v>
      </c>
      <c r="I321" s="1377"/>
      <c r="J321" s="86"/>
      <c r="K321" s="1377"/>
      <c r="L321" s="86"/>
      <c r="M321" s="86"/>
      <c r="N321" s="86"/>
      <c r="O321" s="86"/>
      <c r="P321" s="86"/>
      <c r="Q321" s="86"/>
      <c r="R321" s="86"/>
      <c r="S321" s="86"/>
      <c r="T321" s="86"/>
      <c r="U321" s="86"/>
      <c r="V321" s="86"/>
      <c r="W321" s="86"/>
      <c r="X321" s="86"/>
      <c r="Y321" s="86"/>
      <c r="Z321" s="86"/>
      <c r="AA321" s="86"/>
      <c r="AB321" s="86"/>
      <c r="AC321" s="82">
        <f t="shared" si="180"/>
        <v>0</v>
      </c>
      <c r="AD321" s="87"/>
      <c r="AE321" s="87"/>
      <c r="AF321" s="1377"/>
      <c r="AG321" s="87"/>
      <c r="AH321" s="87"/>
      <c r="AI321" s="87"/>
      <c r="AJ321" s="87"/>
      <c r="AK321" s="87"/>
      <c r="AL321" s="87"/>
      <c r="AM321" s="87"/>
      <c r="AN321" s="87"/>
      <c r="AO321" s="87"/>
      <c r="AP321" s="87"/>
      <c r="AQ321" s="87"/>
      <c r="AR321" s="87"/>
      <c r="AS321" s="87"/>
      <c r="AT321" s="88"/>
      <c r="AU321" s="89"/>
      <c r="AV321" s="1954">
        <f t="shared" si="204"/>
        <v>0</v>
      </c>
      <c r="AW321" s="1954">
        <f t="shared" si="205"/>
        <v>0</v>
      </c>
      <c r="AX321" s="1954">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79"/>
      <c r="B322" s="1374"/>
      <c r="C322" s="1375"/>
      <c r="D322" s="76"/>
      <c r="E322" s="82">
        <f t="shared" si="203"/>
        <v>0</v>
      </c>
      <c r="F322" s="83"/>
      <c r="G322" s="84">
        <f t="shared" si="178"/>
        <v>0</v>
      </c>
      <c r="H322" s="85">
        <f t="shared" si="179"/>
        <v>0</v>
      </c>
      <c r="I322" s="1377"/>
      <c r="J322" s="86"/>
      <c r="K322" s="1377"/>
      <c r="L322" s="86"/>
      <c r="M322" s="86"/>
      <c r="N322" s="86"/>
      <c r="O322" s="86"/>
      <c r="P322" s="86"/>
      <c r="Q322" s="86"/>
      <c r="R322" s="86"/>
      <c r="S322" s="86"/>
      <c r="T322" s="86"/>
      <c r="U322" s="86"/>
      <c r="V322" s="86"/>
      <c r="W322" s="86"/>
      <c r="X322" s="86"/>
      <c r="Y322" s="86"/>
      <c r="Z322" s="86"/>
      <c r="AA322" s="86"/>
      <c r="AB322" s="86"/>
      <c r="AC322" s="82">
        <f t="shared" si="180"/>
        <v>0</v>
      </c>
      <c r="AD322" s="87"/>
      <c r="AE322" s="87"/>
      <c r="AF322" s="1377"/>
      <c r="AG322" s="87"/>
      <c r="AH322" s="87"/>
      <c r="AI322" s="87"/>
      <c r="AJ322" s="87"/>
      <c r="AK322" s="87"/>
      <c r="AL322" s="87"/>
      <c r="AM322" s="87"/>
      <c r="AN322" s="87"/>
      <c r="AO322" s="87"/>
      <c r="AP322" s="87"/>
      <c r="AQ322" s="87"/>
      <c r="AR322" s="87"/>
      <c r="AS322" s="87"/>
      <c r="AT322" s="88"/>
      <c r="AU322" s="89"/>
      <c r="AV322" s="1954">
        <f t="shared" si="204"/>
        <v>0</v>
      </c>
      <c r="AW322" s="1954">
        <f t="shared" si="205"/>
        <v>0</v>
      </c>
      <c r="AX322" s="1954">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79"/>
      <c r="B323" s="1374"/>
      <c r="C323" s="1375"/>
      <c r="D323" s="76"/>
      <c r="E323" s="82">
        <f t="shared" si="203"/>
        <v>0</v>
      </c>
      <c r="F323" s="83"/>
      <c r="G323" s="84">
        <f t="shared" si="178"/>
        <v>0</v>
      </c>
      <c r="H323" s="85">
        <f t="shared" si="179"/>
        <v>0</v>
      </c>
      <c r="I323" s="1377"/>
      <c r="J323" s="86"/>
      <c r="K323" s="1377"/>
      <c r="L323" s="86"/>
      <c r="M323" s="86"/>
      <c r="N323" s="86"/>
      <c r="O323" s="86"/>
      <c r="P323" s="86"/>
      <c r="Q323" s="86"/>
      <c r="R323" s="86"/>
      <c r="S323" s="86"/>
      <c r="T323" s="86"/>
      <c r="U323" s="86"/>
      <c r="V323" s="86"/>
      <c r="W323" s="86"/>
      <c r="X323" s="86"/>
      <c r="Y323" s="86"/>
      <c r="Z323" s="86"/>
      <c r="AA323" s="86"/>
      <c r="AB323" s="86"/>
      <c r="AC323" s="82">
        <f t="shared" si="180"/>
        <v>0</v>
      </c>
      <c r="AD323" s="87"/>
      <c r="AE323" s="87"/>
      <c r="AF323" s="1375"/>
      <c r="AG323" s="87"/>
      <c r="AH323" s="87"/>
      <c r="AI323" s="87"/>
      <c r="AJ323" s="87"/>
      <c r="AK323" s="87"/>
      <c r="AL323" s="87"/>
      <c r="AM323" s="87"/>
      <c r="AN323" s="87"/>
      <c r="AO323" s="87"/>
      <c r="AP323" s="87"/>
      <c r="AQ323" s="87"/>
      <c r="AR323" s="87"/>
      <c r="AS323" s="87"/>
      <c r="AT323" s="88"/>
      <c r="AU323" s="89"/>
      <c r="AV323" s="1954">
        <f t="shared" si="204"/>
        <v>0</v>
      </c>
      <c r="AW323" s="1954">
        <f t="shared" si="205"/>
        <v>0</v>
      </c>
      <c r="AX323" s="1954">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79"/>
      <c r="B324" s="1374"/>
      <c r="C324" s="1375"/>
      <c r="D324" s="76"/>
      <c r="E324" s="82">
        <f t="shared" si="203"/>
        <v>0</v>
      </c>
      <c r="F324" s="83"/>
      <c r="G324" s="84">
        <f t="shared" si="178"/>
        <v>0</v>
      </c>
      <c r="H324" s="85">
        <f t="shared" si="179"/>
        <v>0</v>
      </c>
      <c r="I324" s="1375"/>
      <c r="J324" s="86"/>
      <c r="K324" s="1375"/>
      <c r="L324" s="86"/>
      <c r="M324" s="86"/>
      <c r="N324" s="86"/>
      <c r="O324" s="86"/>
      <c r="P324" s="86"/>
      <c r="Q324" s="86"/>
      <c r="R324" s="86"/>
      <c r="S324" s="86"/>
      <c r="T324" s="86"/>
      <c r="U324" s="86"/>
      <c r="V324" s="86"/>
      <c r="W324" s="86"/>
      <c r="X324" s="86"/>
      <c r="Y324" s="86"/>
      <c r="Z324" s="86"/>
      <c r="AA324" s="86"/>
      <c r="AB324" s="86"/>
      <c r="AC324" s="82">
        <f t="shared" si="180"/>
        <v>0</v>
      </c>
      <c r="AD324" s="87"/>
      <c r="AE324" s="87"/>
      <c r="AF324" s="1375"/>
      <c r="AG324" s="87"/>
      <c r="AH324" s="87"/>
      <c r="AI324" s="87"/>
      <c r="AJ324" s="87"/>
      <c r="AK324" s="87"/>
      <c r="AL324" s="87"/>
      <c r="AM324" s="87"/>
      <c r="AN324" s="87"/>
      <c r="AO324" s="87"/>
      <c r="AP324" s="87"/>
      <c r="AQ324" s="87"/>
      <c r="AR324" s="87"/>
      <c r="AS324" s="87"/>
      <c r="AT324" s="88"/>
      <c r="AU324" s="89"/>
      <c r="AV324" s="1954">
        <f t="shared" si="204"/>
        <v>0</v>
      </c>
      <c r="AW324" s="1954">
        <f t="shared" si="205"/>
        <v>0</v>
      </c>
      <c r="AX324" s="1954">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79"/>
      <c r="B325" s="1374"/>
      <c r="C325" s="1375"/>
      <c r="D325" s="76"/>
      <c r="E325" s="82">
        <f t="shared" si="203"/>
        <v>0</v>
      </c>
      <c r="F325" s="83"/>
      <c r="G325" s="84">
        <f t="shared" si="178"/>
        <v>0</v>
      </c>
      <c r="H325" s="85">
        <f t="shared" si="179"/>
        <v>0</v>
      </c>
      <c r="I325" s="1375"/>
      <c r="J325" s="86"/>
      <c r="K325" s="1375"/>
      <c r="L325" s="86"/>
      <c r="M325" s="86"/>
      <c r="N325" s="86"/>
      <c r="O325" s="86"/>
      <c r="P325" s="86"/>
      <c r="Q325" s="86"/>
      <c r="R325" s="86"/>
      <c r="S325" s="86"/>
      <c r="T325" s="86"/>
      <c r="U325" s="86"/>
      <c r="V325" s="86"/>
      <c r="W325" s="86"/>
      <c r="X325" s="86"/>
      <c r="Y325" s="86"/>
      <c r="Z325" s="86"/>
      <c r="AA325" s="86"/>
      <c r="AB325" s="86"/>
      <c r="AC325" s="82">
        <f t="shared" si="180"/>
        <v>0</v>
      </c>
      <c r="AD325" s="87"/>
      <c r="AE325" s="87"/>
      <c r="AF325" s="1375"/>
      <c r="AG325" s="87"/>
      <c r="AH325" s="87"/>
      <c r="AI325" s="87"/>
      <c r="AJ325" s="87"/>
      <c r="AK325" s="87"/>
      <c r="AL325" s="87"/>
      <c r="AM325" s="87"/>
      <c r="AN325" s="87"/>
      <c r="AO325" s="87"/>
      <c r="AP325" s="87"/>
      <c r="AQ325" s="87"/>
      <c r="AR325" s="87"/>
      <c r="AS325" s="87"/>
      <c r="AT325" s="88"/>
      <c r="AU325" s="89"/>
      <c r="AV325" s="1954">
        <f t="shared" si="204"/>
        <v>0</v>
      </c>
      <c r="AW325" s="1954">
        <f t="shared" si="205"/>
        <v>0</v>
      </c>
      <c r="AX325" s="1954">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79"/>
      <c r="B326" s="1374"/>
      <c r="C326" s="1375"/>
      <c r="D326" s="76"/>
      <c r="E326" s="82">
        <f t="shared" si="203"/>
        <v>0</v>
      </c>
      <c r="F326" s="83"/>
      <c r="G326" s="84">
        <f t="shared" ref="G326:G357" si="207">H326+AC326+AT326</f>
        <v>0</v>
      </c>
      <c r="H326" s="85">
        <f t="shared" ref="H326:H357" si="208">SUMIF(I$12:AB$12,"总值",I326:AB326)</f>
        <v>0</v>
      </c>
      <c r="I326" s="1375"/>
      <c r="J326" s="86"/>
      <c r="K326" s="1375"/>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375"/>
      <c r="AG326" s="87"/>
      <c r="AH326" s="87"/>
      <c r="AI326" s="87"/>
      <c r="AJ326" s="87"/>
      <c r="AK326" s="87"/>
      <c r="AL326" s="87"/>
      <c r="AM326" s="87"/>
      <c r="AN326" s="87"/>
      <c r="AO326" s="87"/>
      <c r="AP326" s="87"/>
      <c r="AQ326" s="87"/>
      <c r="AR326" s="87"/>
      <c r="AS326" s="87"/>
      <c r="AT326" s="88"/>
      <c r="AU326" s="89"/>
      <c r="AV326" s="1954">
        <f t="shared" si="204"/>
        <v>0</v>
      </c>
      <c r="AW326" s="1954">
        <f t="shared" si="205"/>
        <v>0</v>
      </c>
      <c r="AX326" s="1954">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79"/>
      <c r="B327" s="1374"/>
      <c r="C327" s="1375"/>
      <c r="D327" s="76"/>
      <c r="E327" s="82">
        <f t="shared" si="203"/>
        <v>0</v>
      </c>
      <c r="F327" s="83"/>
      <c r="G327" s="84">
        <f t="shared" si="207"/>
        <v>0</v>
      </c>
      <c r="H327" s="85">
        <f t="shared" si="208"/>
        <v>0</v>
      </c>
      <c r="I327" s="1375"/>
      <c r="J327" s="86"/>
      <c r="K327" s="1375"/>
      <c r="L327" s="86"/>
      <c r="M327" s="86"/>
      <c r="N327" s="86"/>
      <c r="O327" s="86"/>
      <c r="P327" s="86"/>
      <c r="Q327" s="86"/>
      <c r="R327" s="86"/>
      <c r="S327" s="86"/>
      <c r="T327" s="86"/>
      <c r="U327" s="86"/>
      <c r="V327" s="86"/>
      <c r="W327" s="86"/>
      <c r="X327" s="86"/>
      <c r="Y327" s="86"/>
      <c r="Z327" s="86"/>
      <c r="AA327" s="86"/>
      <c r="AB327" s="86"/>
      <c r="AC327" s="82">
        <f t="shared" si="209"/>
        <v>0</v>
      </c>
      <c r="AD327" s="87"/>
      <c r="AE327" s="87"/>
      <c r="AF327" s="1375"/>
      <c r="AG327" s="87"/>
      <c r="AH327" s="87"/>
      <c r="AI327" s="87"/>
      <c r="AJ327" s="87"/>
      <c r="AK327" s="87"/>
      <c r="AL327" s="87"/>
      <c r="AM327" s="87"/>
      <c r="AN327" s="87"/>
      <c r="AO327" s="87"/>
      <c r="AP327" s="87"/>
      <c r="AQ327" s="87"/>
      <c r="AR327" s="87"/>
      <c r="AS327" s="87"/>
      <c r="AT327" s="88"/>
      <c r="AU327" s="89"/>
      <c r="AV327" s="1954">
        <f t="shared" si="204"/>
        <v>0</v>
      </c>
      <c r="AW327" s="1954">
        <f t="shared" si="205"/>
        <v>0</v>
      </c>
      <c r="AX327" s="1954">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79"/>
      <c r="B328" s="1374"/>
      <c r="C328" s="1375"/>
      <c r="D328" s="76"/>
      <c r="E328" s="82">
        <f t="shared" si="203"/>
        <v>0</v>
      </c>
      <c r="F328" s="83"/>
      <c r="G328" s="84">
        <f t="shared" si="207"/>
        <v>0</v>
      </c>
      <c r="H328" s="85">
        <f t="shared" si="208"/>
        <v>0</v>
      </c>
      <c r="I328" s="1375"/>
      <c r="J328" s="86"/>
      <c r="K328" s="1375"/>
      <c r="L328" s="86"/>
      <c r="M328" s="86"/>
      <c r="N328" s="86"/>
      <c r="O328" s="86"/>
      <c r="P328" s="86"/>
      <c r="Q328" s="86"/>
      <c r="R328" s="86"/>
      <c r="S328" s="86"/>
      <c r="T328" s="86"/>
      <c r="U328" s="86"/>
      <c r="V328" s="86"/>
      <c r="W328" s="86"/>
      <c r="X328" s="86"/>
      <c r="Y328" s="86"/>
      <c r="Z328" s="86"/>
      <c r="AA328" s="86"/>
      <c r="AB328" s="86"/>
      <c r="AC328" s="82">
        <f t="shared" si="209"/>
        <v>0</v>
      </c>
      <c r="AD328" s="87"/>
      <c r="AE328" s="87"/>
      <c r="AF328" s="1375"/>
      <c r="AG328" s="87"/>
      <c r="AH328" s="87"/>
      <c r="AI328" s="87"/>
      <c r="AJ328" s="87"/>
      <c r="AK328" s="87"/>
      <c r="AL328" s="87"/>
      <c r="AM328" s="87"/>
      <c r="AN328" s="87"/>
      <c r="AO328" s="87"/>
      <c r="AP328" s="87"/>
      <c r="AQ328" s="87"/>
      <c r="AR328" s="87"/>
      <c r="AS328" s="87"/>
      <c r="AT328" s="88"/>
      <c r="AU328" s="89"/>
      <c r="AV328" s="1954">
        <f t="shared" si="204"/>
        <v>0</v>
      </c>
      <c r="AW328" s="1954">
        <f t="shared" si="205"/>
        <v>0</v>
      </c>
      <c r="AX328" s="1954">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79"/>
      <c r="B329" s="1374"/>
      <c r="C329" s="1375"/>
      <c r="D329" s="76"/>
      <c r="E329" s="82">
        <f t="shared" ref="E329:E360" si="232">IF($C$3="是",ROUND($A$3*G329/$B$3,2),ROUND($A$3*(G329-AT329)/$B$3,2))</f>
        <v>0</v>
      </c>
      <c r="F329" s="83"/>
      <c r="G329" s="84">
        <f t="shared" si="207"/>
        <v>0</v>
      </c>
      <c r="H329" s="85">
        <f t="shared" si="208"/>
        <v>0</v>
      </c>
      <c r="I329" s="1375"/>
      <c r="J329" s="86"/>
      <c r="K329" s="1375"/>
      <c r="L329" s="86"/>
      <c r="M329" s="86"/>
      <c r="N329" s="86"/>
      <c r="O329" s="86"/>
      <c r="P329" s="86"/>
      <c r="Q329" s="86"/>
      <c r="R329" s="86"/>
      <c r="S329" s="86"/>
      <c r="T329" s="86"/>
      <c r="U329" s="86"/>
      <c r="V329" s="86"/>
      <c r="W329" s="86"/>
      <c r="X329" s="86"/>
      <c r="Y329" s="86"/>
      <c r="Z329" s="86"/>
      <c r="AA329" s="86"/>
      <c r="AB329" s="86"/>
      <c r="AC329" s="82">
        <f t="shared" si="209"/>
        <v>0</v>
      </c>
      <c r="AD329" s="87"/>
      <c r="AE329" s="87"/>
      <c r="AF329" s="1375"/>
      <c r="AG329" s="87"/>
      <c r="AH329" s="87"/>
      <c r="AI329" s="87"/>
      <c r="AJ329" s="87"/>
      <c r="AK329" s="87"/>
      <c r="AL329" s="87"/>
      <c r="AM329" s="87"/>
      <c r="AN329" s="87"/>
      <c r="AO329" s="87"/>
      <c r="AP329" s="87"/>
      <c r="AQ329" s="87"/>
      <c r="AR329" s="87"/>
      <c r="AS329" s="87"/>
      <c r="AT329" s="88"/>
      <c r="AU329" s="89"/>
      <c r="AV329" s="1954">
        <f t="shared" ref="AV329:AV360" si="233">A329</f>
        <v>0</v>
      </c>
      <c r="AW329" s="1954">
        <f t="shared" ref="AW329:AW360" si="234">B329</f>
        <v>0</v>
      </c>
      <c r="AX329" s="1954">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79"/>
      <c r="B330" s="1374"/>
      <c r="C330" s="1375"/>
      <c r="D330" s="76"/>
      <c r="E330" s="82">
        <f t="shared" si="232"/>
        <v>0</v>
      </c>
      <c r="F330" s="83"/>
      <c r="G330" s="84">
        <f t="shared" si="207"/>
        <v>0</v>
      </c>
      <c r="H330" s="85">
        <f t="shared" si="208"/>
        <v>0</v>
      </c>
      <c r="I330" s="1375"/>
      <c r="J330" s="86"/>
      <c r="K330" s="1375"/>
      <c r="L330" s="86"/>
      <c r="M330" s="86"/>
      <c r="N330" s="86"/>
      <c r="O330" s="86"/>
      <c r="P330" s="86"/>
      <c r="Q330" s="86"/>
      <c r="R330" s="86"/>
      <c r="S330" s="86"/>
      <c r="T330" s="86"/>
      <c r="U330" s="86"/>
      <c r="V330" s="86"/>
      <c r="W330" s="86"/>
      <c r="X330" s="86"/>
      <c r="Y330" s="86"/>
      <c r="Z330" s="86"/>
      <c r="AA330" s="86"/>
      <c r="AB330" s="86"/>
      <c r="AC330" s="82">
        <f t="shared" si="209"/>
        <v>0</v>
      </c>
      <c r="AD330" s="87"/>
      <c r="AE330" s="87"/>
      <c r="AF330" s="1375"/>
      <c r="AG330" s="87"/>
      <c r="AH330" s="87"/>
      <c r="AI330" s="87"/>
      <c r="AJ330" s="87"/>
      <c r="AK330" s="87"/>
      <c r="AL330" s="87"/>
      <c r="AM330" s="87"/>
      <c r="AN330" s="87"/>
      <c r="AO330" s="87"/>
      <c r="AP330" s="87"/>
      <c r="AQ330" s="87"/>
      <c r="AR330" s="87"/>
      <c r="AS330" s="87"/>
      <c r="AT330" s="88"/>
      <c r="AU330" s="89"/>
      <c r="AV330" s="1954">
        <f t="shared" si="233"/>
        <v>0</v>
      </c>
      <c r="AW330" s="1954">
        <f t="shared" si="234"/>
        <v>0</v>
      </c>
      <c r="AX330" s="1954">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79"/>
      <c r="B331" s="1376"/>
      <c r="C331" s="1377"/>
      <c r="D331" s="76"/>
      <c r="E331" s="82">
        <f t="shared" si="232"/>
        <v>0</v>
      </c>
      <c r="F331" s="83"/>
      <c r="G331" s="84">
        <f t="shared" si="207"/>
        <v>0</v>
      </c>
      <c r="H331" s="85">
        <f t="shared" si="208"/>
        <v>0</v>
      </c>
      <c r="I331" s="1375"/>
      <c r="J331" s="86"/>
      <c r="K331" s="1375"/>
      <c r="L331" s="86"/>
      <c r="M331" s="1375"/>
      <c r="N331" s="86"/>
      <c r="O331" s="86"/>
      <c r="P331" s="86"/>
      <c r="Q331" s="86"/>
      <c r="R331" s="86"/>
      <c r="S331" s="86"/>
      <c r="T331" s="86"/>
      <c r="U331" s="86"/>
      <c r="V331" s="86"/>
      <c r="W331" s="86"/>
      <c r="X331" s="86"/>
      <c r="Y331" s="86"/>
      <c r="Z331" s="86"/>
      <c r="AA331" s="86"/>
      <c r="AB331" s="86"/>
      <c r="AC331" s="82">
        <f t="shared" si="209"/>
        <v>0</v>
      </c>
      <c r="AD331" s="87"/>
      <c r="AE331" s="87"/>
      <c r="AF331" s="1375"/>
      <c r="AG331" s="87"/>
      <c r="AH331" s="87"/>
      <c r="AI331" s="87"/>
      <c r="AJ331" s="87"/>
      <c r="AK331" s="87"/>
      <c r="AL331" s="87"/>
      <c r="AM331" s="87"/>
      <c r="AN331" s="87"/>
      <c r="AO331" s="87"/>
      <c r="AP331" s="87"/>
      <c r="AQ331" s="87"/>
      <c r="AR331" s="87"/>
      <c r="AS331" s="87"/>
      <c r="AT331" s="88"/>
      <c r="AU331" s="89"/>
      <c r="AV331" s="1954">
        <f t="shared" si="233"/>
        <v>0</v>
      </c>
      <c r="AW331" s="1954">
        <f t="shared" si="234"/>
        <v>0</v>
      </c>
      <c r="AX331" s="1954">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79"/>
      <c r="B332" s="80"/>
      <c r="C332" s="80"/>
      <c r="D332" s="81"/>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954">
        <f t="shared" si="233"/>
        <v>0</v>
      </c>
      <c r="AW332" s="1954">
        <f t="shared" si="234"/>
        <v>0</v>
      </c>
      <c r="AX332" s="1954">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79"/>
      <c r="B333" s="80"/>
      <c r="C333" s="80"/>
      <c r="D333" s="81"/>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954">
        <f t="shared" si="233"/>
        <v>0</v>
      </c>
      <c r="AW333" s="1954">
        <f t="shared" si="234"/>
        <v>0</v>
      </c>
      <c r="AX333" s="1954">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79"/>
      <c r="B334" s="80"/>
      <c r="C334" s="80"/>
      <c r="D334" s="81"/>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954">
        <f t="shared" si="233"/>
        <v>0</v>
      </c>
      <c r="AW334" s="1954">
        <f t="shared" si="234"/>
        <v>0</v>
      </c>
      <c r="AX334" s="1954">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79"/>
      <c r="B335" s="80"/>
      <c r="C335" s="80"/>
      <c r="D335" s="81"/>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954">
        <f t="shared" si="233"/>
        <v>0</v>
      </c>
      <c r="AW335" s="1954">
        <f t="shared" si="234"/>
        <v>0</v>
      </c>
      <c r="AX335" s="1954">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79"/>
      <c r="B336" s="80"/>
      <c r="C336" s="80"/>
      <c r="D336" s="81"/>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954">
        <f t="shared" si="233"/>
        <v>0</v>
      </c>
      <c r="AW336" s="1954">
        <f t="shared" si="234"/>
        <v>0</v>
      </c>
      <c r="AX336" s="1954">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79"/>
      <c r="B337" s="80"/>
      <c r="C337" s="80"/>
      <c r="D337" s="81"/>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954">
        <f t="shared" si="233"/>
        <v>0</v>
      </c>
      <c r="AW337" s="1954">
        <f t="shared" si="234"/>
        <v>0</v>
      </c>
      <c r="AX337" s="1954">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79"/>
      <c r="B338" s="80"/>
      <c r="C338" s="80"/>
      <c r="D338" s="81"/>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954">
        <f t="shared" si="233"/>
        <v>0</v>
      </c>
      <c r="AW338" s="1954">
        <f t="shared" si="234"/>
        <v>0</v>
      </c>
      <c r="AX338" s="1954">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79"/>
      <c r="B339" s="80"/>
      <c r="C339" s="80"/>
      <c r="D339" s="81"/>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954">
        <f t="shared" si="233"/>
        <v>0</v>
      </c>
      <c r="AW339" s="1954">
        <f t="shared" si="234"/>
        <v>0</v>
      </c>
      <c r="AX339" s="1954">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79"/>
      <c r="B340" s="80"/>
      <c r="C340" s="80"/>
      <c r="D340" s="81"/>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954">
        <f t="shared" si="233"/>
        <v>0</v>
      </c>
      <c r="AW340" s="1954">
        <f t="shared" si="234"/>
        <v>0</v>
      </c>
      <c r="AX340" s="1954">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79"/>
      <c r="B341" s="80"/>
      <c r="C341" s="80"/>
      <c r="D341" s="81"/>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954">
        <f t="shared" si="233"/>
        <v>0</v>
      </c>
      <c r="AW341" s="1954">
        <f t="shared" si="234"/>
        <v>0</v>
      </c>
      <c r="AX341" s="1954">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79"/>
      <c r="B342" s="80"/>
      <c r="C342" s="80"/>
      <c r="D342" s="81"/>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954">
        <f t="shared" si="233"/>
        <v>0</v>
      </c>
      <c r="AW342" s="1954">
        <f t="shared" si="234"/>
        <v>0</v>
      </c>
      <c r="AX342" s="1954">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79"/>
      <c r="B343" s="80"/>
      <c r="C343" s="80"/>
      <c r="D343" s="81"/>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954">
        <f t="shared" si="233"/>
        <v>0</v>
      </c>
      <c r="AW343" s="1954">
        <f t="shared" si="234"/>
        <v>0</v>
      </c>
      <c r="AX343" s="1954">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79"/>
      <c r="B344" s="80"/>
      <c r="C344" s="80"/>
      <c r="D344" s="81"/>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954">
        <f t="shared" si="233"/>
        <v>0</v>
      </c>
      <c r="AW344" s="1954">
        <f t="shared" si="234"/>
        <v>0</v>
      </c>
      <c r="AX344" s="1954">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79"/>
      <c r="B345" s="80"/>
      <c r="C345" s="80"/>
      <c r="D345" s="81"/>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954">
        <f t="shared" si="233"/>
        <v>0</v>
      </c>
      <c r="AW345" s="1954">
        <f t="shared" si="234"/>
        <v>0</v>
      </c>
      <c r="AX345" s="1954">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79"/>
      <c r="B346" s="80"/>
      <c r="C346" s="80"/>
      <c r="D346" s="81"/>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954">
        <f t="shared" si="233"/>
        <v>0</v>
      </c>
      <c r="AW346" s="1954">
        <f t="shared" si="234"/>
        <v>0</v>
      </c>
      <c r="AX346" s="1954">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79"/>
      <c r="B347" s="80"/>
      <c r="C347" s="80"/>
      <c r="D347" s="81"/>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954">
        <f t="shared" si="233"/>
        <v>0</v>
      </c>
      <c r="AW347" s="1954">
        <f t="shared" si="234"/>
        <v>0</v>
      </c>
      <c r="AX347" s="1954">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79"/>
      <c r="B348" s="80"/>
      <c r="C348" s="80"/>
      <c r="D348" s="81"/>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954">
        <f t="shared" si="233"/>
        <v>0</v>
      </c>
      <c r="AW348" s="1954">
        <f t="shared" si="234"/>
        <v>0</v>
      </c>
      <c r="AX348" s="1954">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79"/>
      <c r="B349" s="80"/>
      <c r="C349" s="80"/>
      <c r="D349" s="81"/>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954">
        <f t="shared" si="233"/>
        <v>0</v>
      </c>
      <c r="AW349" s="1954">
        <f t="shared" si="234"/>
        <v>0</v>
      </c>
      <c r="AX349" s="1954">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79"/>
      <c r="B350" s="80"/>
      <c r="C350" s="80"/>
      <c r="D350" s="81"/>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954">
        <f t="shared" si="233"/>
        <v>0</v>
      </c>
      <c r="AW350" s="1954">
        <f t="shared" si="234"/>
        <v>0</v>
      </c>
      <c r="AX350" s="1954">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79"/>
      <c r="B351" s="80"/>
      <c r="C351" s="80"/>
      <c r="D351" s="81"/>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954">
        <f t="shared" si="233"/>
        <v>0</v>
      </c>
      <c r="AW351" s="1954">
        <f t="shared" si="234"/>
        <v>0</v>
      </c>
      <c r="AX351" s="1954">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79"/>
      <c r="B352" s="80"/>
      <c r="C352" s="80"/>
      <c r="D352" s="81"/>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954">
        <f t="shared" si="233"/>
        <v>0</v>
      </c>
      <c r="AW352" s="1954">
        <f t="shared" si="234"/>
        <v>0</v>
      </c>
      <c r="AX352" s="1954">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79"/>
      <c r="B353" s="80"/>
      <c r="C353" s="80"/>
      <c r="D353" s="81"/>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954">
        <f t="shared" si="233"/>
        <v>0</v>
      </c>
      <c r="AW353" s="1954">
        <f t="shared" si="234"/>
        <v>0</v>
      </c>
      <c r="AX353" s="1954">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79"/>
      <c r="B354" s="80"/>
      <c r="C354" s="80"/>
      <c r="D354" s="81"/>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954">
        <f t="shared" si="233"/>
        <v>0</v>
      </c>
      <c r="AW354" s="1954">
        <f t="shared" si="234"/>
        <v>0</v>
      </c>
      <c r="AX354" s="1954">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79"/>
      <c r="B355" s="80"/>
      <c r="C355" s="80"/>
      <c r="D355" s="81"/>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954">
        <f t="shared" si="233"/>
        <v>0</v>
      </c>
      <c r="AW355" s="1954">
        <f t="shared" si="234"/>
        <v>0</v>
      </c>
      <c r="AX355" s="1954">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79"/>
      <c r="B356" s="80"/>
      <c r="C356" s="80"/>
      <c r="D356" s="81"/>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954">
        <f t="shared" si="233"/>
        <v>0</v>
      </c>
      <c r="AW356" s="1954">
        <f t="shared" si="234"/>
        <v>0</v>
      </c>
      <c r="AX356" s="1954">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79"/>
      <c r="B357" s="80"/>
      <c r="C357" s="80"/>
      <c r="D357" s="81"/>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954">
        <f t="shared" si="233"/>
        <v>0</v>
      </c>
      <c r="AW357" s="1954">
        <f t="shared" si="234"/>
        <v>0</v>
      </c>
      <c r="AX357" s="1954">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79"/>
      <c r="B358" s="80"/>
      <c r="C358" s="80"/>
      <c r="D358" s="81"/>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954">
        <f t="shared" si="233"/>
        <v>0</v>
      </c>
      <c r="AW358" s="1954">
        <f t="shared" si="234"/>
        <v>0</v>
      </c>
      <c r="AX358" s="1954">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79"/>
      <c r="B359" s="80"/>
      <c r="C359" s="80"/>
      <c r="D359" s="81"/>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954">
        <f t="shared" si="233"/>
        <v>0</v>
      </c>
      <c r="AW359" s="1954">
        <f t="shared" si="234"/>
        <v>0</v>
      </c>
      <c r="AX359" s="1954">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79"/>
      <c r="B360" s="80"/>
      <c r="C360" s="80"/>
      <c r="D360" s="81"/>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954">
        <f t="shared" si="233"/>
        <v>0</v>
      </c>
      <c r="AW360" s="1954">
        <f t="shared" si="234"/>
        <v>0</v>
      </c>
      <c r="AX360" s="1954">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79"/>
      <c r="B361" s="80"/>
      <c r="C361" s="80"/>
      <c r="D361" s="81"/>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954">
        <f t="shared" ref="AV361:AV388" si="262">A361</f>
        <v>0</v>
      </c>
      <c r="AW361" s="1954">
        <f t="shared" ref="AW361:AW388" si="263">B361</f>
        <v>0</v>
      </c>
      <c r="AX361" s="1954">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79"/>
      <c r="B362" s="80"/>
      <c r="C362" s="80"/>
      <c r="D362" s="81"/>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954">
        <f t="shared" si="262"/>
        <v>0</v>
      </c>
      <c r="AW362" s="1954">
        <f t="shared" si="263"/>
        <v>0</v>
      </c>
      <c r="AX362" s="1954">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79"/>
      <c r="B363" s="80"/>
      <c r="C363" s="80"/>
      <c r="D363" s="81"/>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954">
        <f t="shared" si="262"/>
        <v>0</v>
      </c>
      <c r="AW363" s="1954">
        <f t="shared" si="263"/>
        <v>0</v>
      </c>
      <c r="AX363" s="1954">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79"/>
      <c r="B364" s="80"/>
      <c r="C364" s="80"/>
      <c r="D364" s="81"/>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954">
        <f t="shared" si="262"/>
        <v>0</v>
      </c>
      <c r="AW364" s="1954">
        <f t="shared" si="263"/>
        <v>0</v>
      </c>
      <c r="AX364" s="1954">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79"/>
      <c r="B365" s="80"/>
      <c r="C365" s="80"/>
      <c r="D365" s="81"/>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954">
        <f t="shared" si="262"/>
        <v>0</v>
      </c>
      <c r="AW365" s="1954">
        <f t="shared" si="263"/>
        <v>0</v>
      </c>
      <c r="AX365" s="1954">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79"/>
      <c r="B366" s="80"/>
      <c r="C366" s="80"/>
      <c r="D366" s="81"/>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954">
        <f t="shared" si="262"/>
        <v>0</v>
      </c>
      <c r="AW366" s="1954">
        <f t="shared" si="263"/>
        <v>0</v>
      </c>
      <c r="AX366" s="1954">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79"/>
      <c r="B367" s="80"/>
      <c r="C367" s="80"/>
      <c r="D367" s="81"/>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954">
        <f t="shared" si="262"/>
        <v>0</v>
      </c>
      <c r="AW367" s="1954">
        <f t="shared" si="263"/>
        <v>0</v>
      </c>
      <c r="AX367" s="1954">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79"/>
      <c r="B368" s="80"/>
      <c r="C368" s="80"/>
      <c r="D368" s="81"/>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954">
        <f t="shared" si="262"/>
        <v>0</v>
      </c>
      <c r="AW368" s="1954">
        <f t="shared" si="263"/>
        <v>0</v>
      </c>
      <c r="AX368" s="1954">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79"/>
      <c r="B369" s="80"/>
      <c r="C369" s="80"/>
      <c r="D369" s="81"/>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954">
        <f t="shared" si="262"/>
        <v>0</v>
      </c>
      <c r="AW369" s="1954">
        <f t="shared" si="263"/>
        <v>0</v>
      </c>
      <c r="AX369" s="1954">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79"/>
      <c r="B370" s="80"/>
      <c r="C370" s="80"/>
      <c r="D370" s="81"/>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954">
        <f t="shared" si="262"/>
        <v>0</v>
      </c>
      <c r="AW370" s="1954">
        <f t="shared" si="263"/>
        <v>0</v>
      </c>
      <c r="AX370" s="1954">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79"/>
      <c r="B371" s="80"/>
      <c r="C371" s="80"/>
      <c r="D371" s="81"/>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954">
        <f t="shared" si="262"/>
        <v>0</v>
      </c>
      <c r="AW371" s="1954">
        <f t="shared" si="263"/>
        <v>0</v>
      </c>
      <c r="AX371" s="1954">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79"/>
      <c r="B372" s="80"/>
      <c r="C372" s="80"/>
      <c r="D372" s="81"/>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954">
        <f t="shared" si="262"/>
        <v>0</v>
      </c>
      <c r="AW372" s="1954">
        <f t="shared" si="263"/>
        <v>0</v>
      </c>
      <c r="AX372" s="1954">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79"/>
      <c r="B373" s="80"/>
      <c r="C373" s="80"/>
      <c r="D373" s="81"/>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954">
        <f t="shared" si="262"/>
        <v>0</v>
      </c>
      <c r="AW373" s="1954">
        <f t="shared" si="263"/>
        <v>0</v>
      </c>
      <c r="AX373" s="1954">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79"/>
      <c r="B374" s="80"/>
      <c r="C374" s="80"/>
      <c r="D374" s="81"/>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954">
        <f t="shared" si="262"/>
        <v>0</v>
      </c>
      <c r="AW374" s="1954">
        <f t="shared" si="263"/>
        <v>0</v>
      </c>
      <c r="AX374" s="1954">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79"/>
      <c r="B375" s="80"/>
      <c r="C375" s="80"/>
      <c r="D375" s="81"/>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954">
        <f t="shared" si="262"/>
        <v>0</v>
      </c>
      <c r="AW375" s="1954">
        <f t="shared" si="263"/>
        <v>0</v>
      </c>
      <c r="AX375" s="1954">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79"/>
      <c r="B376" s="80"/>
      <c r="C376" s="80"/>
      <c r="D376" s="81"/>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954">
        <f t="shared" si="262"/>
        <v>0</v>
      </c>
      <c r="AW376" s="1954">
        <f t="shared" si="263"/>
        <v>0</v>
      </c>
      <c r="AX376" s="1954">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79"/>
      <c r="B377" s="80"/>
      <c r="C377" s="80"/>
      <c r="D377" s="81"/>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954">
        <f t="shared" si="262"/>
        <v>0</v>
      </c>
      <c r="AW377" s="1954">
        <f t="shared" si="263"/>
        <v>0</v>
      </c>
      <c r="AX377" s="1954">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79"/>
      <c r="B378" s="80"/>
      <c r="C378" s="80"/>
      <c r="D378" s="81"/>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954">
        <f t="shared" si="262"/>
        <v>0</v>
      </c>
      <c r="AW378" s="1954">
        <f t="shared" si="263"/>
        <v>0</v>
      </c>
      <c r="AX378" s="1954">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79"/>
      <c r="B379" s="80"/>
      <c r="C379" s="80"/>
      <c r="D379" s="81"/>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954">
        <f t="shared" si="262"/>
        <v>0</v>
      </c>
      <c r="AW379" s="1954">
        <f t="shared" si="263"/>
        <v>0</v>
      </c>
      <c r="AX379" s="1954">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79"/>
      <c r="B380" s="80"/>
      <c r="C380" s="80"/>
      <c r="D380" s="81"/>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954">
        <f t="shared" si="262"/>
        <v>0</v>
      </c>
      <c r="AW380" s="1954">
        <f t="shared" si="263"/>
        <v>0</v>
      </c>
      <c r="AX380" s="1954">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79"/>
      <c r="B381" s="80"/>
      <c r="C381" s="80"/>
      <c r="D381" s="81"/>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954">
        <f t="shared" si="262"/>
        <v>0</v>
      </c>
      <c r="AW381" s="1954">
        <f t="shared" si="263"/>
        <v>0</v>
      </c>
      <c r="AX381" s="1954">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79"/>
      <c r="B382" s="80"/>
      <c r="C382" s="80"/>
      <c r="D382" s="81"/>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954">
        <f t="shared" si="262"/>
        <v>0</v>
      </c>
      <c r="AW382" s="1954">
        <f t="shared" si="263"/>
        <v>0</v>
      </c>
      <c r="AX382" s="1954">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79"/>
      <c r="B383" s="80"/>
      <c r="C383" s="80"/>
      <c r="D383" s="81"/>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954">
        <f t="shared" si="262"/>
        <v>0</v>
      </c>
      <c r="AW383" s="1954">
        <f t="shared" si="263"/>
        <v>0</v>
      </c>
      <c r="AX383" s="1954">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79"/>
      <c r="B384" s="80"/>
      <c r="C384" s="80"/>
      <c r="D384" s="81"/>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954">
        <f t="shared" si="262"/>
        <v>0</v>
      </c>
      <c r="AW384" s="1954">
        <f t="shared" si="263"/>
        <v>0</v>
      </c>
      <c r="AX384" s="1954">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79"/>
      <c r="B385" s="80"/>
      <c r="C385" s="80"/>
      <c r="D385" s="81"/>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954">
        <f t="shared" si="262"/>
        <v>0</v>
      </c>
      <c r="AW385" s="1954">
        <f t="shared" si="263"/>
        <v>0</v>
      </c>
      <c r="AX385" s="1954">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79"/>
      <c r="B386" s="79"/>
      <c r="C386" s="79"/>
      <c r="D386" s="81"/>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954">
        <f t="shared" si="262"/>
        <v>0</v>
      </c>
      <c r="AW386" s="1954">
        <f t="shared" si="263"/>
        <v>0</v>
      </c>
      <c r="AX386" s="1954">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79"/>
      <c r="B387" s="79"/>
      <c r="C387" s="79"/>
      <c r="D387" s="81"/>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954">
        <f t="shared" si="262"/>
        <v>0</v>
      </c>
      <c r="AW387" s="1954">
        <f t="shared" si="263"/>
        <v>0</v>
      </c>
      <c r="AX387" s="1954">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79"/>
      <c r="B388" s="79"/>
      <c r="C388" s="79"/>
      <c r="D388" s="81"/>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954">
        <f t="shared" si="262"/>
        <v>0</v>
      </c>
      <c r="AW388" s="1954">
        <f t="shared" si="263"/>
        <v>0</v>
      </c>
      <c r="AX388" s="1954">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79"/>
      <c r="B389" s="1374"/>
      <c r="C389" s="1375"/>
      <c r="D389" s="76"/>
      <c r="E389" s="82">
        <f t="shared" ref="E389:E480" si="265">IF($C$3="是",ROUND($A$3*G389/$B$3,2),ROUND($A$3*(G389-AT389)/$B$3,2))</f>
        <v>0</v>
      </c>
      <c r="F389" s="83"/>
      <c r="G389" s="84">
        <f t="shared" ref="G389:G477" si="266">H389+AC389+AT389</f>
        <v>0</v>
      </c>
      <c r="H389" s="85">
        <f t="shared" ref="H389:H477" si="267">SUMIF(I$12:AB$12,"总值",I389:AB389)</f>
        <v>0</v>
      </c>
      <c r="I389" s="1377"/>
      <c r="J389" s="86"/>
      <c r="K389" s="1377"/>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378"/>
      <c r="AG389" s="87"/>
      <c r="AH389" s="87"/>
      <c r="AI389" s="87"/>
      <c r="AJ389" s="87"/>
      <c r="AK389" s="87"/>
      <c r="AL389" s="87"/>
      <c r="AM389" s="87"/>
      <c r="AN389" s="1350"/>
      <c r="AO389" s="87"/>
      <c r="AP389" s="87"/>
      <c r="AQ389" s="87"/>
      <c r="AR389" s="87"/>
      <c r="AS389" s="87"/>
      <c r="AT389" s="88"/>
      <c r="AU389" s="89"/>
      <c r="AV389" s="1954">
        <f t="shared" ref="AV389:AV480" si="269">A389</f>
        <v>0</v>
      </c>
      <c r="AW389" s="1954">
        <f t="shared" ref="AW389:AW480" si="270">B389</f>
        <v>0</v>
      </c>
      <c r="AX389" s="1954">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79"/>
      <c r="B390" s="1374"/>
      <c r="C390" s="1375"/>
      <c r="D390" s="76"/>
      <c r="E390" s="82">
        <f t="shared" si="265"/>
        <v>0</v>
      </c>
      <c r="F390" s="83"/>
      <c r="G390" s="84">
        <f t="shared" si="266"/>
        <v>0</v>
      </c>
      <c r="H390" s="85">
        <f t="shared" si="267"/>
        <v>0</v>
      </c>
      <c r="I390" s="1377"/>
      <c r="J390" s="86"/>
      <c r="K390" s="1377"/>
      <c r="L390" s="86"/>
      <c r="M390" s="1350"/>
      <c r="N390" s="86"/>
      <c r="O390" s="86"/>
      <c r="P390" s="86"/>
      <c r="Q390" s="86"/>
      <c r="R390" s="86"/>
      <c r="S390" s="86"/>
      <c r="T390" s="86"/>
      <c r="U390" s="86"/>
      <c r="V390" s="86"/>
      <c r="W390" s="86"/>
      <c r="X390" s="86"/>
      <c r="Y390" s="86"/>
      <c r="Z390" s="86"/>
      <c r="AA390" s="86"/>
      <c r="AB390" s="86"/>
      <c r="AC390" s="82">
        <f t="shared" si="268"/>
        <v>0</v>
      </c>
      <c r="AD390" s="1350"/>
      <c r="AE390" s="87"/>
      <c r="AF390" s="1378"/>
      <c r="AG390" s="87"/>
      <c r="AH390" s="87"/>
      <c r="AI390" s="87"/>
      <c r="AJ390" s="87"/>
      <c r="AK390" s="87"/>
      <c r="AL390" s="1350"/>
      <c r="AM390" s="87"/>
      <c r="AN390" s="1350"/>
      <c r="AO390" s="87"/>
      <c r="AP390" s="87"/>
      <c r="AQ390" s="87"/>
      <c r="AR390" s="87"/>
      <c r="AS390" s="87"/>
      <c r="AT390" s="88"/>
      <c r="AU390" s="89"/>
      <c r="AV390" s="1954">
        <f t="shared" si="269"/>
        <v>0</v>
      </c>
      <c r="AW390" s="1954">
        <f t="shared" si="270"/>
        <v>0</v>
      </c>
      <c r="AX390" s="1954">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79"/>
      <c r="B391" s="1374"/>
      <c r="C391" s="1375"/>
      <c r="D391" s="76"/>
      <c r="E391" s="82">
        <f t="shared" si="265"/>
        <v>0</v>
      </c>
      <c r="F391" s="83"/>
      <c r="G391" s="84">
        <f t="shared" si="266"/>
        <v>0</v>
      </c>
      <c r="H391" s="85">
        <f t="shared" si="267"/>
        <v>0</v>
      </c>
      <c r="I391" s="1377"/>
      <c r="J391" s="86"/>
      <c r="K391" s="1377"/>
      <c r="L391" s="86"/>
      <c r="M391" s="1350"/>
      <c r="N391" s="86"/>
      <c r="O391" s="86"/>
      <c r="P391" s="86"/>
      <c r="Q391" s="86"/>
      <c r="R391" s="86"/>
      <c r="S391" s="86"/>
      <c r="T391" s="86"/>
      <c r="U391" s="86"/>
      <c r="V391" s="86"/>
      <c r="W391" s="86"/>
      <c r="X391" s="86"/>
      <c r="Y391" s="86"/>
      <c r="Z391" s="86"/>
      <c r="AA391" s="86"/>
      <c r="AB391" s="86"/>
      <c r="AC391" s="82">
        <f t="shared" si="268"/>
        <v>0</v>
      </c>
      <c r="AD391" s="87"/>
      <c r="AE391" s="87"/>
      <c r="AF391" s="1378"/>
      <c r="AG391" s="87"/>
      <c r="AH391" s="87"/>
      <c r="AI391" s="87"/>
      <c r="AJ391" s="87"/>
      <c r="AK391" s="87"/>
      <c r="AL391" s="1350"/>
      <c r="AM391" s="87"/>
      <c r="AN391" s="1350"/>
      <c r="AO391" s="87"/>
      <c r="AP391" s="87"/>
      <c r="AQ391" s="87"/>
      <c r="AR391" s="87"/>
      <c r="AS391" s="87"/>
      <c r="AT391" s="88"/>
      <c r="AU391" s="89"/>
      <c r="AV391" s="1954">
        <f t="shared" si="269"/>
        <v>0</v>
      </c>
      <c r="AW391" s="1954">
        <f t="shared" si="270"/>
        <v>0</v>
      </c>
      <c r="AX391" s="1954">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79"/>
      <c r="B392" s="1374"/>
      <c r="C392" s="1375"/>
      <c r="D392" s="76"/>
      <c r="E392" s="82">
        <f t="shared" si="265"/>
        <v>0</v>
      </c>
      <c r="F392" s="83"/>
      <c r="G392" s="84">
        <f t="shared" si="266"/>
        <v>0</v>
      </c>
      <c r="H392" s="85">
        <f t="shared" si="267"/>
        <v>0</v>
      </c>
      <c r="I392" s="1377"/>
      <c r="J392" s="86"/>
      <c r="K392" s="1377"/>
      <c r="L392" s="86"/>
      <c r="M392" s="86"/>
      <c r="N392" s="86"/>
      <c r="O392" s="1350"/>
      <c r="P392" s="86"/>
      <c r="Q392" s="86"/>
      <c r="R392" s="86"/>
      <c r="S392" s="86"/>
      <c r="T392" s="86"/>
      <c r="U392" s="86"/>
      <c r="V392" s="86"/>
      <c r="W392" s="86"/>
      <c r="X392" s="86"/>
      <c r="Y392" s="86"/>
      <c r="Z392" s="86"/>
      <c r="AA392" s="86"/>
      <c r="AB392" s="86"/>
      <c r="AC392" s="82">
        <f t="shared" si="268"/>
        <v>0</v>
      </c>
      <c r="AD392" s="87"/>
      <c r="AE392" s="87"/>
      <c r="AF392" s="1378"/>
      <c r="AG392" s="87"/>
      <c r="AH392" s="87"/>
      <c r="AI392" s="87"/>
      <c r="AJ392" s="87"/>
      <c r="AK392" s="87"/>
      <c r="AL392" s="87"/>
      <c r="AM392" s="87"/>
      <c r="AN392" s="1350"/>
      <c r="AO392" s="87"/>
      <c r="AP392" s="87"/>
      <c r="AQ392" s="87"/>
      <c r="AR392" s="87"/>
      <c r="AS392" s="87"/>
      <c r="AT392" s="88"/>
      <c r="AU392" s="89"/>
      <c r="AV392" s="1954">
        <f t="shared" si="269"/>
        <v>0</v>
      </c>
      <c r="AW392" s="1954">
        <f t="shared" si="270"/>
        <v>0</v>
      </c>
      <c r="AX392" s="1954">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79"/>
      <c r="B393" s="1374"/>
      <c r="C393" s="1375"/>
      <c r="D393" s="76"/>
      <c r="E393" s="82">
        <f t="shared" si="265"/>
        <v>0</v>
      </c>
      <c r="F393" s="83"/>
      <c r="G393" s="84">
        <f t="shared" si="266"/>
        <v>0</v>
      </c>
      <c r="H393" s="85">
        <f t="shared" si="267"/>
        <v>0</v>
      </c>
      <c r="I393" s="1377"/>
      <c r="J393" s="86"/>
      <c r="K393" s="1377"/>
      <c r="L393" s="86"/>
      <c r="M393" s="86"/>
      <c r="N393" s="86"/>
      <c r="O393" s="86"/>
      <c r="P393" s="86"/>
      <c r="Q393" s="86"/>
      <c r="R393" s="86"/>
      <c r="S393" s="86"/>
      <c r="T393" s="86"/>
      <c r="U393" s="86"/>
      <c r="V393" s="86"/>
      <c r="W393" s="86"/>
      <c r="X393" s="86"/>
      <c r="Y393" s="86"/>
      <c r="Z393" s="86"/>
      <c r="AA393" s="86"/>
      <c r="AB393" s="86"/>
      <c r="AC393" s="82">
        <f t="shared" si="268"/>
        <v>0</v>
      </c>
      <c r="AD393" s="87"/>
      <c r="AE393" s="87"/>
      <c r="AF393" s="1378"/>
      <c r="AG393" s="87"/>
      <c r="AH393" s="87"/>
      <c r="AI393" s="87"/>
      <c r="AJ393" s="87"/>
      <c r="AK393" s="87"/>
      <c r="AL393" s="87"/>
      <c r="AM393" s="87"/>
      <c r="AN393" s="87"/>
      <c r="AO393" s="87"/>
      <c r="AP393" s="87"/>
      <c r="AQ393" s="87"/>
      <c r="AR393" s="87"/>
      <c r="AS393" s="87"/>
      <c r="AT393" s="88"/>
      <c r="AU393" s="89"/>
      <c r="AV393" s="1954">
        <f t="shared" si="269"/>
        <v>0</v>
      </c>
      <c r="AW393" s="1954">
        <f t="shared" si="270"/>
        <v>0</v>
      </c>
      <c r="AX393" s="1954">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79"/>
      <c r="B394" s="1374"/>
      <c r="C394" s="1375"/>
      <c r="D394" s="76"/>
      <c r="E394" s="82">
        <f t="shared" si="265"/>
        <v>0</v>
      </c>
      <c r="F394" s="83"/>
      <c r="G394" s="84">
        <f t="shared" si="266"/>
        <v>0</v>
      </c>
      <c r="H394" s="85">
        <f t="shared" si="267"/>
        <v>0</v>
      </c>
      <c r="I394" s="1377"/>
      <c r="J394" s="86"/>
      <c r="K394" s="1377"/>
      <c r="L394" s="86"/>
      <c r="M394" s="86"/>
      <c r="N394" s="86"/>
      <c r="O394" s="86"/>
      <c r="P394" s="86"/>
      <c r="Q394" s="86"/>
      <c r="R394" s="86"/>
      <c r="S394" s="86"/>
      <c r="T394" s="86"/>
      <c r="U394" s="86"/>
      <c r="V394" s="86"/>
      <c r="W394" s="86"/>
      <c r="X394" s="86"/>
      <c r="Y394" s="86"/>
      <c r="Z394" s="86"/>
      <c r="AA394" s="86"/>
      <c r="AB394" s="86"/>
      <c r="AC394" s="82">
        <f t="shared" si="268"/>
        <v>0</v>
      </c>
      <c r="AD394" s="87"/>
      <c r="AE394" s="87"/>
      <c r="AF394" s="1378"/>
      <c r="AG394" s="87"/>
      <c r="AH394" s="87"/>
      <c r="AI394" s="87"/>
      <c r="AJ394" s="87"/>
      <c r="AK394" s="87"/>
      <c r="AL394" s="87"/>
      <c r="AM394" s="87"/>
      <c r="AN394" s="87"/>
      <c r="AO394" s="87"/>
      <c r="AP394" s="87"/>
      <c r="AQ394" s="87"/>
      <c r="AR394" s="87"/>
      <c r="AS394" s="87"/>
      <c r="AT394" s="88"/>
      <c r="AU394" s="89"/>
      <c r="AV394" s="1954">
        <f t="shared" si="269"/>
        <v>0</v>
      </c>
      <c r="AW394" s="1954">
        <f t="shared" si="270"/>
        <v>0</v>
      </c>
      <c r="AX394" s="1954">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79"/>
      <c r="B395" s="1374"/>
      <c r="C395" s="1375"/>
      <c r="D395" s="76"/>
      <c r="E395" s="82">
        <f t="shared" si="265"/>
        <v>0</v>
      </c>
      <c r="F395" s="83"/>
      <c r="G395" s="84">
        <f t="shared" si="266"/>
        <v>0</v>
      </c>
      <c r="H395" s="85">
        <f t="shared" si="267"/>
        <v>0</v>
      </c>
      <c r="I395" s="1377"/>
      <c r="J395" s="86"/>
      <c r="K395" s="1377"/>
      <c r="L395" s="86"/>
      <c r="M395" s="86"/>
      <c r="N395" s="86"/>
      <c r="O395" s="86"/>
      <c r="P395" s="86"/>
      <c r="Q395" s="86"/>
      <c r="R395" s="86"/>
      <c r="S395" s="86"/>
      <c r="T395" s="86"/>
      <c r="U395" s="86"/>
      <c r="V395" s="86"/>
      <c r="W395" s="86"/>
      <c r="X395" s="86"/>
      <c r="Y395" s="86"/>
      <c r="Z395" s="86"/>
      <c r="AA395" s="86"/>
      <c r="AB395" s="86"/>
      <c r="AC395" s="82">
        <f t="shared" si="268"/>
        <v>0</v>
      </c>
      <c r="AD395" s="87"/>
      <c r="AE395" s="87"/>
      <c r="AF395" s="1378"/>
      <c r="AG395" s="87"/>
      <c r="AH395" s="87"/>
      <c r="AI395" s="87"/>
      <c r="AJ395" s="87"/>
      <c r="AK395" s="87"/>
      <c r="AL395" s="87"/>
      <c r="AM395" s="87"/>
      <c r="AN395" s="87"/>
      <c r="AO395" s="87"/>
      <c r="AP395" s="87"/>
      <c r="AQ395" s="87"/>
      <c r="AR395" s="87"/>
      <c r="AS395" s="87"/>
      <c r="AT395" s="88"/>
      <c r="AU395" s="89"/>
      <c r="AV395" s="1954">
        <f t="shared" si="269"/>
        <v>0</v>
      </c>
      <c r="AW395" s="1954">
        <f t="shared" si="270"/>
        <v>0</v>
      </c>
      <c r="AX395" s="1954">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79"/>
      <c r="B396" s="1374"/>
      <c r="C396" s="1375"/>
      <c r="D396" s="76"/>
      <c r="E396" s="82">
        <f t="shared" si="265"/>
        <v>0</v>
      </c>
      <c r="F396" s="83"/>
      <c r="G396" s="84">
        <f t="shared" si="266"/>
        <v>0</v>
      </c>
      <c r="H396" s="85">
        <f t="shared" si="267"/>
        <v>0</v>
      </c>
      <c r="I396" s="1377"/>
      <c r="J396" s="86"/>
      <c r="K396" s="1377"/>
      <c r="L396" s="86"/>
      <c r="M396" s="86"/>
      <c r="N396" s="86"/>
      <c r="O396" s="86"/>
      <c r="P396" s="86"/>
      <c r="Q396" s="86"/>
      <c r="R396" s="86"/>
      <c r="S396" s="86"/>
      <c r="T396" s="86"/>
      <c r="U396" s="86"/>
      <c r="V396" s="86"/>
      <c r="W396" s="86"/>
      <c r="X396" s="86"/>
      <c r="Y396" s="86"/>
      <c r="Z396" s="86"/>
      <c r="AA396" s="86"/>
      <c r="AB396" s="86"/>
      <c r="AC396" s="82">
        <f t="shared" si="268"/>
        <v>0</v>
      </c>
      <c r="AD396" s="87"/>
      <c r="AE396" s="87"/>
      <c r="AF396" s="1377"/>
      <c r="AG396" s="87"/>
      <c r="AH396" s="87"/>
      <c r="AI396" s="87"/>
      <c r="AJ396" s="87"/>
      <c r="AK396" s="87"/>
      <c r="AL396" s="87"/>
      <c r="AM396" s="87"/>
      <c r="AN396" s="87"/>
      <c r="AO396" s="87"/>
      <c r="AP396" s="87"/>
      <c r="AQ396" s="87"/>
      <c r="AR396" s="87"/>
      <c r="AS396" s="87"/>
      <c r="AT396" s="88"/>
      <c r="AU396" s="89"/>
      <c r="AV396" s="1954">
        <f t="shared" si="269"/>
        <v>0</v>
      </c>
      <c r="AW396" s="1954">
        <f t="shared" si="270"/>
        <v>0</v>
      </c>
      <c r="AX396" s="1954">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79"/>
      <c r="B397" s="1376"/>
      <c r="C397" s="1377"/>
      <c r="D397" s="76"/>
      <c r="E397" s="82">
        <f t="shared" si="265"/>
        <v>0</v>
      </c>
      <c r="F397" s="83"/>
      <c r="G397" s="84">
        <f t="shared" si="266"/>
        <v>0</v>
      </c>
      <c r="H397" s="85">
        <f t="shared" si="267"/>
        <v>0</v>
      </c>
      <c r="I397" s="1377"/>
      <c r="J397" s="86"/>
      <c r="K397" s="1377"/>
      <c r="L397" s="86"/>
      <c r="M397" s="86"/>
      <c r="N397" s="86"/>
      <c r="O397" s="86"/>
      <c r="P397" s="86"/>
      <c r="Q397" s="86"/>
      <c r="R397" s="86"/>
      <c r="S397" s="86"/>
      <c r="T397" s="86"/>
      <c r="U397" s="86"/>
      <c r="V397" s="86"/>
      <c r="W397" s="86"/>
      <c r="X397" s="86"/>
      <c r="Y397" s="86"/>
      <c r="Z397" s="86"/>
      <c r="AA397" s="86"/>
      <c r="AB397" s="86"/>
      <c r="AC397" s="82">
        <f t="shared" si="268"/>
        <v>0</v>
      </c>
      <c r="AD397" s="87"/>
      <c r="AE397" s="87"/>
      <c r="AF397" s="1377"/>
      <c r="AG397" s="87"/>
      <c r="AH397" s="87"/>
      <c r="AI397" s="87"/>
      <c r="AJ397" s="87"/>
      <c r="AK397" s="87"/>
      <c r="AL397" s="87"/>
      <c r="AM397" s="87"/>
      <c r="AN397" s="87"/>
      <c r="AO397" s="87"/>
      <c r="AP397" s="87"/>
      <c r="AQ397" s="87"/>
      <c r="AR397" s="87"/>
      <c r="AS397" s="87"/>
      <c r="AT397" s="88"/>
      <c r="AU397" s="89"/>
      <c r="AV397" s="1954">
        <f t="shared" si="269"/>
        <v>0</v>
      </c>
      <c r="AW397" s="1954">
        <f t="shared" si="270"/>
        <v>0</v>
      </c>
      <c r="AX397" s="1954">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79"/>
      <c r="B398" s="1374"/>
      <c r="C398" s="1375"/>
      <c r="D398" s="76"/>
      <c r="E398" s="82">
        <f t="shared" si="265"/>
        <v>0</v>
      </c>
      <c r="F398" s="83"/>
      <c r="G398" s="84">
        <f t="shared" si="266"/>
        <v>0</v>
      </c>
      <c r="H398" s="85">
        <f t="shared" si="267"/>
        <v>0</v>
      </c>
      <c r="I398" s="1377"/>
      <c r="J398" s="86"/>
      <c r="K398" s="1377"/>
      <c r="L398" s="86"/>
      <c r="M398" s="86"/>
      <c r="N398" s="86"/>
      <c r="O398" s="86"/>
      <c r="P398" s="86"/>
      <c r="Q398" s="86"/>
      <c r="R398" s="86"/>
      <c r="S398" s="86"/>
      <c r="T398" s="86"/>
      <c r="U398" s="86"/>
      <c r="V398" s="86"/>
      <c r="W398" s="86"/>
      <c r="X398" s="86"/>
      <c r="Y398" s="86"/>
      <c r="Z398" s="86"/>
      <c r="AA398" s="86"/>
      <c r="AB398" s="86"/>
      <c r="AC398" s="82">
        <f t="shared" si="268"/>
        <v>0</v>
      </c>
      <c r="AD398" s="87"/>
      <c r="AE398" s="87"/>
      <c r="AF398" s="1377"/>
      <c r="AG398" s="87"/>
      <c r="AH398" s="87"/>
      <c r="AI398" s="87"/>
      <c r="AJ398" s="87"/>
      <c r="AK398" s="87"/>
      <c r="AL398" s="87"/>
      <c r="AM398" s="87"/>
      <c r="AN398" s="87"/>
      <c r="AO398" s="87"/>
      <c r="AP398" s="87"/>
      <c r="AQ398" s="87"/>
      <c r="AR398" s="87"/>
      <c r="AS398" s="87"/>
      <c r="AT398" s="88"/>
      <c r="AU398" s="89"/>
      <c r="AV398" s="1954">
        <f t="shared" si="269"/>
        <v>0</v>
      </c>
      <c r="AW398" s="1954">
        <f t="shared" si="270"/>
        <v>0</v>
      </c>
      <c r="AX398" s="1954">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79"/>
      <c r="B399" s="1374"/>
      <c r="C399" s="1375"/>
      <c r="D399" s="76"/>
      <c r="E399" s="82">
        <f t="shared" si="265"/>
        <v>0</v>
      </c>
      <c r="F399" s="83"/>
      <c r="G399" s="84">
        <f t="shared" si="266"/>
        <v>0</v>
      </c>
      <c r="H399" s="85">
        <f t="shared" si="267"/>
        <v>0</v>
      </c>
      <c r="I399" s="1377"/>
      <c r="J399" s="86"/>
      <c r="K399" s="1377"/>
      <c r="L399" s="86"/>
      <c r="M399" s="86"/>
      <c r="N399" s="86"/>
      <c r="O399" s="86"/>
      <c r="P399" s="86"/>
      <c r="Q399" s="86"/>
      <c r="R399" s="86"/>
      <c r="S399" s="86"/>
      <c r="T399" s="86"/>
      <c r="U399" s="86"/>
      <c r="V399" s="86"/>
      <c r="W399" s="86"/>
      <c r="X399" s="86"/>
      <c r="Y399" s="86"/>
      <c r="Z399" s="86"/>
      <c r="AA399" s="86"/>
      <c r="AB399" s="86"/>
      <c r="AC399" s="82">
        <f t="shared" si="268"/>
        <v>0</v>
      </c>
      <c r="AD399" s="87"/>
      <c r="AE399" s="87"/>
      <c r="AF399" s="1377"/>
      <c r="AG399" s="87"/>
      <c r="AH399" s="87"/>
      <c r="AI399" s="87"/>
      <c r="AJ399" s="87"/>
      <c r="AK399" s="87"/>
      <c r="AL399" s="87"/>
      <c r="AM399" s="87"/>
      <c r="AN399" s="87"/>
      <c r="AO399" s="87"/>
      <c r="AP399" s="87"/>
      <c r="AQ399" s="87"/>
      <c r="AR399" s="87"/>
      <c r="AS399" s="87"/>
      <c r="AT399" s="88"/>
      <c r="AU399" s="89"/>
      <c r="AV399" s="1954">
        <f t="shared" si="269"/>
        <v>0</v>
      </c>
      <c r="AW399" s="1954">
        <f t="shared" si="270"/>
        <v>0</v>
      </c>
      <c r="AX399" s="1954">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79"/>
      <c r="B400" s="1374"/>
      <c r="C400" s="1375"/>
      <c r="D400" s="76"/>
      <c r="E400" s="82">
        <f t="shared" si="265"/>
        <v>0</v>
      </c>
      <c r="F400" s="83"/>
      <c r="G400" s="84">
        <f t="shared" si="266"/>
        <v>0</v>
      </c>
      <c r="H400" s="85">
        <f t="shared" si="267"/>
        <v>0</v>
      </c>
      <c r="I400" s="1377"/>
      <c r="J400" s="86"/>
      <c r="K400" s="1377"/>
      <c r="L400" s="86"/>
      <c r="M400" s="86"/>
      <c r="N400" s="86"/>
      <c r="O400" s="86"/>
      <c r="P400" s="86"/>
      <c r="Q400" s="86"/>
      <c r="R400" s="86"/>
      <c r="S400" s="86"/>
      <c r="T400" s="86"/>
      <c r="U400" s="86"/>
      <c r="V400" s="86"/>
      <c r="W400" s="86"/>
      <c r="X400" s="86"/>
      <c r="Y400" s="86"/>
      <c r="Z400" s="86"/>
      <c r="AA400" s="86"/>
      <c r="AB400" s="86"/>
      <c r="AC400" s="82">
        <f t="shared" si="268"/>
        <v>0</v>
      </c>
      <c r="AD400" s="87"/>
      <c r="AE400" s="87"/>
      <c r="AF400" s="1377"/>
      <c r="AG400" s="87"/>
      <c r="AH400" s="87"/>
      <c r="AI400" s="87"/>
      <c r="AJ400" s="87"/>
      <c r="AK400" s="87"/>
      <c r="AL400" s="87"/>
      <c r="AM400" s="87"/>
      <c r="AN400" s="87"/>
      <c r="AO400" s="87"/>
      <c r="AP400" s="87"/>
      <c r="AQ400" s="87"/>
      <c r="AR400" s="87"/>
      <c r="AS400" s="87"/>
      <c r="AT400" s="88"/>
      <c r="AU400" s="89"/>
      <c r="AV400" s="1954">
        <f t="shared" si="269"/>
        <v>0</v>
      </c>
      <c r="AW400" s="1954">
        <f t="shared" si="270"/>
        <v>0</v>
      </c>
      <c r="AX400" s="1954">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79"/>
      <c r="B401" s="1374"/>
      <c r="C401" s="1375"/>
      <c r="D401" s="76"/>
      <c r="E401" s="82">
        <f t="shared" si="265"/>
        <v>0</v>
      </c>
      <c r="F401" s="83"/>
      <c r="G401" s="84">
        <f t="shared" si="266"/>
        <v>0</v>
      </c>
      <c r="H401" s="85">
        <f t="shared" si="267"/>
        <v>0</v>
      </c>
      <c r="I401" s="1377"/>
      <c r="J401" s="86"/>
      <c r="K401" s="1377"/>
      <c r="L401" s="86"/>
      <c r="M401" s="86"/>
      <c r="N401" s="86"/>
      <c r="O401" s="86"/>
      <c r="P401" s="86"/>
      <c r="Q401" s="86"/>
      <c r="R401" s="86"/>
      <c r="S401" s="86"/>
      <c r="T401" s="86"/>
      <c r="U401" s="86"/>
      <c r="V401" s="86"/>
      <c r="W401" s="86"/>
      <c r="X401" s="86"/>
      <c r="Y401" s="86"/>
      <c r="Z401" s="86"/>
      <c r="AA401" s="86"/>
      <c r="AB401" s="86"/>
      <c r="AC401" s="82">
        <f t="shared" si="268"/>
        <v>0</v>
      </c>
      <c r="AD401" s="87"/>
      <c r="AE401" s="87"/>
      <c r="AF401" s="1377"/>
      <c r="AG401" s="87"/>
      <c r="AH401" s="87"/>
      <c r="AI401" s="87"/>
      <c r="AJ401" s="87"/>
      <c r="AK401" s="87"/>
      <c r="AL401" s="87"/>
      <c r="AM401" s="87"/>
      <c r="AN401" s="87"/>
      <c r="AO401" s="87"/>
      <c r="AP401" s="87"/>
      <c r="AQ401" s="87"/>
      <c r="AR401" s="87"/>
      <c r="AS401" s="87"/>
      <c r="AT401" s="88"/>
      <c r="AU401" s="89"/>
      <c r="AV401" s="1954">
        <f t="shared" si="269"/>
        <v>0</v>
      </c>
      <c r="AW401" s="1954">
        <f t="shared" si="270"/>
        <v>0</v>
      </c>
      <c r="AX401" s="1954">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79"/>
      <c r="B402" s="1374"/>
      <c r="C402" s="1375"/>
      <c r="D402" s="76"/>
      <c r="E402" s="82">
        <f t="shared" si="265"/>
        <v>0</v>
      </c>
      <c r="F402" s="83"/>
      <c r="G402" s="84">
        <f t="shared" si="266"/>
        <v>0</v>
      </c>
      <c r="H402" s="85">
        <f t="shared" si="267"/>
        <v>0</v>
      </c>
      <c r="I402" s="1377"/>
      <c r="J402" s="86"/>
      <c r="K402" s="1377"/>
      <c r="L402" s="86"/>
      <c r="M402" s="86"/>
      <c r="N402" s="86"/>
      <c r="O402" s="86"/>
      <c r="P402" s="86"/>
      <c r="Q402" s="86"/>
      <c r="R402" s="86"/>
      <c r="S402" s="86"/>
      <c r="T402" s="86"/>
      <c r="U402" s="86"/>
      <c r="V402" s="86"/>
      <c r="W402" s="86"/>
      <c r="X402" s="86"/>
      <c r="Y402" s="86"/>
      <c r="Z402" s="86"/>
      <c r="AA402" s="86"/>
      <c r="AB402" s="86"/>
      <c r="AC402" s="82">
        <f t="shared" si="268"/>
        <v>0</v>
      </c>
      <c r="AD402" s="87"/>
      <c r="AE402" s="87"/>
      <c r="AF402" s="1377"/>
      <c r="AG402" s="87"/>
      <c r="AH402" s="87"/>
      <c r="AI402" s="87"/>
      <c r="AJ402" s="87"/>
      <c r="AK402" s="87"/>
      <c r="AL402" s="87"/>
      <c r="AM402" s="87"/>
      <c r="AN402" s="87"/>
      <c r="AO402" s="87"/>
      <c r="AP402" s="87"/>
      <c r="AQ402" s="87"/>
      <c r="AR402" s="87"/>
      <c r="AS402" s="87"/>
      <c r="AT402" s="88"/>
      <c r="AU402" s="89"/>
      <c r="AV402" s="1954">
        <f t="shared" si="269"/>
        <v>0</v>
      </c>
      <c r="AW402" s="1954">
        <f t="shared" si="270"/>
        <v>0</v>
      </c>
      <c r="AX402" s="1954">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79"/>
      <c r="B403" s="1374"/>
      <c r="C403" s="1375"/>
      <c r="D403" s="76"/>
      <c r="E403" s="82">
        <f t="shared" si="265"/>
        <v>0</v>
      </c>
      <c r="F403" s="83"/>
      <c r="G403" s="84">
        <f t="shared" si="266"/>
        <v>0</v>
      </c>
      <c r="H403" s="85">
        <f t="shared" si="267"/>
        <v>0</v>
      </c>
      <c r="I403" s="1377"/>
      <c r="J403" s="86"/>
      <c r="K403" s="1377"/>
      <c r="L403" s="86"/>
      <c r="M403" s="86"/>
      <c r="N403" s="86"/>
      <c r="O403" s="86"/>
      <c r="P403" s="86"/>
      <c r="Q403" s="86"/>
      <c r="R403" s="86"/>
      <c r="S403" s="86"/>
      <c r="T403" s="86"/>
      <c r="U403" s="86"/>
      <c r="V403" s="86"/>
      <c r="W403" s="86"/>
      <c r="X403" s="86"/>
      <c r="Y403" s="86"/>
      <c r="Z403" s="86"/>
      <c r="AA403" s="86"/>
      <c r="AB403" s="86"/>
      <c r="AC403" s="82">
        <f t="shared" si="268"/>
        <v>0</v>
      </c>
      <c r="AD403" s="87"/>
      <c r="AE403" s="87"/>
      <c r="AF403" s="1377"/>
      <c r="AG403" s="87"/>
      <c r="AH403" s="87"/>
      <c r="AI403" s="87"/>
      <c r="AJ403" s="87"/>
      <c r="AK403" s="87"/>
      <c r="AL403" s="87"/>
      <c r="AM403" s="87"/>
      <c r="AN403" s="87"/>
      <c r="AO403" s="87"/>
      <c r="AP403" s="87"/>
      <c r="AQ403" s="87"/>
      <c r="AR403" s="87"/>
      <c r="AS403" s="87"/>
      <c r="AT403" s="88"/>
      <c r="AU403" s="89"/>
      <c r="AV403" s="1954">
        <f t="shared" si="269"/>
        <v>0</v>
      </c>
      <c r="AW403" s="1954">
        <f t="shared" si="270"/>
        <v>0</v>
      </c>
      <c r="AX403" s="1954">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79"/>
      <c r="B404" s="1374"/>
      <c r="C404" s="1375"/>
      <c r="D404" s="76"/>
      <c r="E404" s="82">
        <f t="shared" si="265"/>
        <v>0</v>
      </c>
      <c r="F404" s="83"/>
      <c r="G404" s="84">
        <f t="shared" si="266"/>
        <v>0</v>
      </c>
      <c r="H404" s="85">
        <f t="shared" si="267"/>
        <v>0</v>
      </c>
      <c r="I404" s="1377"/>
      <c r="J404" s="86"/>
      <c r="K404" s="1377"/>
      <c r="L404" s="86"/>
      <c r="M404" s="86"/>
      <c r="N404" s="86"/>
      <c r="O404" s="86"/>
      <c r="P404" s="86"/>
      <c r="Q404" s="86"/>
      <c r="R404" s="86"/>
      <c r="S404" s="86"/>
      <c r="T404" s="86"/>
      <c r="U404" s="86"/>
      <c r="V404" s="86"/>
      <c r="W404" s="86"/>
      <c r="X404" s="86"/>
      <c r="Y404" s="86"/>
      <c r="Z404" s="86"/>
      <c r="AA404" s="86"/>
      <c r="AB404" s="86"/>
      <c r="AC404" s="82">
        <f t="shared" si="268"/>
        <v>0</v>
      </c>
      <c r="AD404" s="87"/>
      <c r="AE404" s="87"/>
      <c r="AF404" s="1377"/>
      <c r="AG404" s="87"/>
      <c r="AH404" s="87"/>
      <c r="AI404" s="87"/>
      <c r="AJ404" s="87"/>
      <c r="AK404" s="87"/>
      <c r="AL404" s="87"/>
      <c r="AM404" s="87"/>
      <c r="AN404" s="87"/>
      <c r="AO404" s="87"/>
      <c r="AP404" s="87"/>
      <c r="AQ404" s="87"/>
      <c r="AR404" s="87"/>
      <c r="AS404" s="87"/>
      <c r="AT404" s="88"/>
      <c r="AU404" s="89"/>
      <c r="AV404" s="1954">
        <f t="shared" si="269"/>
        <v>0</v>
      </c>
      <c r="AW404" s="1954">
        <f t="shared" si="270"/>
        <v>0</v>
      </c>
      <c r="AX404" s="1954">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79"/>
      <c r="B405" s="1374"/>
      <c r="C405" s="1375"/>
      <c r="D405" s="76"/>
      <c r="E405" s="82">
        <f t="shared" si="265"/>
        <v>0</v>
      </c>
      <c r="F405" s="83"/>
      <c r="G405" s="84">
        <f t="shared" si="266"/>
        <v>0</v>
      </c>
      <c r="H405" s="85">
        <f t="shared" si="267"/>
        <v>0</v>
      </c>
      <c r="I405" s="1377"/>
      <c r="J405" s="86"/>
      <c r="K405" s="1377"/>
      <c r="L405" s="86"/>
      <c r="M405" s="86"/>
      <c r="N405" s="86"/>
      <c r="O405" s="86"/>
      <c r="P405" s="86"/>
      <c r="Q405" s="86"/>
      <c r="R405" s="86"/>
      <c r="S405" s="86"/>
      <c r="T405" s="86"/>
      <c r="U405" s="86"/>
      <c r="V405" s="86"/>
      <c r="W405" s="86"/>
      <c r="X405" s="86"/>
      <c r="Y405" s="86"/>
      <c r="Z405" s="86"/>
      <c r="AA405" s="86"/>
      <c r="AB405" s="86"/>
      <c r="AC405" s="82">
        <f t="shared" si="268"/>
        <v>0</v>
      </c>
      <c r="AD405" s="87"/>
      <c r="AE405" s="87"/>
      <c r="AF405" s="1377"/>
      <c r="AG405" s="87"/>
      <c r="AH405" s="87"/>
      <c r="AI405" s="87"/>
      <c r="AJ405" s="87"/>
      <c r="AK405" s="87"/>
      <c r="AL405" s="87"/>
      <c r="AM405" s="87"/>
      <c r="AN405" s="87"/>
      <c r="AO405" s="87"/>
      <c r="AP405" s="87"/>
      <c r="AQ405" s="87"/>
      <c r="AR405" s="87"/>
      <c r="AS405" s="87"/>
      <c r="AT405" s="88"/>
      <c r="AU405" s="89"/>
      <c r="AV405" s="1954">
        <f t="shared" si="269"/>
        <v>0</v>
      </c>
      <c r="AW405" s="1954">
        <f t="shared" si="270"/>
        <v>0</v>
      </c>
      <c r="AX405" s="1954">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79"/>
      <c r="B406" s="1374"/>
      <c r="C406" s="1375"/>
      <c r="D406" s="76"/>
      <c r="E406" s="82">
        <f t="shared" si="265"/>
        <v>0</v>
      </c>
      <c r="F406" s="83"/>
      <c r="G406" s="84">
        <f t="shared" si="266"/>
        <v>0</v>
      </c>
      <c r="H406" s="85">
        <f t="shared" si="267"/>
        <v>0</v>
      </c>
      <c r="I406" s="1377"/>
      <c r="J406" s="86"/>
      <c r="K406" s="1377"/>
      <c r="L406" s="86"/>
      <c r="M406" s="86"/>
      <c r="N406" s="86"/>
      <c r="O406" s="86"/>
      <c r="P406" s="86"/>
      <c r="Q406" s="86"/>
      <c r="R406" s="86"/>
      <c r="S406" s="86"/>
      <c r="T406" s="86"/>
      <c r="U406" s="86"/>
      <c r="V406" s="86"/>
      <c r="W406" s="86"/>
      <c r="X406" s="86"/>
      <c r="Y406" s="86"/>
      <c r="Z406" s="86"/>
      <c r="AA406" s="86"/>
      <c r="AB406" s="86"/>
      <c r="AC406" s="82">
        <f t="shared" si="268"/>
        <v>0</v>
      </c>
      <c r="AD406" s="87"/>
      <c r="AE406" s="87"/>
      <c r="AF406" s="1377"/>
      <c r="AG406" s="87"/>
      <c r="AH406" s="87"/>
      <c r="AI406" s="87"/>
      <c r="AJ406" s="87"/>
      <c r="AK406" s="87"/>
      <c r="AL406" s="87"/>
      <c r="AM406" s="87"/>
      <c r="AN406" s="87"/>
      <c r="AO406" s="87"/>
      <c r="AP406" s="87"/>
      <c r="AQ406" s="87"/>
      <c r="AR406" s="87"/>
      <c r="AS406" s="87"/>
      <c r="AT406" s="88"/>
      <c r="AU406" s="89"/>
      <c r="AV406" s="1954">
        <f t="shared" si="269"/>
        <v>0</v>
      </c>
      <c r="AW406" s="1954">
        <f t="shared" si="270"/>
        <v>0</v>
      </c>
      <c r="AX406" s="1954">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79"/>
      <c r="B407" s="1374"/>
      <c r="C407" s="1375"/>
      <c r="D407" s="76"/>
      <c r="E407" s="82">
        <f t="shared" si="265"/>
        <v>0</v>
      </c>
      <c r="F407" s="83"/>
      <c r="G407" s="84">
        <f t="shared" si="266"/>
        <v>0</v>
      </c>
      <c r="H407" s="85">
        <f t="shared" si="267"/>
        <v>0</v>
      </c>
      <c r="I407" s="1377"/>
      <c r="J407" s="86"/>
      <c r="K407" s="1377"/>
      <c r="L407" s="86"/>
      <c r="M407" s="86"/>
      <c r="N407" s="86"/>
      <c r="O407" s="86"/>
      <c r="P407" s="86"/>
      <c r="Q407" s="86"/>
      <c r="R407" s="86"/>
      <c r="S407" s="86"/>
      <c r="T407" s="86"/>
      <c r="U407" s="86"/>
      <c r="V407" s="86"/>
      <c r="W407" s="86"/>
      <c r="X407" s="86"/>
      <c r="Y407" s="86"/>
      <c r="Z407" s="86"/>
      <c r="AA407" s="86"/>
      <c r="AB407" s="86"/>
      <c r="AC407" s="82">
        <f t="shared" si="268"/>
        <v>0</v>
      </c>
      <c r="AD407" s="87"/>
      <c r="AE407" s="87"/>
      <c r="AF407" s="1377"/>
      <c r="AG407" s="87"/>
      <c r="AH407" s="87"/>
      <c r="AI407" s="87"/>
      <c r="AJ407" s="87"/>
      <c r="AK407" s="87"/>
      <c r="AL407" s="87"/>
      <c r="AM407" s="87"/>
      <c r="AN407" s="87"/>
      <c r="AO407" s="87"/>
      <c r="AP407" s="87"/>
      <c r="AQ407" s="87"/>
      <c r="AR407" s="87"/>
      <c r="AS407" s="87"/>
      <c r="AT407" s="88"/>
      <c r="AU407" s="89"/>
      <c r="AV407" s="1954">
        <f t="shared" si="269"/>
        <v>0</v>
      </c>
      <c r="AW407" s="1954">
        <f t="shared" si="270"/>
        <v>0</v>
      </c>
      <c r="AX407" s="1954">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79"/>
      <c r="B408" s="1374"/>
      <c r="C408" s="1375"/>
      <c r="D408" s="76"/>
      <c r="E408" s="82">
        <f t="shared" si="265"/>
        <v>0</v>
      </c>
      <c r="F408" s="83"/>
      <c r="G408" s="84">
        <f t="shared" si="266"/>
        <v>0</v>
      </c>
      <c r="H408" s="85">
        <f t="shared" si="267"/>
        <v>0</v>
      </c>
      <c r="I408" s="1377"/>
      <c r="J408" s="86"/>
      <c r="K408" s="1377"/>
      <c r="L408" s="86"/>
      <c r="M408" s="86"/>
      <c r="N408" s="86"/>
      <c r="O408" s="86"/>
      <c r="P408" s="86"/>
      <c r="Q408" s="86"/>
      <c r="R408" s="86"/>
      <c r="S408" s="86"/>
      <c r="T408" s="86"/>
      <c r="U408" s="86"/>
      <c r="V408" s="86"/>
      <c r="W408" s="86"/>
      <c r="X408" s="86"/>
      <c r="Y408" s="86"/>
      <c r="Z408" s="86"/>
      <c r="AA408" s="86"/>
      <c r="AB408" s="86"/>
      <c r="AC408" s="82">
        <f t="shared" si="268"/>
        <v>0</v>
      </c>
      <c r="AD408" s="87"/>
      <c r="AE408" s="87"/>
      <c r="AF408" s="1377"/>
      <c r="AG408" s="87"/>
      <c r="AH408" s="87"/>
      <c r="AI408" s="87"/>
      <c r="AJ408" s="87"/>
      <c r="AK408" s="87"/>
      <c r="AL408" s="87"/>
      <c r="AM408" s="87"/>
      <c r="AN408" s="87"/>
      <c r="AO408" s="87"/>
      <c r="AP408" s="87"/>
      <c r="AQ408" s="87"/>
      <c r="AR408" s="87"/>
      <c r="AS408" s="87"/>
      <c r="AT408" s="88"/>
      <c r="AU408" s="89"/>
      <c r="AV408" s="1954">
        <f t="shared" si="269"/>
        <v>0</v>
      </c>
      <c r="AW408" s="1954">
        <f t="shared" si="270"/>
        <v>0</v>
      </c>
      <c r="AX408" s="1954">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79"/>
      <c r="B409" s="1374"/>
      <c r="C409" s="1375"/>
      <c r="D409" s="76"/>
      <c r="E409" s="82">
        <f t="shared" si="265"/>
        <v>0</v>
      </c>
      <c r="F409" s="83"/>
      <c r="G409" s="84">
        <f t="shared" si="266"/>
        <v>0</v>
      </c>
      <c r="H409" s="85">
        <f t="shared" si="267"/>
        <v>0</v>
      </c>
      <c r="I409" s="1377"/>
      <c r="J409" s="86"/>
      <c r="K409" s="1377"/>
      <c r="L409" s="86"/>
      <c r="M409" s="86"/>
      <c r="N409" s="86"/>
      <c r="O409" s="86"/>
      <c r="P409" s="86"/>
      <c r="Q409" s="86"/>
      <c r="R409" s="86"/>
      <c r="S409" s="86"/>
      <c r="T409" s="86"/>
      <c r="U409" s="86"/>
      <c r="V409" s="86"/>
      <c r="W409" s="86"/>
      <c r="X409" s="86"/>
      <c r="Y409" s="86"/>
      <c r="Z409" s="86"/>
      <c r="AA409" s="86"/>
      <c r="AB409" s="86"/>
      <c r="AC409" s="82">
        <f t="shared" si="268"/>
        <v>0</v>
      </c>
      <c r="AD409" s="87"/>
      <c r="AE409" s="87"/>
      <c r="AF409" s="1377"/>
      <c r="AG409" s="87"/>
      <c r="AH409" s="87"/>
      <c r="AI409" s="87"/>
      <c r="AJ409" s="87"/>
      <c r="AK409" s="87"/>
      <c r="AL409" s="87"/>
      <c r="AM409" s="87"/>
      <c r="AN409" s="87"/>
      <c r="AO409" s="87"/>
      <c r="AP409" s="87"/>
      <c r="AQ409" s="87"/>
      <c r="AR409" s="87"/>
      <c r="AS409" s="87"/>
      <c r="AT409" s="88"/>
      <c r="AU409" s="89"/>
      <c r="AV409" s="1954">
        <f t="shared" si="269"/>
        <v>0</v>
      </c>
      <c r="AW409" s="1954">
        <f t="shared" si="270"/>
        <v>0</v>
      </c>
      <c r="AX409" s="1954">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79"/>
      <c r="B410" s="1374"/>
      <c r="C410" s="1375"/>
      <c r="D410" s="76"/>
      <c r="E410" s="82">
        <f t="shared" si="265"/>
        <v>0</v>
      </c>
      <c r="F410" s="83"/>
      <c r="G410" s="84">
        <f t="shared" si="266"/>
        <v>0</v>
      </c>
      <c r="H410" s="85">
        <f t="shared" si="267"/>
        <v>0</v>
      </c>
      <c r="I410" s="1377"/>
      <c r="J410" s="86"/>
      <c r="K410" s="1377"/>
      <c r="L410" s="86"/>
      <c r="M410" s="86"/>
      <c r="N410" s="86"/>
      <c r="O410" s="86"/>
      <c r="P410" s="86"/>
      <c r="Q410" s="86"/>
      <c r="R410" s="86"/>
      <c r="S410" s="86"/>
      <c r="T410" s="86"/>
      <c r="U410" s="86"/>
      <c r="V410" s="86"/>
      <c r="W410" s="86"/>
      <c r="X410" s="86"/>
      <c r="Y410" s="86"/>
      <c r="Z410" s="86"/>
      <c r="AA410" s="86"/>
      <c r="AB410" s="86"/>
      <c r="AC410" s="82">
        <f t="shared" si="268"/>
        <v>0</v>
      </c>
      <c r="AD410" s="87"/>
      <c r="AE410" s="87"/>
      <c r="AF410" s="1377"/>
      <c r="AG410" s="87"/>
      <c r="AH410" s="87"/>
      <c r="AI410" s="87"/>
      <c r="AJ410" s="87"/>
      <c r="AK410" s="87"/>
      <c r="AL410" s="87"/>
      <c r="AM410" s="87"/>
      <c r="AN410" s="87"/>
      <c r="AO410" s="87"/>
      <c r="AP410" s="87"/>
      <c r="AQ410" s="87"/>
      <c r="AR410" s="87"/>
      <c r="AS410" s="87"/>
      <c r="AT410" s="88"/>
      <c r="AU410" s="89"/>
      <c r="AV410" s="1954">
        <f t="shared" si="269"/>
        <v>0</v>
      </c>
      <c r="AW410" s="1954">
        <f t="shared" si="270"/>
        <v>0</v>
      </c>
      <c r="AX410" s="1954">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79"/>
      <c r="B411" s="1374"/>
      <c r="C411" s="1375"/>
      <c r="D411" s="76"/>
      <c r="E411" s="82">
        <f t="shared" si="265"/>
        <v>0</v>
      </c>
      <c r="F411" s="83"/>
      <c r="G411" s="84">
        <f t="shared" si="266"/>
        <v>0</v>
      </c>
      <c r="H411" s="85">
        <f t="shared" si="267"/>
        <v>0</v>
      </c>
      <c r="I411" s="1377"/>
      <c r="J411" s="86"/>
      <c r="K411" s="1377"/>
      <c r="L411" s="86"/>
      <c r="M411" s="86"/>
      <c r="N411" s="86"/>
      <c r="O411" s="86"/>
      <c r="P411" s="86"/>
      <c r="Q411" s="86"/>
      <c r="R411" s="86"/>
      <c r="S411" s="86"/>
      <c r="T411" s="86"/>
      <c r="U411" s="86"/>
      <c r="V411" s="86"/>
      <c r="W411" s="86"/>
      <c r="X411" s="86"/>
      <c r="Y411" s="86"/>
      <c r="Z411" s="86"/>
      <c r="AA411" s="86"/>
      <c r="AB411" s="86"/>
      <c r="AC411" s="82">
        <f t="shared" si="268"/>
        <v>0</v>
      </c>
      <c r="AD411" s="87"/>
      <c r="AE411" s="87"/>
      <c r="AF411" s="1377"/>
      <c r="AG411" s="87"/>
      <c r="AH411" s="87"/>
      <c r="AI411" s="87"/>
      <c r="AJ411" s="87"/>
      <c r="AK411" s="87"/>
      <c r="AL411" s="87"/>
      <c r="AM411" s="87"/>
      <c r="AN411" s="87"/>
      <c r="AO411" s="87"/>
      <c r="AP411" s="87"/>
      <c r="AQ411" s="87"/>
      <c r="AR411" s="87"/>
      <c r="AS411" s="87"/>
      <c r="AT411" s="88"/>
      <c r="AU411" s="89"/>
      <c r="AV411" s="1954">
        <f t="shared" si="269"/>
        <v>0</v>
      </c>
      <c r="AW411" s="1954">
        <f t="shared" si="270"/>
        <v>0</v>
      </c>
      <c r="AX411" s="1954">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79"/>
      <c r="B412" s="1374"/>
      <c r="C412" s="1375"/>
      <c r="D412" s="76"/>
      <c r="E412" s="82">
        <f t="shared" si="265"/>
        <v>0</v>
      </c>
      <c r="F412" s="83"/>
      <c r="G412" s="84">
        <f t="shared" si="266"/>
        <v>0</v>
      </c>
      <c r="H412" s="85">
        <f t="shared" si="267"/>
        <v>0</v>
      </c>
      <c r="I412" s="1377"/>
      <c r="J412" s="86"/>
      <c r="K412" s="1377"/>
      <c r="L412" s="86"/>
      <c r="M412" s="86"/>
      <c r="N412" s="86"/>
      <c r="O412" s="86"/>
      <c r="P412" s="86"/>
      <c r="Q412" s="86"/>
      <c r="R412" s="86"/>
      <c r="S412" s="86"/>
      <c r="T412" s="86"/>
      <c r="U412" s="86"/>
      <c r="V412" s="86"/>
      <c r="W412" s="86"/>
      <c r="X412" s="86"/>
      <c r="Y412" s="86"/>
      <c r="Z412" s="86"/>
      <c r="AA412" s="86"/>
      <c r="AB412" s="86"/>
      <c r="AC412" s="82">
        <f t="shared" si="268"/>
        <v>0</v>
      </c>
      <c r="AD412" s="87"/>
      <c r="AE412" s="87"/>
      <c r="AF412" s="1377"/>
      <c r="AG412" s="87"/>
      <c r="AH412" s="87"/>
      <c r="AI412" s="87"/>
      <c r="AJ412" s="87"/>
      <c r="AK412" s="87"/>
      <c r="AL412" s="87"/>
      <c r="AM412" s="87"/>
      <c r="AN412" s="87"/>
      <c r="AO412" s="87"/>
      <c r="AP412" s="87"/>
      <c r="AQ412" s="87"/>
      <c r="AR412" s="87"/>
      <c r="AS412" s="87"/>
      <c r="AT412" s="88"/>
      <c r="AU412" s="89"/>
      <c r="AV412" s="1954">
        <f t="shared" si="269"/>
        <v>0</v>
      </c>
      <c r="AW412" s="1954">
        <f t="shared" si="270"/>
        <v>0</v>
      </c>
      <c r="AX412" s="1954">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79"/>
      <c r="B413" s="1374"/>
      <c r="C413" s="1375"/>
      <c r="D413" s="76"/>
      <c r="E413" s="82">
        <f t="shared" si="265"/>
        <v>0</v>
      </c>
      <c r="F413" s="83"/>
      <c r="G413" s="84">
        <f t="shared" si="266"/>
        <v>0</v>
      </c>
      <c r="H413" s="85">
        <f t="shared" si="267"/>
        <v>0</v>
      </c>
      <c r="I413" s="1377"/>
      <c r="J413" s="86"/>
      <c r="K413" s="1377"/>
      <c r="L413" s="86"/>
      <c r="M413" s="86"/>
      <c r="N413" s="86"/>
      <c r="O413" s="86"/>
      <c r="P413" s="86"/>
      <c r="Q413" s="86"/>
      <c r="R413" s="86"/>
      <c r="S413" s="86"/>
      <c r="T413" s="86"/>
      <c r="U413" s="86"/>
      <c r="V413" s="86"/>
      <c r="W413" s="86"/>
      <c r="X413" s="86"/>
      <c r="Y413" s="86"/>
      <c r="Z413" s="86"/>
      <c r="AA413" s="86"/>
      <c r="AB413" s="86"/>
      <c r="AC413" s="82">
        <f t="shared" si="268"/>
        <v>0</v>
      </c>
      <c r="AD413" s="87"/>
      <c r="AE413" s="87"/>
      <c r="AF413" s="1377"/>
      <c r="AG413" s="87"/>
      <c r="AH413" s="87"/>
      <c r="AI413" s="87"/>
      <c r="AJ413" s="87"/>
      <c r="AK413" s="87"/>
      <c r="AL413" s="87"/>
      <c r="AM413" s="87"/>
      <c r="AN413" s="87"/>
      <c r="AO413" s="87"/>
      <c r="AP413" s="87"/>
      <c r="AQ413" s="87"/>
      <c r="AR413" s="87"/>
      <c r="AS413" s="87"/>
      <c r="AT413" s="88"/>
      <c r="AU413" s="89"/>
      <c r="AV413" s="1954">
        <f t="shared" si="269"/>
        <v>0</v>
      </c>
      <c r="AW413" s="1954">
        <f t="shared" si="270"/>
        <v>0</v>
      </c>
      <c r="AX413" s="1954">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79"/>
      <c r="B414" s="1374"/>
      <c r="C414" s="1375"/>
      <c r="D414" s="76"/>
      <c r="E414" s="82">
        <f t="shared" si="265"/>
        <v>0</v>
      </c>
      <c r="F414" s="83"/>
      <c r="G414" s="84">
        <f t="shared" si="266"/>
        <v>0</v>
      </c>
      <c r="H414" s="85">
        <f t="shared" si="267"/>
        <v>0</v>
      </c>
      <c r="I414" s="1377"/>
      <c r="J414" s="86"/>
      <c r="K414" s="1377"/>
      <c r="L414" s="86"/>
      <c r="M414" s="86"/>
      <c r="N414" s="86"/>
      <c r="O414" s="86"/>
      <c r="P414" s="86"/>
      <c r="Q414" s="86"/>
      <c r="R414" s="86"/>
      <c r="S414" s="86"/>
      <c r="T414" s="86"/>
      <c r="U414" s="86"/>
      <c r="V414" s="86"/>
      <c r="W414" s="86"/>
      <c r="X414" s="86"/>
      <c r="Y414" s="86"/>
      <c r="Z414" s="86"/>
      <c r="AA414" s="86"/>
      <c r="AB414" s="86"/>
      <c r="AC414" s="82">
        <f t="shared" si="268"/>
        <v>0</v>
      </c>
      <c r="AD414" s="87"/>
      <c r="AE414" s="87"/>
      <c r="AF414" s="1377"/>
      <c r="AG414" s="87"/>
      <c r="AH414" s="87"/>
      <c r="AI414" s="87"/>
      <c r="AJ414" s="87"/>
      <c r="AK414" s="87"/>
      <c r="AL414" s="87"/>
      <c r="AM414" s="87"/>
      <c r="AN414" s="87"/>
      <c r="AO414" s="87"/>
      <c r="AP414" s="87"/>
      <c r="AQ414" s="87"/>
      <c r="AR414" s="87"/>
      <c r="AS414" s="87"/>
      <c r="AT414" s="88"/>
      <c r="AU414" s="89"/>
      <c r="AV414" s="1954">
        <f t="shared" si="269"/>
        <v>0</v>
      </c>
      <c r="AW414" s="1954">
        <f t="shared" si="270"/>
        <v>0</v>
      </c>
      <c r="AX414" s="1954">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79"/>
      <c r="B415" s="1374"/>
      <c r="C415" s="1375"/>
      <c r="D415" s="76"/>
      <c r="E415" s="82">
        <f t="shared" si="265"/>
        <v>0</v>
      </c>
      <c r="F415" s="83"/>
      <c r="G415" s="84">
        <f t="shared" si="266"/>
        <v>0</v>
      </c>
      <c r="H415" s="85">
        <f t="shared" si="267"/>
        <v>0</v>
      </c>
      <c r="I415" s="1377"/>
      <c r="J415" s="86"/>
      <c r="K415" s="1377"/>
      <c r="L415" s="86"/>
      <c r="M415" s="86"/>
      <c r="N415" s="86"/>
      <c r="O415" s="86"/>
      <c r="P415" s="86"/>
      <c r="Q415" s="86"/>
      <c r="R415" s="86"/>
      <c r="S415" s="86"/>
      <c r="T415" s="86"/>
      <c r="U415" s="86"/>
      <c r="V415" s="86"/>
      <c r="W415" s="86"/>
      <c r="X415" s="86"/>
      <c r="Y415" s="86"/>
      <c r="Z415" s="86"/>
      <c r="AA415" s="86"/>
      <c r="AB415" s="86"/>
      <c r="AC415" s="82">
        <f t="shared" si="268"/>
        <v>0</v>
      </c>
      <c r="AD415" s="87"/>
      <c r="AE415" s="87"/>
      <c r="AF415" s="1375"/>
      <c r="AG415" s="87"/>
      <c r="AH415" s="87"/>
      <c r="AI415" s="87"/>
      <c r="AJ415" s="87"/>
      <c r="AK415" s="87"/>
      <c r="AL415" s="87"/>
      <c r="AM415" s="87"/>
      <c r="AN415" s="87"/>
      <c r="AO415" s="87"/>
      <c r="AP415" s="87"/>
      <c r="AQ415" s="87"/>
      <c r="AR415" s="87"/>
      <c r="AS415" s="87"/>
      <c r="AT415" s="88"/>
      <c r="AU415" s="89"/>
      <c r="AV415" s="1954">
        <f t="shared" si="269"/>
        <v>0</v>
      </c>
      <c r="AW415" s="1954">
        <f t="shared" si="270"/>
        <v>0</v>
      </c>
      <c r="AX415" s="1954">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79"/>
      <c r="B416" s="1374"/>
      <c r="C416" s="1375"/>
      <c r="D416" s="76"/>
      <c r="E416" s="82">
        <f t="shared" si="265"/>
        <v>0</v>
      </c>
      <c r="F416" s="83"/>
      <c r="G416" s="84">
        <f t="shared" si="266"/>
        <v>0</v>
      </c>
      <c r="H416" s="85">
        <f t="shared" si="267"/>
        <v>0</v>
      </c>
      <c r="I416" s="1375"/>
      <c r="J416" s="86"/>
      <c r="K416" s="1375"/>
      <c r="L416" s="86"/>
      <c r="M416" s="86"/>
      <c r="N416" s="86"/>
      <c r="O416" s="86"/>
      <c r="P416" s="86"/>
      <c r="Q416" s="86"/>
      <c r="R416" s="86"/>
      <c r="S416" s="86"/>
      <c r="T416" s="86"/>
      <c r="U416" s="86"/>
      <c r="V416" s="86"/>
      <c r="W416" s="86"/>
      <c r="X416" s="86"/>
      <c r="Y416" s="86"/>
      <c r="Z416" s="86"/>
      <c r="AA416" s="86"/>
      <c r="AB416" s="86"/>
      <c r="AC416" s="82">
        <f t="shared" si="268"/>
        <v>0</v>
      </c>
      <c r="AD416" s="87"/>
      <c r="AE416" s="87"/>
      <c r="AF416" s="1375"/>
      <c r="AG416" s="87"/>
      <c r="AH416" s="87"/>
      <c r="AI416" s="87"/>
      <c r="AJ416" s="87"/>
      <c r="AK416" s="87"/>
      <c r="AL416" s="87"/>
      <c r="AM416" s="87"/>
      <c r="AN416" s="87"/>
      <c r="AO416" s="87"/>
      <c r="AP416" s="87"/>
      <c r="AQ416" s="87"/>
      <c r="AR416" s="87"/>
      <c r="AS416" s="87"/>
      <c r="AT416" s="88"/>
      <c r="AU416" s="89"/>
      <c r="AV416" s="1954">
        <f t="shared" si="269"/>
        <v>0</v>
      </c>
      <c r="AW416" s="1954">
        <f t="shared" si="270"/>
        <v>0</v>
      </c>
      <c r="AX416" s="1954">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79"/>
      <c r="B417" s="1374"/>
      <c r="C417" s="1375"/>
      <c r="D417" s="76"/>
      <c r="E417" s="82">
        <f t="shared" si="265"/>
        <v>0</v>
      </c>
      <c r="F417" s="83"/>
      <c r="G417" s="84">
        <f t="shared" si="266"/>
        <v>0</v>
      </c>
      <c r="H417" s="85">
        <f t="shared" si="267"/>
        <v>0</v>
      </c>
      <c r="I417" s="1375"/>
      <c r="J417" s="86"/>
      <c r="K417" s="1375"/>
      <c r="L417" s="86"/>
      <c r="M417" s="86"/>
      <c r="N417" s="86"/>
      <c r="O417" s="86"/>
      <c r="P417" s="86"/>
      <c r="Q417" s="86"/>
      <c r="R417" s="86"/>
      <c r="S417" s="86"/>
      <c r="T417" s="86"/>
      <c r="U417" s="86"/>
      <c r="V417" s="86"/>
      <c r="W417" s="86"/>
      <c r="X417" s="86"/>
      <c r="Y417" s="86"/>
      <c r="Z417" s="86"/>
      <c r="AA417" s="86"/>
      <c r="AB417" s="86"/>
      <c r="AC417" s="82">
        <f t="shared" si="268"/>
        <v>0</v>
      </c>
      <c r="AD417" s="87"/>
      <c r="AE417" s="87"/>
      <c r="AF417" s="1375"/>
      <c r="AG417" s="87"/>
      <c r="AH417" s="87"/>
      <c r="AI417" s="87"/>
      <c r="AJ417" s="87"/>
      <c r="AK417" s="87"/>
      <c r="AL417" s="87"/>
      <c r="AM417" s="87"/>
      <c r="AN417" s="87"/>
      <c r="AO417" s="87"/>
      <c r="AP417" s="87"/>
      <c r="AQ417" s="87"/>
      <c r="AR417" s="87"/>
      <c r="AS417" s="87"/>
      <c r="AT417" s="88"/>
      <c r="AU417" s="89"/>
      <c r="AV417" s="1954">
        <f t="shared" si="269"/>
        <v>0</v>
      </c>
      <c r="AW417" s="1954">
        <f t="shared" si="270"/>
        <v>0</v>
      </c>
      <c r="AX417" s="1954">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79"/>
      <c r="B418" s="1374"/>
      <c r="C418" s="1375"/>
      <c r="D418" s="76"/>
      <c r="E418" s="82">
        <f t="shared" si="265"/>
        <v>0</v>
      </c>
      <c r="F418" s="83"/>
      <c r="G418" s="84">
        <f t="shared" si="266"/>
        <v>0</v>
      </c>
      <c r="H418" s="85">
        <f t="shared" si="267"/>
        <v>0</v>
      </c>
      <c r="I418" s="1375"/>
      <c r="J418" s="86"/>
      <c r="K418" s="1375"/>
      <c r="L418" s="86"/>
      <c r="M418" s="86"/>
      <c r="N418" s="86"/>
      <c r="O418" s="86"/>
      <c r="P418" s="86"/>
      <c r="Q418" s="86"/>
      <c r="R418" s="86"/>
      <c r="S418" s="86"/>
      <c r="T418" s="86"/>
      <c r="U418" s="86"/>
      <c r="V418" s="86"/>
      <c r="W418" s="86"/>
      <c r="X418" s="86"/>
      <c r="Y418" s="86"/>
      <c r="Z418" s="86"/>
      <c r="AA418" s="86"/>
      <c r="AB418" s="86"/>
      <c r="AC418" s="82">
        <f t="shared" si="268"/>
        <v>0</v>
      </c>
      <c r="AD418" s="87"/>
      <c r="AE418" s="87"/>
      <c r="AF418" s="1375"/>
      <c r="AG418" s="87"/>
      <c r="AH418" s="87"/>
      <c r="AI418" s="87"/>
      <c r="AJ418" s="87"/>
      <c r="AK418" s="87"/>
      <c r="AL418" s="87"/>
      <c r="AM418" s="87"/>
      <c r="AN418" s="87"/>
      <c r="AO418" s="87"/>
      <c r="AP418" s="87"/>
      <c r="AQ418" s="87"/>
      <c r="AR418" s="87"/>
      <c r="AS418" s="87"/>
      <c r="AT418" s="88"/>
      <c r="AU418" s="89"/>
      <c r="AV418" s="1954">
        <f t="shared" si="269"/>
        <v>0</v>
      </c>
      <c r="AW418" s="1954">
        <f t="shared" si="270"/>
        <v>0</v>
      </c>
      <c r="AX418" s="1954">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79"/>
      <c r="B419" s="1374"/>
      <c r="C419" s="1375"/>
      <c r="D419" s="76"/>
      <c r="E419" s="82">
        <f t="shared" si="265"/>
        <v>0</v>
      </c>
      <c r="F419" s="83"/>
      <c r="G419" s="84">
        <f t="shared" si="266"/>
        <v>0</v>
      </c>
      <c r="H419" s="85">
        <f t="shared" si="267"/>
        <v>0</v>
      </c>
      <c r="I419" s="1375"/>
      <c r="J419" s="86"/>
      <c r="K419" s="1375"/>
      <c r="L419" s="86"/>
      <c r="M419" s="86"/>
      <c r="N419" s="86"/>
      <c r="O419" s="86"/>
      <c r="P419" s="86"/>
      <c r="Q419" s="86"/>
      <c r="R419" s="86"/>
      <c r="S419" s="86"/>
      <c r="T419" s="86"/>
      <c r="U419" s="86"/>
      <c r="V419" s="86"/>
      <c r="W419" s="86"/>
      <c r="X419" s="86"/>
      <c r="Y419" s="86"/>
      <c r="Z419" s="86"/>
      <c r="AA419" s="86"/>
      <c r="AB419" s="86"/>
      <c r="AC419" s="82">
        <f t="shared" si="268"/>
        <v>0</v>
      </c>
      <c r="AD419" s="87"/>
      <c r="AE419" s="87"/>
      <c r="AF419" s="1375"/>
      <c r="AG419" s="87"/>
      <c r="AH419" s="87"/>
      <c r="AI419" s="87"/>
      <c r="AJ419" s="87"/>
      <c r="AK419" s="87"/>
      <c r="AL419" s="87"/>
      <c r="AM419" s="87"/>
      <c r="AN419" s="87"/>
      <c r="AO419" s="87"/>
      <c r="AP419" s="87"/>
      <c r="AQ419" s="87"/>
      <c r="AR419" s="87"/>
      <c r="AS419" s="87"/>
      <c r="AT419" s="88"/>
      <c r="AU419" s="89"/>
      <c r="AV419" s="1954">
        <f t="shared" si="269"/>
        <v>0</v>
      </c>
      <c r="AW419" s="1954">
        <f t="shared" si="270"/>
        <v>0</v>
      </c>
      <c r="AX419" s="1954">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79"/>
      <c r="B420" s="1374"/>
      <c r="C420" s="1375"/>
      <c r="D420" s="76"/>
      <c r="E420" s="82">
        <f t="shared" si="265"/>
        <v>0</v>
      </c>
      <c r="F420" s="83"/>
      <c r="G420" s="84">
        <f t="shared" si="266"/>
        <v>0</v>
      </c>
      <c r="H420" s="85">
        <f t="shared" si="267"/>
        <v>0</v>
      </c>
      <c r="I420" s="1375"/>
      <c r="J420" s="86"/>
      <c r="K420" s="1375"/>
      <c r="L420" s="86"/>
      <c r="M420" s="86"/>
      <c r="N420" s="86"/>
      <c r="O420" s="86"/>
      <c r="P420" s="86"/>
      <c r="Q420" s="86"/>
      <c r="R420" s="86"/>
      <c r="S420" s="86"/>
      <c r="T420" s="86"/>
      <c r="U420" s="86"/>
      <c r="V420" s="86"/>
      <c r="W420" s="86"/>
      <c r="X420" s="86"/>
      <c r="Y420" s="86"/>
      <c r="Z420" s="86"/>
      <c r="AA420" s="86"/>
      <c r="AB420" s="86"/>
      <c r="AC420" s="82">
        <f t="shared" si="268"/>
        <v>0</v>
      </c>
      <c r="AD420" s="87"/>
      <c r="AE420" s="87"/>
      <c r="AF420" s="1375"/>
      <c r="AG420" s="87"/>
      <c r="AH420" s="87"/>
      <c r="AI420" s="87"/>
      <c r="AJ420" s="87"/>
      <c r="AK420" s="87"/>
      <c r="AL420" s="87"/>
      <c r="AM420" s="87"/>
      <c r="AN420" s="87"/>
      <c r="AO420" s="87"/>
      <c r="AP420" s="87"/>
      <c r="AQ420" s="87"/>
      <c r="AR420" s="87"/>
      <c r="AS420" s="87"/>
      <c r="AT420" s="88"/>
      <c r="AU420" s="89"/>
      <c r="AV420" s="1954">
        <f t="shared" si="269"/>
        <v>0</v>
      </c>
      <c r="AW420" s="1954">
        <f t="shared" si="270"/>
        <v>0</v>
      </c>
      <c r="AX420" s="1954">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79"/>
      <c r="B421" s="1374"/>
      <c r="C421" s="1375"/>
      <c r="D421" s="76"/>
      <c r="E421" s="82">
        <f t="shared" si="265"/>
        <v>0</v>
      </c>
      <c r="F421" s="83"/>
      <c r="G421" s="84">
        <f t="shared" si="266"/>
        <v>0</v>
      </c>
      <c r="H421" s="85">
        <f t="shared" si="267"/>
        <v>0</v>
      </c>
      <c r="I421" s="1375"/>
      <c r="J421" s="86"/>
      <c r="K421" s="1375"/>
      <c r="L421" s="86"/>
      <c r="M421" s="86"/>
      <c r="N421" s="86"/>
      <c r="O421" s="86"/>
      <c r="P421" s="86"/>
      <c r="Q421" s="86"/>
      <c r="R421" s="86"/>
      <c r="S421" s="86"/>
      <c r="T421" s="86"/>
      <c r="U421" s="86"/>
      <c r="V421" s="86"/>
      <c r="W421" s="86"/>
      <c r="X421" s="86"/>
      <c r="Y421" s="86"/>
      <c r="Z421" s="86"/>
      <c r="AA421" s="86"/>
      <c r="AB421" s="86"/>
      <c r="AC421" s="82">
        <f t="shared" si="268"/>
        <v>0</v>
      </c>
      <c r="AD421" s="87"/>
      <c r="AE421" s="87"/>
      <c r="AF421" s="1375"/>
      <c r="AG421" s="87"/>
      <c r="AH421" s="87"/>
      <c r="AI421" s="87"/>
      <c r="AJ421" s="87"/>
      <c r="AK421" s="87"/>
      <c r="AL421" s="87"/>
      <c r="AM421" s="87"/>
      <c r="AN421" s="87"/>
      <c r="AO421" s="87"/>
      <c r="AP421" s="87"/>
      <c r="AQ421" s="87"/>
      <c r="AR421" s="87"/>
      <c r="AS421" s="87"/>
      <c r="AT421" s="88"/>
      <c r="AU421" s="89"/>
      <c r="AV421" s="1954">
        <f t="shared" si="269"/>
        <v>0</v>
      </c>
      <c r="AW421" s="1954">
        <f t="shared" si="270"/>
        <v>0</v>
      </c>
      <c r="AX421" s="1954">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79"/>
      <c r="B422" s="1374"/>
      <c r="C422" s="1375"/>
      <c r="D422" s="76"/>
      <c r="E422" s="82">
        <f t="shared" si="265"/>
        <v>0</v>
      </c>
      <c r="F422" s="83"/>
      <c r="G422" s="84">
        <f t="shared" si="266"/>
        <v>0</v>
      </c>
      <c r="H422" s="85">
        <f t="shared" si="267"/>
        <v>0</v>
      </c>
      <c r="I422" s="1375"/>
      <c r="J422" s="86"/>
      <c r="K422" s="1375"/>
      <c r="L422" s="86"/>
      <c r="M422" s="86"/>
      <c r="N422" s="86"/>
      <c r="O422" s="86"/>
      <c r="P422" s="86"/>
      <c r="Q422" s="86"/>
      <c r="R422" s="86"/>
      <c r="S422" s="86"/>
      <c r="T422" s="86"/>
      <c r="U422" s="86"/>
      <c r="V422" s="86"/>
      <c r="W422" s="86"/>
      <c r="X422" s="86"/>
      <c r="Y422" s="86"/>
      <c r="Z422" s="86"/>
      <c r="AA422" s="86"/>
      <c r="AB422" s="86"/>
      <c r="AC422" s="82">
        <f t="shared" si="268"/>
        <v>0</v>
      </c>
      <c r="AD422" s="87"/>
      <c r="AE422" s="87"/>
      <c r="AF422" s="1375"/>
      <c r="AG422" s="87"/>
      <c r="AH422" s="87"/>
      <c r="AI422" s="87"/>
      <c r="AJ422" s="87"/>
      <c r="AK422" s="87"/>
      <c r="AL422" s="87"/>
      <c r="AM422" s="87"/>
      <c r="AN422" s="87"/>
      <c r="AO422" s="87"/>
      <c r="AP422" s="87"/>
      <c r="AQ422" s="87"/>
      <c r="AR422" s="87"/>
      <c r="AS422" s="87"/>
      <c r="AT422" s="88"/>
      <c r="AU422" s="89"/>
      <c r="AV422" s="1954">
        <f t="shared" si="269"/>
        <v>0</v>
      </c>
      <c r="AW422" s="1954">
        <f t="shared" si="270"/>
        <v>0</v>
      </c>
      <c r="AX422" s="1954">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79"/>
      <c r="B423" s="1376"/>
      <c r="C423" s="1377"/>
      <c r="D423" s="76"/>
      <c r="E423" s="82">
        <f t="shared" si="265"/>
        <v>0</v>
      </c>
      <c r="F423" s="83"/>
      <c r="G423" s="84">
        <f t="shared" si="266"/>
        <v>0</v>
      </c>
      <c r="H423" s="85">
        <f t="shared" si="267"/>
        <v>0</v>
      </c>
      <c r="I423" s="1375"/>
      <c r="J423" s="86"/>
      <c r="K423" s="1375"/>
      <c r="L423" s="86"/>
      <c r="M423" s="1375"/>
      <c r="N423" s="86"/>
      <c r="O423" s="86"/>
      <c r="P423" s="86"/>
      <c r="Q423" s="86"/>
      <c r="R423" s="86"/>
      <c r="S423" s="86"/>
      <c r="T423" s="86"/>
      <c r="U423" s="86"/>
      <c r="V423" s="86"/>
      <c r="W423" s="86"/>
      <c r="X423" s="86"/>
      <c r="Y423" s="86"/>
      <c r="Z423" s="86"/>
      <c r="AA423" s="86"/>
      <c r="AB423" s="86"/>
      <c r="AC423" s="82">
        <f t="shared" si="268"/>
        <v>0</v>
      </c>
      <c r="AD423" s="87"/>
      <c r="AE423" s="87"/>
      <c r="AF423" s="1375"/>
      <c r="AG423" s="87"/>
      <c r="AH423" s="87"/>
      <c r="AI423" s="87"/>
      <c r="AJ423" s="87"/>
      <c r="AK423" s="87"/>
      <c r="AL423" s="87"/>
      <c r="AM423" s="87"/>
      <c r="AN423" s="87"/>
      <c r="AO423" s="87"/>
      <c r="AP423" s="87"/>
      <c r="AQ423" s="87"/>
      <c r="AR423" s="87"/>
      <c r="AS423" s="87"/>
      <c r="AT423" s="88"/>
      <c r="AU423" s="89"/>
      <c r="AV423" s="1954">
        <f t="shared" si="269"/>
        <v>0</v>
      </c>
      <c r="AW423" s="1954">
        <f t="shared" si="270"/>
        <v>0</v>
      </c>
      <c r="AX423" s="1954">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79"/>
      <c r="B424" s="80"/>
      <c r="C424" s="80"/>
      <c r="D424" s="81"/>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954">
        <f t="shared" si="269"/>
        <v>0</v>
      </c>
      <c r="AW424" s="1954">
        <f t="shared" si="270"/>
        <v>0</v>
      </c>
      <c r="AX424" s="1954">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79"/>
      <c r="B425" s="80"/>
      <c r="C425" s="80"/>
      <c r="D425" s="81"/>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954">
        <f t="shared" si="269"/>
        <v>0</v>
      </c>
      <c r="AW425" s="1954">
        <f t="shared" si="270"/>
        <v>0</v>
      </c>
      <c r="AX425" s="1954">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79"/>
      <c r="B426" s="80"/>
      <c r="C426" s="80"/>
      <c r="D426" s="81"/>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954">
        <f t="shared" si="269"/>
        <v>0</v>
      </c>
      <c r="AW426" s="1954">
        <f t="shared" si="270"/>
        <v>0</v>
      </c>
      <c r="AX426" s="1954">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79"/>
      <c r="B427" s="80"/>
      <c r="C427" s="80"/>
      <c r="D427" s="81"/>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954">
        <f t="shared" si="269"/>
        <v>0</v>
      </c>
      <c r="AW427" s="1954">
        <f t="shared" si="270"/>
        <v>0</v>
      </c>
      <c r="AX427" s="1954">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79"/>
      <c r="B428" s="80"/>
      <c r="C428" s="80"/>
      <c r="D428" s="81"/>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954">
        <f t="shared" si="269"/>
        <v>0</v>
      </c>
      <c r="AW428" s="1954">
        <f t="shared" si="270"/>
        <v>0</v>
      </c>
      <c r="AX428" s="1954">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79"/>
      <c r="B429" s="80"/>
      <c r="C429" s="80"/>
      <c r="D429" s="81"/>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954">
        <f t="shared" si="269"/>
        <v>0</v>
      </c>
      <c r="AW429" s="1954">
        <f t="shared" si="270"/>
        <v>0</v>
      </c>
      <c r="AX429" s="1954">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79"/>
      <c r="B430" s="80"/>
      <c r="C430" s="80"/>
      <c r="D430" s="81"/>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954">
        <f t="shared" si="269"/>
        <v>0</v>
      </c>
      <c r="AW430" s="1954">
        <f t="shared" si="270"/>
        <v>0</v>
      </c>
      <c r="AX430" s="1954">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79"/>
      <c r="B431" s="80"/>
      <c r="C431" s="80"/>
      <c r="D431" s="81"/>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954">
        <f t="shared" si="269"/>
        <v>0</v>
      </c>
      <c r="AW431" s="1954">
        <f t="shared" si="270"/>
        <v>0</v>
      </c>
      <c r="AX431" s="1954">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79"/>
      <c r="B432" s="80"/>
      <c r="C432" s="80"/>
      <c r="D432" s="81"/>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954">
        <f t="shared" si="269"/>
        <v>0</v>
      </c>
      <c r="AW432" s="1954">
        <f t="shared" si="270"/>
        <v>0</v>
      </c>
      <c r="AX432" s="1954">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79"/>
      <c r="B433" s="80"/>
      <c r="C433" s="80"/>
      <c r="D433" s="81"/>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954">
        <f t="shared" si="269"/>
        <v>0</v>
      </c>
      <c r="AW433" s="1954">
        <f t="shared" si="270"/>
        <v>0</v>
      </c>
      <c r="AX433" s="1954">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79"/>
      <c r="B434" s="80"/>
      <c r="C434" s="80"/>
      <c r="D434" s="81"/>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954">
        <f t="shared" si="269"/>
        <v>0</v>
      </c>
      <c r="AW434" s="1954">
        <f t="shared" si="270"/>
        <v>0</v>
      </c>
      <c r="AX434" s="1954">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79"/>
      <c r="B435" s="80"/>
      <c r="C435" s="80"/>
      <c r="D435" s="81"/>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954">
        <f t="shared" si="269"/>
        <v>0</v>
      </c>
      <c r="AW435" s="1954">
        <f t="shared" si="270"/>
        <v>0</v>
      </c>
      <c r="AX435" s="1954">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79"/>
      <c r="B436" s="80"/>
      <c r="C436" s="80"/>
      <c r="D436" s="81"/>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954">
        <f t="shared" si="269"/>
        <v>0</v>
      </c>
      <c r="AW436" s="1954">
        <f t="shared" si="270"/>
        <v>0</v>
      </c>
      <c r="AX436" s="1954">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79"/>
      <c r="B437" s="80"/>
      <c r="C437" s="80"/>
      <c r="D437" s="81"/>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954">
        <f t="shared" si="269"/>
        <v>0</v>
      </c>
      <c r="AW437" s="1954">
        <f t="shared" si="270"/>
        <v>0</v>
      </c>
      <c r="AX437" s="1954">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79"/>
      <c r="B438" s="80"/>
      <c r="C438" s="80"/>
      <c r="D438" s="81"/>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954">
        <f t="shared" si="269"/>
        <v>0</v>
      </c>
      <c r="AW438" s="1954">
        <f t="shared" si="270"/>
        <v>0</v>
      </c>
      <c r="AX438" s="1954">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79"/>
      <c r="B439" s="80"/>
      <c r="C439" s="80"/>
      <c r="D439" s="81"/>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954">
        <f t="shared" si="269"/>
        <v>0</v>
      </c>
      <c r="AW439" s="1954">
        <f t="shared" si="270"/>
        <v>0</v>
      </c>
      <c r="AX439" s="1954">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79"/>
      <c r="B440" s="80"/>
      <c r="C440" s="80"/>
      <c r="D440" s="81"/>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954">
        <f t="shared" si="269"/>
        <v>0</v>
      </c>
      <c r="AW440" s="1954">
        <f t="shared" si="270"/>
        <v>0</v>
      </c>
      <c r="AX440" s="1954">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79"/>
      <c r="B441" s="80"/>
      <c r="C441" s="80"/>
      <c r="D441" s="81"/>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954">
        <f t="shared" si="269"/>
        <v>0</v>
      </c>
      <c r="AW441" s="1954">
        <f t="shared" si="270"/>
        <v>0</v>
      </c>
      <c r="AX441" s="1954">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79"/>
      <c r="B442" s="80"/>
      <c r="C442" s="80"/>
      <c r="D442" s="81"/>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954">
        <f t="shared" si="269"/>
        <v>0</v>
      </c>
      <c r="AW442" s="1954">
        <f t="shared" si="270"/>
        <v>0</v>
      </c>
      <c r="AX442" s="1954">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79"/>
      <c r="B443" s="80"/>
      <c r="C443" s="80"/>
      <c r="D443" s="81"/>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954">
        <f t="shared" si="269"/>
        <v>0</v>
      </c>
      <c r="AW443" s="1954">
        <f t="shared" si="270"/>
        <v>0</v>
      </c>
      <c r="AX443" s="1954">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79"/>
      <c r="B444" s="80"/>
      <c r="C444" s="80"/>
      <c r="D444" s="81"/>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954">
        <f t="shared" si="269"/>
        <v>0</v>
      </c>
      <c r="AW444" s="1954">
        <f t="shared" si="270"/>
        <v>0</v>
      </c>
      <c r="AX444" s="1954">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79"/>
      <c r="B445" s="80"/>
      <c r="C445" s="80"/>
      <c r="D445" s="81"/>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954">
        <f t="shared" si="269"/>
        <v>0</v>
      </c>
      <c r="AW445" s="1954">
        <f t="shared" si="270"/>
        <v>0</v>
      </c>
      <c r="AX445" s="1954">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79"/>
      <c r="B446" s="80"/>
      <c r="C446" s="80"/>
      <c r="D446" s="81"/>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954">
        <f t="shared" si="269"/>
        <v>0</v>
      </c>
      <c r="AW446" s="1954">
        <f t="shared" si="270"/>
        <v>0</v>
      </c>
      <c r="AX446" s="1954">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79"/>
      <c r="B447" s="80"/>
      <c r="C447" s="80"/>
      <c r="D447" s="81"/>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954">
        <f t="shared" si="269"/>
        <v>0</v>
      </c>
      <c r="AW447" s="1954">
        <f t="shared" si="270"/>
        <v>0</v>
      </c>
      <c r="AX447" s="1954">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79"/>
      <c r="B448" s="80"/>
      <c r="C448" s="80"/>
      <c r="D448" s="81"/>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954">
        <f t="shared" si="269"/>
        <v>0</v>
      </c>
      <c r="AW448" s="1954">
        <f t="shared" si="270"/>
        <v>0</v>
      </c>
      <c r="AX448" s="1954">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79"/>
      <c r="B449" s="80"/>
      <c r="C449" s="80"/>
      <c r="D449" s="81"/>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954">
        <f t="shared" si="269"/>
        <v>0</v>
      </c>
      <c r="AW449" s="1954">
        <f t="shared" si="270"/>
        <v>0</v>
      </c>
      <c r="AX449" s="1954">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79"/>
      <c r="B450" s="80"/>
      <c r="C450" s="80"/>
      <c r="D450" s="81"/>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954">
        <f t="shared" si="269"/>
        <v>0</v>
      </c>
      <c r="AW450" s="1954">
        <f t="shared" si="270"/>
        <v>0</v>
      </c>
      <c r="AX450" s="1954">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79"/>
      <c r="B451" s="80"/>
      <c r="C451" s="80"/>
      <c r="D451" s="81"/>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954">
        <f t="shared" si="269"/>
        <v>0</v>
      </c>
      <c r="AW451" s="1954">
        <f t="shared" si="270"/>
        <v>0</v>
      </c>
      <c r="AX451" s="1954">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79"/>
      <c r="B452" s="80"/>
      <c r="C452" s="80"/>
      <c r="D452" s="81"/>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954">
        <f t="shared" si="269"/>
        <v>0</v>
      </c>
      <c r="AW452" s="1954">
        <f t="shared" si="270"/>
        <v>0</v>
      </c>
      <c r="AX452" s="1954">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79"/>
      <c r="B453" s="80"/>
      <c r="C453" s="80"/>
      <c r="D453" s="81"/>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954">
        <f t="shared" si="269"/>
        <v>0</v>
      </c>
      <c r="AW453" s="1954">
        <f t="shared" si="270"/>
        <v>0</v>
      </c>
      <c r="AX453" s="1954">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79"/>
      <c r="B454" s="80"/>
      <c r="C454" s="80"/>
      <c r="D454" s="81"/>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954">
        <f t="shared" si="269"/>
        <v>0</v>
      </c>
      <c r="AW454" s="1954">
        <f t="shared" si="270"/>
        <v>0</v>
      </c>
      <c r="AX454" s="1954">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79"/>
      <c r="B455" s="80"/>
      <c r="C455" s="80"/>
      <c r="D455" s="81"/>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954">
        <f t="shared" si="269"/>
        <v>0</v>
      </c>
      <c r="AW455" s="1954">
        <f t="shared" si="270"/>
        <v>0</v>
      </c>
      <c r="AX455" s="1954">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79"/>
      <c r="B456" s="80"/>
      <c r="C456" s="80"/>
      <c r="D456" s="81"/>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954">
        <f t="shared" si="269"/>
        <v>0</v>
      </c>
      <c r="AW456" s="1954">
        <f t="shared" si="270"/>
        <v>0</v>
      </c>
      <c r="AX456" s="1954">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79"/>
      <c r="B457" s="80"/>
      <c r="C457" s="80"/>
      <c r="D457" s="81"/>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954">
        <f t="shared" si="269"/>
        <v>0</v>
      </c>
      <c r="AW457" s="1954">
        <f t="shared" si="270"/>
        <v>0</v>
      </c>
      <c r="AX457" s="1954">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79"/>
      <c r="B458" s="80"/>
      <c r="C458" s="80"/>
      <c r="D458" s="81"/>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954">
        <f t="shared" si="269"/>
        <v>0</v>
      </c>
      <c r="AW458" s="1954">
        <f t="shared" si="270"/>
        <v>0</v>
      </c>
      <c r="AX458" s="1954">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79"/>
      <c r="B459" s="80"/>
      <c r="C459" s="80"/>
      <c r="D459" s="81"/>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954">
        <f t="shared" si="269"/>
        <v>0</v>
      </c>
      <c r="AW459" s="1954">
        <f t="shared" si="270"/>
        <v>0</v>
      </c>
      <c r="AX459" s="1954">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79"/>
      <c r="B460" s="80"/>
      <c r="C460" s="80"/>
      <c r="D460" s="81"/>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954">
        <f t="shared" si="269"/>
        <v>0</v>
      </c>
      <c r="AW460" s="1954">
        <f t="shared" si="270"/>
        <v>0</v>
      </c>
      <c r="AX460" s="1954">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79"/>
      <c r="B461" s="80"/>
      <c r="C461" s="80"/>
      <c r="D461" s="81"/>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954">
        <f t="shared" si="269"/>
        <v>0</v>
      </c>
      <c r="AW461" s="1954">
        <f t="shared" si="270"/>
        <v>0</v>
      </c>
      <c r="AX461" s="1954">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79"/>
      <c r="B462" s="80"/>
      <c r="C462" s="80"/>
      <c r="D462" s="81"/>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954">
        <f t="shared" si="269"/>
        <v>0</v>
      </c>
      <c r="AW462" s="1954">
        <f t="shared" si="270"/>
        <v>0</v>
      </c>
      <c r="AX462" s="1954">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79"/>
      <c r="B463" s="80"/>
      <c r="C463" s="80"/>
      <c r="D463" s="81"/>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954">
        <f t="shared" si="269"/>
        <v>0</v>
      </c>
      <c r="AW463" s="1954">
        <f t="shared" si="270"/>
        <v>0</v>
      </c>
      <c r="AX463" s="1954">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79"/>
      <c r="B464" s="80"/>
      <c r="C464" s="80"/>
      <c r="D464" s="81"/>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954">
        <f t="shared" si="269"/>
        <v>0</v>
      </c>
      <c r="AW464" s="1954">
        <f t="shared" si="270"/>
        <v>0</v>
      </c>
      <c r="AX464" s="1954">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79"/>
      <c r="B465" s="80"/>
      <c r="C465" s="80"/>
      <c r="D465" s="81"/>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954">
        <f t="shared" si="269"/>
        <v>0</v>
      </c>
      <c r="AW465" s="1954">
        <f t="shared" si="270"/>
        <v>0</v>
      </c>
      <c r="AX465" s="1954">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79"/>
      <c r="B466" s="80"/>
      <c r="C466" s="80"/>
      <c r="D466" s="81"/>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954">
        <f t="shared" si="269"/>
        <v>0</v>
      </c>
      <c r="AW466" s="1954">
        <f t="shared" si="270"/>
        <v>0</v>
      </c>
      <c r="AX466" s="1954">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79"/>
      <c r="B467" s="80"/>
      <c r="C467" s="80"/>
      <c r="D467" s="81"/>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954">
        <f t="shared" si="269"/>
        <v>0</v>
      </c>
      <c r="AW467" s="1954">
        <f t="shared" si="270"/>
        <v>0</v>
      </c>
      <c r="AX467" s="1954">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79"/>
      <c r="B468" s="80"/>
      <c r="C468" s="80"/>
      <c r="D468" s="81"/>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954">
        <f t="shared" si="269"/>
        <v>0</v>
      </c>
      <c r="AW468" s="1954">
        <f t="shared" si="270"/>
        <v>0</v>
      </c>
      <c r="AX468" s="1954">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79"/>
      <c r="B469" s="80"/>
      <c r="C469" s="80"/>
      <c r="D469" s="81"/>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954">
        <f t="shared" si="269"/>
        <v>0</v>
      </c>
      <c r="AW469" s="1954">
        <f t="shared" si="270"/>
        <v>0</v>
      </c>
      <c r="AX469" s="1954">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79"/>
      <c r="B470" s="80"/>
      <c r="C470" s="80"/>
      <c r="D470" s="81"/>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954">
        <f t="shared" si="269"/>
        <v>0</v>
      </c>
      <c r="AW470" s="1954">
        <f t="shared" si="270"/>
        <v>0</v>
      </c>
      <c r="AX470" s="1954">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79"/>
      <c r="B471" s="80"/>
      <c r="C471" s="80"/>
      <c r="D471" s="81"/>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954">
        <f t="shared" si="269"/>
        <v>0</v>
      </c>
      <c r="AW471" s="1954">
        <f t="shared" si="270"/>
        <v>0</v>
      </c>
      <c r="AX471" s="1954">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79"/>
      <c r="B472" s="80"/>
      <c r="C472" s="80"/>
      <c r="D472" s="81"/>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954">
        <f t="shared" si="269"/>
        <v>0</v>
      </c>
      <c r="AW472" s="1954">
        <f t="shared" si="270"/>
        <v>0</v>
      </c>
      <c r="AX472" s="1954">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79"/>
      <c r="B473" s="80"/>
      <c r="C473" s="80"/>
      <c r="D473" s="81"/>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954">
        <f t="shared" si="269"/>
        <v>0</v>
      </c>
      <c r="AW473" s="1954">
        <f t="shared" si="270"/>
        <v>0</v>
      </c>
      <c r="AX473" s="1954">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79"/>
      <c r="B474" s="80"/>
      <c r="C474" s="80"/>
      <c r="D474" s="81"/>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954">
        <f t="shared" si="269"/>
        <v>0</v>
      </c>
      <c r="AW474" s="1954">
        <f t="shared" si="270"/>
        <v>0</v>
      </c>
      <c r="AX474" s="1954">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79"/>
      <c r="B475" s="80"/>
      <c r="C475" s="80"/>
      <c r="D475" s="81"/>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954">
        <f t="shared" si="269"/>
        <v>0</v>
      </c>
      <c r="AW475" s="1954">
        <f t="shared" si="270"/>
        <v>0</v>
      </c>
      <c r="AX475" s="1954">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79"/>
      <c r="B476" s="80"/>
      <c r="C476" s="80"/>
      <c r="D476" s="81"/>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954">
        <f t="shared" si="269"/>
        <v>0</v>
      </c>
      <c r="AW476" s="1954">
        <f t="shared" si="270"/>
        <v>0</v>
      </c>
      <c r="AX476" s="1954">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79"/>
      <c r="B477" s="80"/>
      <c r="C477" s="80"/>
      <c r="D477" s="81"/>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954">
        <f t="shared" si="269"/>
        <v>0</v>
      </c>
      <c r="AW477" s="1954">
        <f t="shared" si="270"/>
        <v>0</v>
      </c>
      <c r="AX477" s="1954">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79"/>
      <c r="B478" s="79"/>
      <c r="C478" s="79"/>
      <c r="D478" s="81"/>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954">
        <f t="shared" si="269"/>
        <v>0</v>
      </c>
      <c r="AW478" s="1954">
        <f t="shared" si="270"/>
        <v>0</v>
      </c>
      <c r="AX478" s="1954">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79"/>
      <c r="B479" s="79"/>
      <c r="C479" s="79"/>
      <c r="D479" s="81"/>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954">
        <f t="shared" si="269"/>
        <v>0</v>
      </c>
      <c r="AW479" s="1954">
        <f t="shared" si="270"/>
        <v>0</v>
      </c>
      <c r="AX479" s="1954">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79"/>
      <c r="B480" s="79"/>
      <c r="C480" s="79"/>
      <c r="D480" s="81"/>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954">
        <f t="shared" si="269"/>
        <v>0</v>
      </c>
      <c r="AW480" s="1954">
        <f t="shared" si="270"/>
        <v>0</v>
      </c>
      <c r="AX480" s="1954">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79"/>
      <c r="B481" s="1374"/>
      <c r="C481" s="1375"/>
      <c r="D481" s="76"/>
      <c r="E481" s="82">
        <f t="shared" ref="E481:E504" si="319">IF($C$3="是",ROUND($A$3*G481/$B$3,2),ROUND($A$3*(G481-AT481)/$B$3,2))</f>
        <v>0</v>
      </c>
      <c r="F481" s="83"/>
      <c r="G481" s="84">
        <f t="shared" si="294"/>
        <v>0</v>
      </c>
      <c r="H481" s="85">
        <f t="shared" si="295"/>
        <v>0</v>
      </c>
      <c r="I481" s="1377"/>
      <c r="J481" s="86"/>
      <c r="K481" s="1377"/>
      <c r="L481" s="86"/>
      <c r="M481" s="86"/>
      <c r="N481" s="86"/>
      <c r="O481" s="86"/>
      <c r="P481" s="86"/>
      <c r="Q481" s="86"/>
      <c r="R481" s="86"/>
      <c r="S481" s="86"/>
      <c r="T481" s="86"/>
      <c r="U481" s="86"/>
      <c r="V481" s="86"/>
      <c r="W481" s="86"/>
      <c r="X481" s="86"/>
      <c r="Y481" s="86"/>
      <c r="Z481" s="86"/>
      <c r="AA481" s="86"/>
      <c r="AB481" s="86"/>
      <c r="AC481" s="82">
        <f t="shared" si="296"/>
        <v>0</v>
      </c>
      <c r="AD481" s="87"/>
      <c r="AE481" s="87"/>
      <c r="AF481" s="1378"/>
      <c r="AG481" s="87"/>
      <c r="AH481" s="87"/>
      <c r="AI481" s="87"/>
      <c r="AJ481" s="87"/>
      <c r="AK481" s="87"/>
      <c r="AL481" s="87"/>
      <c r="AM481" s="87"/>
      <c r="AN481" s="1350"/>
      <c r="AO481" s="87"/>
      <c r="AP481" s="87"/>
      <c r="AQ481" s="87"/>
      <c r="AR481" s="87"/>
      <c r="AS481" s="87"/>
      <c r="AT481" s="88"/>
      <c r="AU481" s="89"/>
      <c r="AV481" s="971">
        <f t="shared" ref="AV481:AV505" si="320">A481</f>
        <v>0</v>
      </c>
      <c r="AW481" s="971">
        <f t="shared" ref="AW481:AW505" si="321">B481</f>
        <v>0</v>
      </c>
      <c r="AX481" s="971">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79"/>
      <c r="B482" s="1374"/>
      <c r="C482" s="1375"/>
      <c r="D482" s="76"/>
      <c r="E482" s="82">
        <f t="shared" si="319"/>
        <v>0</v>
      </c>
      <c r="F482" s="83"/>
      <c r="G482" s="84">
        <f t="shared" si="294"/>
        <v>0</v>
      </c>
      <c r="H482" s="85">
        <f t="shared" si="295"/>
        <v>0</v>
      </c>
      <c r="I482" s="1377"/>
      <c r="J482" s="86"/>
      <c r="K482" s="1377"/>
      <c r="L482" s="86"/>
      <c r="M482" s="1350"/>
      <c r="N482" s="86"/>
      <c r="O482" s="86"/>
      <c r="P482" s="86"/>
      <c r="Q482" s="86"/>
      <c r="R482" s="86"/>
      <c r="S482" s="86"/>
      <c r="T482" s="86"/>
      <c r="U482" s="86"/>
      <c r="V482" s="86"/>
      <c r="W482" s="86"/>
      <c r="X482" s="86"/>
      <c r="Y482" s="86"/>
      <c r="Z482" s="86"/>
      <c r="AA482" s="86"/>
      <c r="AB482" s="86"/>
      <c r="AC482" s="82">
        <f t="shared" si="296"/>
        <v>0</v>
      </c>
      <c r="AD482" s="1350"/>
      <c r="AE482" s="87"/>
      <c r="AF482" s="1378"/>
      <c r="AG482" s="87"/>
      <c r="AH482" s="87"/>
      <c r="AI482" s="87"/>
      <c r="AJ482" s="87"/>
      <c r="AK482" s="87"/>
      <c r="AL482" s="1350"/>
      <c r="AM482" s="87"/>
      <c r="AN482" s="1350"/>
      <c r="AO482" s="87"/>
      <c r="AP482" s="87"/>
      <c r="AQ482" s="87"/>
      <c r="AR482" s="87"/>
      <c r="AS482" s="87"/>
      <c r="AT482" s="88"/>
      <c r="AU482" s="89"/>
      <c r="AV482" s="971">
        <f t="shared" si="320"/>
        <v>0</v>
      </c>
      <c r="AW482" s="971">
        <f t="shared" si="321"/>
        <v>0</v>
      </c>
      <c r="AX482" s="971">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79"/>
      <c r="B483" s="1374"/>
      <c r="C483" s="1375"/>
      <c r="D483" s="76"/>
      <c r="E483" s="82">
        <f t="shared" si="319"/>
        <v>0</v>
      </c>
      <c r="F483" s="83"/>
      <c r="G483" s="84">
        <f t="shared" si="294"/>
        <v>0</v>
      </c>
      <c r="H483" s="85">
        <f t="shared" si="295"/>
        <v>0</v>
      </c>
      <c r="I483" s="1377"/>
      <c r="J483" s="86"/>
      <c r="K483" s="1377"/>
      <c r="L483" s="86"/>
      <c r="M483" s="1350"/>
      <c r="N483" s="86"/>
      <c r="O483" s="86"/>
      <c r="P483" s="86"/>
      <c r="Q483" s="86"/>
      <c r="R483" s="86"/>
      <c r="S483" s="86"/>
      <c r="T483" s="86"/>
      <c r="U483" s="86"/>
      <c r="V483" s="86"/>
      <c r="W483" s="86"/>
      <c r="X483" s="86"/>
      <c r="Y483" s="86"/>
      <c r="Z483" s="86"/>
      <c r="AA483" s="86"/>
      <c r="AB483" s="86"/>
      <c r="AC483" s="82">
        <f t="shared" si="296"/>
        <v>0</v>
      </c>
      <c r="AD483" s="87"/>
      <c r="AE483" s="87"/>
      <c r="AF483" s="1378"/>
      <c r="AG483" s="87"/>
      <c r="AH483" s="87"/>
      <c r="AI483" s="87"/>
      <c r="AJ483" s="87"/>
      <c r="AK483" s="87"/>
      <c r="AL483" s="1350"/>
      <c r="AM483" s="87"/>
      <c r="AN483" s="1350"/>
      <c r="AO483" s="87"/>
      <c r="AP483" s="87"/>
      <c r="AQ483" s="87"/>
      <c r="AR483" s="87"/>
      <c r="AS483" s="87"/>
      <c r="AT483" s="88"/>
      <c r="AU483" s="89"/>
      <c r="AV483" s="971">
        <f t="shared" si="320"/>
        <v>0</v>
      </c>
      <c r="AW483" s="971">
        <f t="shared" si="321"/>
        <v>0</v>
      </c>
      <c r="AX483" s="971">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79"/>
      <c r="B484" s="1374"/>
      <c r="C484" s="1375"/>
      <c r="D484" s="76"/>
      <c r="E484" s="82">
        <f t="shared" si="319"/>
        <v>0</v>
      </c>
      <c r="F484" s="83"/>
      <c r="G484" s="84">
        <f t="shared" si="294"/>
        <v>0</v>
      </c>
      <c r="H484" s="85">
        <f t="shared" si="295"/>
        <v>0</v>
      </c>
      <c r="I484" s="1377"/>
      <c r="J484" s="86"/>
      <c r="K484" s="1377"/>
      <c r="L484" s="86"/>
      <c r="M484" s="86"/>
      <c r="N484" s="86"/>
      <c r="O484" s="1350"/>
      <c r="P484" s="86"/>
      <c r="Q484" s="86"/>
      <c r="R484" s="86"/>
      <c r="S484" s="86"/>
      <c r="T484" s="86"/>
      <c r="U484" s="86"/>
      <c r="V484" s="86"/>
      <c r="W484" s="86"/>
      <c r="X484" s="86"/>
      <c r="Y484" s="86"/>
      <c r="Z484" s="86"/>
      <c r="AA484" s="86"/>
      <c r="AB484" s="86"/>
      <c r="AC484" s="82">
        <f t="shared" si="296"/>
        <v>0</v>
      </c>
      <c r="AD484" s="87"/>
      <c r="AE484" s="87"/>
      <c r="AF484" s="1378"/>
      <c r="AG484" s="87"/>
      <c r="AH484" s="87"/>
      <c r="AI484" s="87"/>
      <c r="AJ484" s="87"/>
      <c r="AK484" s="87"/>
      <c r="AL484" s="87"/>
      <c r="AM484" s="87"/>
      <c r="AN484" s="1350"/>
      <c r="AO484" s="87"/>
      <c r="AP484" s="87"/>
      <c r="AQ484" s="87"/>
      <c r="AR484" s="87"/>
      <c r="AS484" s="87"/>
      <c r="AT484" s="88"/>
      <c r="AU484" s="89"/>
      <c r="AV484" s="971">
        <f t="shared" si="320"/>
        <v>0</v>
      </c>
      <c r="AW484" s="971">
        <f t="shared" si="321"/>
        <v>0</v>
      </c>
      <c r="AX484" s="971">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79"/>
      <c r="B485" s="1374"/>
      <c r="C485" s="1375"/>
      <c r="D485" s="76"/>
      <c r="E485" s="82">
        <f t="shared" si="319"/>
        <v>0</v>
      </c>
      <c r="F485" s="83"/>
      <c r="G485" s="84">
        <f t="shared" si="294"/>
        <v>0</v>
      </c>
      <c r="H485" s="85">
        <f t="shared" si="295"/>
        <v>0</v>
      </c>
      <c r="I485" s="1377"/>
      <c r="J485" s="86"/>
      <c r="K485" s="1377"/>
      <c r="L485" s="86"/>
      <c r="M485" s="86"/>
      <c r="N485" s="86"/>
      <c r="O485" s="86"/>
      <c r="P485" s="86"/>
      <c r="Q485" s="86"/>
      <c r="R485" s="86"/>
      <c r="S485" s="86"/>
      <c r="T485" s="86"/>
      <c r="U485" s="86"/>
      <c r="V485" s="86"/>
      <c r="W485" s="86"/>
      <c r="X485" s="86"/>
      <c r="Y485" s="86"/>
      <c r="Z485" s="86"/>
      <c r="AA485" s="86"/>
      <c r="AB485" s="86"/>
      <c r="AC485" s="82">
        <f t="shared" si="296"/>
        <v>0</v>
      </c>
      <c r="AD485" s="87"/>
      <c r="AE485" s="87"/>
      <c r="AF485" s="1378"/>
      <c r="AG485" s="87"/>
      <c r="AH485" s="87"/>
      <c r="AI485" s="87"/>
      <c r="AJ485" s="87"/>
      <c r="AK485" s="87"/>
      <c r="AL485" s="87"/>
      <c r="AM485" s="87"/>
      <c r="AN485" s="87"/>
      <c r="AO485" s="87"/>
      <c r="AP485" s="87"/>
      <c r="AQ485" s="87"/>
      <c r="AR485" s="87"/>
      <c r="AS485" s="87"/>
      <c r="AT485" s="88"/>
      <c r="AU485" s="89"/>
      <c r="AV485" s="971">
        <f t="shared" si="320"/>
        <v>0</v>
      </c>
      <c r="AW485" s="971">
        <f t="shared" si="321"/>
        <v>0</v>
      </c>
      <c r="AX485" s="971">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79"/>
      <c r="B486" s="1374"/>
      <c r="C486" s="1375"/>
      <c r="D486" s="76"/>
      <c r="E486" s="82">
        <f t="shared" si="319"/>
        <v>0</v>
      </c>
      <c r="F486" s="83"/>
      <c r="G486" s="84">
        <f t="shared" si="294"/>
        <v>0</v>
      </c>
      <c r="H486" s="85">
        <f t="shared" si="295"/>
        <v>0</v>
      </c>
      <c r="I486" s="1377"/>
      <c r="J486" s="86"/>
      <c r="K486" s="1377"/>
      <c r="L486" s="86"/>
      <c r="M486" s="86"/>
      <c r="N486" s="86"/>
      <c r="O486" s="86"/>
      <c r="P486" s="86"/>
      <c r="Q486" s="86"/>
      <c r="R486" s="86"/>
      <c r="S486" s="86"/>
      <c r="T486" s="86"/>
      <c r="U486" s="86"/>
      <c r="V486" s="86"/>
      <c r="W486" s="86"/>
      <c r="X486" s="86"/>
      <c r="Y486" s="86"/>
      <c r="Z486" s="86"/>
      <c r="AA486" s="86"/>
      <c r="AB486" s="86"/>
      <c r="AC486" s="82">
        <f t="shared" si="296"/>
        <v>0</v>
      </c>
      <c r="AD486" s="87"/>
      <c r="AE486" s="87"/>
      <c r="AF486" s="1378"/>
      <c r="AG486" s="87"/>
      <c r="AH486" s="87"/>
      <c r="AI486" s="87"/>
      <c r="AJ486" s="87"/>
      <c r="AK486" s="87"/>
      <c r="AL486" s="87"/>
      <c r="AM486" s="87"/>
      <c r="AN486" s="87"/>
      <c r="AO486" s="87"/>
      <c r="AP486" s="87"/>
      <c r="AQ486" s="87"/>
      <c r="AR486" s="87"/>
      <c r="AS486" s="87"/>
      <c r="AT486" s="88"/>
      <c r="AU486" s="89"/>
      <c r="AV486" s="971">
        <f t="shared" si="320"/>
        <v>0</v>
      </c>
      <c r="AW486" s="971">
        <f t="shared" si="321"/>
        <v>0</v>
      </c>
      <c r="AX486" s="971">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79"/>
      <c r="B487" s="1374"/>
      <c r="C487" s="1375"/>
      <c r="D487" s="76"/>
      <c r="E487" s="82">
        <f t="shared" si="319"/>
        <v>0</v>
      </c>
      <c r="F487" s="83"/>
      <c r="G487" s="84">
        <f t="shared" si="294"/>
        <v>0</v>
      </c>
      <c r="H487" s="85">
        <f t="shared" si="295"/>
        <v>0</v>
      </c>
      <c r="I487" s="1377"/>
      <c r="J487" s="86"/>
      <c r="K487" s="1377"/>
      <c r="L487" s="86"/>
      <c r="M487" s="86"/>
      <c r="N487" s="86"/>
      <c r="O487" s="86"/>
      <c r="P487" s="86"/>
      <c r="Q487" s="86"/>
      <c r="R487" s="86"/>
      <c r="S487" s="86"/>
      <c r="T487" s="86"/>
      <c r="U487" s="86"/>
      <c r="V487" s="86"/>
      <c r="W487" s="86"/>
      <c r="X487" s="86"/>
      <c r="Y487" s="86"/>
      <c r="Z487" s="86"/>
      <c r="AA487" s="86"/>
      <c r="AB487" s="86"/>
      <c r="AC487" s="82">
        <f t="shared" si="296"/>
        <v>0</v>
      </c>
      <c r="AD487" s="87"/>
      <c r="AE487" s="87"/>
      <c r="AF487" s="1378"/>
      <c r="AG487" s="87"/>
      <c r="AH487" s="87"/>
      <c r="AI487" s="87"/>
      <c r="AJ487" s="87"/>
      <c r="AK487" s="87"/>
      <c r="AL487" s="87"/>
      <c r="AM487" s="87"/>
      <c r="AN487" s="87"/>
      <c r="AO487" s="87"/>
      <c r="AP487" s="87"/>
      <c r="AQ487" s="87"/>
      <c r="AR487" s="87"/>
      <c r="AS487" s="87"/>
      <c r="AT487" s="88"/>
      <c r="AU487" s="89"/>
      <c r="AV487" s="971">
        <f t="shared" si="320"/>
        <v>0</v>
      </c>
      <c r="AW487" s="971">
        <f t="shared" si="321"/>
        <v>0</v>
      </c>
      <c r="AX487" s="971">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79"/>
      <c r="B488" s="1374"/>
      <c r="C488" s="1375"/>
      <c r="D488" s="76"/>
      <c r="E488" s="82">
        <f t="shared" si="319"/>
        <v>0</v>
      </c>
      <c r="F488" s="83"/>
      <c r="G488" s="84">
        <f t="shared" si="294"/>
        <v>0</v>
      </c>
      <c r="H488" s="85">
        <f t="shared" si="295"/>
        <v>0</v>
      </c>
      <c r="I488" s="1377"/>
      <c r="J488" s="86"/>
      <c r="K488" s="1377"/>
      <c r="L488" s="86"/>
      <c r="M488" s="86"/>
      <c r="N488" s="86"/>
      <c r="O488" s="86"/>
      <c r="P488" s="86"/>
      <c r="Q488" s="86"/>
      <c r="R488" s="86"/>
      <c r="S488" s="86"/>
      <c r="T488" s="86"/>
      <c r="U488" s="86"/>
      <c r="V488" s="86"/>
      <c r="W488" s="86"/>
      <c r="X488" s="86"/>
      <c r="Y488" s="86"/>
      <c r="Z488" s="86"/>
      <c r="AA488" s="86"/>
      <c r="AB488" s="86"/>
      <c r="AC488" s="82">
        <f t="shared" si="296"/>
        <v>0</v>
      </c>
      <c r="AD488" s="87"/>
      <c r="AE488" s="87"/>
      <c r="AF488" s="1377"/>
      <c r="AG488" s="87"/>
      <c r="AH488" s="87"/>
      <c r="AI488" s="87"/>
      <c r="AJ488" s="87"/>
      <c r="AK488" s="87"/>
      <c r="AL488" s="87"/>
      <c r="AM488" s="87"/>
      <c r="AN488" s="87"/>
      <c r="AO488" s="87"/>
      <c r="AP488" s="87"/>
      <c r="AQ488" s="87"/>
      <c r="AR488" s="87"/>
      <c r="AS488" s="87"/>
      <c r="AT488" s="88"/>
      <c r="AU488" s="89"/>
      <c r="AV488" s="971">
        <f t="shared" si="320"/>
        <v>0</v>
      </c>
      <c r="AW488" s="971">
        <f t="shared" si="321"/>
        <v>0</v>
      </c>
      <c r="AX488" s="971">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79"/>
      <c r="B489" s="1376"/>
      <c r="C489" s="1377"/>
      <c r="D489" s="76"/>
      <c r="E489" s="82">
        <f t="shared" si="319"/>
        <v>0</v>
      </c>
      <c r="F489" s="83"/>
      <c r="G489" s="84">
        <f t="shared" si="294"/>
        <v>0</v>
      </c>
      <c r="H489" s="85">
        <f t="shared" si="295"/>
        <v>0</v>
      </c>
      <c r="I489" s="1377"/>
      <c r="J489" s="86"/>
      <c r="K489" s="1377"/>
      <c r="L489" s="86"/>
      <c r="M489" s="86"/>
      <c r="N489" s="86"/>
      <c r="O489" s="86"/>
      <c r="P489" s="86"/>
      <c r="Q489" s="86"/>
      <c r="R489" s="86"/>
      <c r="S489" s="86"/>
      <c r="T489" s="86"/>
      <c r="U489" s="86"/>
      <c r="V489" s="86"/>
      <c r="W489" s="86"/>
      <c r="X489" s="86"/>
      <c r="Y489" s="86"/>
      <c r="Z489" s="86"/>
      <c r="AA489" s="86"/>
      <c r="AB489" s="86"/>
      <c r="AC489" s="82">
        <f t="shared" si="296"/>
        <v>0</v>
      </c>
      <c r="AD489" s="87"/>
      <c r="AE489" s="87"/>
      <c r="AF489" s="1377"/>
      <c r="AG489" s="87"/>
      <c r="AH489" s="87"/>
      <c r="AI489" s="87"/>
      <c r="AJ489" s="87"/>
      <c r="AK489" s="87"/>
      <c r="AL489" s="87"/>
      <c r="AM489" s="87"/>
      <c r="AN489" s="87"/>
      <c r="AO489" s="87"/>
      <c r="AP489" s="87"/>
      <c r="AQ489" s="87"/>
      <c r="AR489" s="87"/>
      <c r="AS489" s="87"/>
      <c r="AT489" s="88"/>
      <c r="AU489" s="89"/>
      <c r="AV489" s="971">
        <f t="shared" si="320"/>
        <v>0</v>
      </c>
      <c r="AW489" s="971">
        <f t="shared" si="321"/>
        <v>0</v>
      </c>
      <c r="AX489" s="971">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79"/>
      <c r="B490" s="1374"/>
      <c r="C490" s="1375"/>
      <c r="D490" s="76"/>
      <c r="E490" s="82">
        <f t="shared" si="319"/>
        <v>0</v>
      </c>
      <c r="F490" s="83"/>
      <c r="G490" s="84">
        <f t="shared" si="294"/>
        <v>0</v>
      </c>
      <c r="H490" s="85">
        <f t="shared" si="295"/>
        <v>0</v>
      </c>
      <c r="I490" s="1377"/>
      <c r="J490" s="86"/>
      <c r="K490" s="1377"/>
      <c r="L490" s="86"/>
      <c r="M490" s="86"/>
      <c r="N490" s="86"/>
      <c r="O490" s="86"/>
      <c r="P490" s="86"/>
      <c r="Q490" s="86"/>
      <c r="R490" s="86"/>
      <c r="S490" s="86"/>
      <c r="T490" s="86"/>
      <c r="U490" s="86"/>
      <c r="V490" s="86"/>
      <c r="W490" s="86"/>
      <c r="X490" s="86"/>
      <c r="Y490" s="86"/>
      <c r="Z490" s="86"/>
      <c r="AA490" s="86"/>
      <c r="AB490" s="86"/>
      <c r="AC490" s="82">
        <f t="shared" si="296"/>
        <v>0</v>
      </c>
      <c r="AD490" s="87"/>
      <c r="AE490" s="87"/>
      <c r="AF490" s="1377"/>
      <c r="AG490" s="87"/>
      <c r="AH490" s="87"/>
      <c r="AI490" s="87"/>
      <c r="AJ490" s="87"/>
      <c r="AK490" s="87"/>
      <c r="AL490" s="87"/>
      <c r="AM490" s="87"/>
      <c r="AN490" s="87"/>
      <c r="AO490" s="87"/>
      <c r="AP490" s="87"/>
      <c r="AQ490" s="87"/>
      <c r="AR490" s="87"/>
      <c r="AS490" s="87"/>
      <c r="AT490" s="88"/>
      <c r="AU490" s="89"/>
      <c r="AV490" s="971">
        <f t="shared" si="320"/>
        <v>0</v>
      </c>
      <c r="AW490" s="971">
        <f t="shared" si="321"/>
        <v>0</v>
      </c>
      <c r="AX490" s="971">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79"/>
      <c r="B491" s="1374"/>
      <c r="C491" s="1375"/>
      <c r="D491" s="76"/>
      <c r="E491" s="82">
        <f t="shared" si="319"/>
        <v>0</v>
      </c>
      <c r="F491" s="83"/>
      <c r="G491" s="84">
        <f t="shared" si="294"/>
        <v>0</v>
      </c>
      <c r="H491" s="85">
        <f t="shared" si="295"/>
        <v>0</v>
      </c>
      <c r="I491" s="1377"/>
      <c r="J491" s="86"/>
      <c r="K491" s="1377"/>
      <c r="L491" s="86"/>
      <c r="M491" s="86"/>
      <c r="N491" s="86"/>
      <c r="O491" s="86"/>
      <c r="P491" s="86"/>
      <c r="Q491" s="86"/>
      <c r="R491" s="86"/>
      <c r="S491" s="86"/>
      <c r="T491" s="86"/>
      <c r="U491" s="86"/>
      <c r="V491" s="86"/>
      <c r="W491" s="86"/>
      <c r="X491" s="86"/>
      <c r="Y491" s="86"/>
      <c r="Z491" s="86"/>
      <c r="AA491" s="86"/>
      <c r="AB491" s="86"/>
      <c r="AC491" s="82">
        <f t="shared" si="296"/>
        <v>0</v>
      </c>
      <c r="AD491" s="87"/>
      <c r="AE491" s="87"/>
      <c r="AF491" s="1377"/>
      <c r="AG491" s="87"/>
      <c r="AH491" s="87"/>
      <c r="AI491" s="87"/>
      <c r="AJ491" s="87"/>
      <c r="AK491" s="87"/>
      <c r="AL491" s="87"/>
      <c r="AM491" s="87"/>
      <c r="AN491" s="87"/>
      <c r="AO491" s="87"/>
      <c r="AP491" s="87"/>
      <c r="AQ491" s="87"/>
      <c r="AR491" s="87"/>
      <c r="AS491" s="87"/>
      <c r="AT491" s="88"/>
      <c r="AU491" s="89"/>
      <c r="AV491" s="971">
        <f t="shared" si="320"/>
        <v>0</v>
      </c>
      <c r="AW491" s="971">
        <f t="shared" si="321"/>
        <v>0</v>
      </c>
      <c r="AX491" s="971">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79"/>
      <c r="B492" s="1374"/>
      <c r="C492" s="1375"/>
      <c r="D492" s="76"/>
      <c r="E492" s="82">
        <f t="shared" si="319"/>
        <v>0</v>
      </c>
      <c r="F492" s="83"/>
      <c r="G492" s="84">
        <f t="shared" si="294"/>
        <v>0</v>
      </c>
      <c r="H492" s="85">
        <f t="shared" si="295"/>
        <v>0</v>
      </c>
      <c r="I492" s="1377"/>
      <c r="J492" s="86"/>
      <c r="K492" s="1377"/>
      <c r="L492" s="86"/>
      <c r="M492" s="86"/>
      <c r="N492" s="86"/>
      <c r="O492" s="86"/>
      <c r="P492" s="86"/>
      <c r="Q492" s="86"/>
      <c r="R492" s="86"/>
      <c r="S492" s="86"/>
      <c r="T492" s="86"/>
      <c r="U492" s="86"/>
      <c r="V492" s="86"/>
      <c r="W492" s="86"/>
      <c r="X492" s="86"/>
      <c r="Y492" s="86"/>
      <c r="Z492" s="86"/>
      <c r="AA492" s="86"/>
      <c r="AB492" s="86"/>
      <c r="AC492" s="82">
        <f t="shared" si="296"/>
        <v>0</v>
      </c>
      <c r="AD492" s="87"/>
      <c r="AE492" s="87"/>
      <c r="AF492" s="1377"/>
      <c r="AG492" s="87"/>
      <c r="AH492" s="87"/>
      <c r="AI492" s="87"/>
      <c r="AJ492" s="87"/>
      <c r="AK492" s="87"/>
      <c r="AL492" s="87"/>
      <c r="AM492" s="87"/>
      <c r="AN492" s="87"/>
      <c r="AO492" s="87"/>
      <c r="AP492" s="87"/>
      <c r="AQ492" s="87"/>
      <c r="AR492" s="87"/>
      <c r="AS492" s="87"/>
      <c r="AT492" s="88"/>
      <c r="AU492" s="89"/>
      <c r="AV492" s="971">
        <f t="shared" si="320"/>
        <v>0</v>
      </c>
      <c r="AW492" s="971">
        <f t="shared" si="321"/>
        <v>0</v>
      </c>
      <c r="AX492" s="971">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79"/>
      <c r="B493" s="1374"/>
      <c r="C493" s="1375"/>
      <c r="D493" s="76"/>
      <c r="E493" s="82">
        <f t="shared" si="319"/>
        <v>0</v>
      </c>
      <c r="F493" s="83"/>
      <c r="G493" s="84">
        <f t="shared" si="294"/>
        <v>0</v>
      </c>
      <c r="H493" s="85">
        <f t="shared" si="295"/>
        <v>0</v>
      </c>
      <c r="I493" s="1377"/>
      <c r="J493" s="86"/>
      <c r="K493" s="1377"/>
      <c r="L493" s="86"/>
      <c r="M493" s="86"/>
      <c r="N493" s="86"/>
      <c r="O493" s="86"/>
      <c r="P493" s="86"/>
      <c r="Q493" s="86"/>
      <c r="R493" s="86"/>
      <c r="S493" s="86"/>
      <c r="T493" s="86"/>
      <c r="U493" s="86"/>
      <c r="V493" s="86"/>
      <c r="W493" s="86"/>
      <c r="X493" s="86"/>
      <c r="Y493" s="86"/>
      <c r="Z493" s="86"/>
      <c r="AA493" s="86"/>
      <c r="AB493" s="86"/>
      <c r="AC493" s="82">
        <f t="shared" si="296"/>
        <v>0</v>
      </c>
      <c r="AD493" s="87"/>
      <c r="AE493" s="87"/>
      <c r="AF493" s="1377"/>
      <c r="AG493" s="87"/>
      <c r="AH493" s="87"/>
      <c r="AI493" s="87"/>
      <c r="AJ493" s="87"/>
      <c r="AK493" s="87"/>
      <c r="AL493" s="87"/>
      <c r="AM493" s="87"/>
      <c r="AN493" s="87"/>
      <c r="AO493" s="87"/>
      <c r="AP493" s="87"/>
      <c r="AQ493" s="87"/>
      <c r="AR493" s="87"/>
      <c r="AS493" s="87"/>
      <c r="AT493" s="88"/>
      <c r="AU493" s="89"/>
      <c r="AV493" s="971">
        <f t="shared" si="320"/>
        <v>0</v>
      </c>
      <c r="AW493" s="971">
        <f t="shared" si="321"/>
        <v>0</v>
      </c>
      <c r="AX493" s="971">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79"/>
      <c r="B494" s="1374"/>
      <c r="C494" s="1375"/>
      <c r="D494" s="76"/>
      <c r="E494" s="82">
        <f t="shared" si="319"/>
        <v>0</v>
      </c>
      <c r="F494" s="83"/>
      <c r="G494" s="84">
        <f t="shared" si="294"/>
        <v>0</v>
      </c>
      <c r="H494" s="85">
        <f t="shared" si="295"/>
        <v>0</v>
      </c>
      <c r="I494" s="1377"/>
      <c r="J494" s="86"/>
      <c r="K494" s="1377"/>
      <c r="L494" s="86"/>
      <c r="M494" s="86"/>
      <c r="N494" s="86"/>
      <c r="O494" s="86"/>
      <c r="P494" s="86"/>
      <c r="Q494" s="86"/>
      <c r="R494" s="86"/>
      <c r="S494" s="86"/>
      <c r="T494" s="86"/>
      <c r="U494" s="86"/>
      <c r="V494" s="86"/>
      <c r="W494" s="86"/>
      <c r="X494" s="86"/>
      <c r="Y494" s="86"/>
      <c r="Z494" s="86"/>
      <c r="AA494" s="86"/>
      <c r="AB494" s="86"/>
      <c r="AC494" s="82">
        <f t="shared" si="296"/>
        <v>0</v>
      </c>
      <c r="AD494" s="87"/>
      <c r="AE494" s="87"/>
      <c r="AF494" s="1377"/>
      <c r="AG494" s="87"/>
      <c r="AH494" s="87"/>
      <c r="AI494" s="87"/>
      <c r="AJ494" s="87"/>
      <c r="AK494" s="87"/>
      <c r="AL494" s="87"/>
      <c r="AM494" s="87"/>
      <c r="AN494" s="87"/>
      <c r="AO494" s="87"/>
      <c r="AP494" s="87"/>
      <c r="AQ494" s="87"/>
      <c r="AR494" s="87"/>
      <c r="AS494" s="87"/>
      <c r="AT494" s="88"/>
      <c r="AU494" s="89"/>
      <c r="AV494" s="971">
        <f t="shared" si="320"/>
        <v>0</v>
      </c>
      <c r="AW494" s="971">
        <f t="shared" si="321"/>
        <v>0</v>
      </c>
      <c r="AX494" s="971">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79"/>
      <c r="B495" s="1374"/>
      <c r="C495" s="1375"/>
      <c r="D495" s="76"/>
      <c r="E495" s="82">
        <f t="shared" si="319"/>
        <v>0</v>
      </c>
      <c r="F495" s="83"/>
      <c r="G495" s="84">
        <f t="shared" si="294"/>
        <v>0</v>
      </c>
      <c r="H495" s="85">
        <f t="shared" si="295"/>
        <v>0</v>
      </c>
      <c r="I495" s="1377"/>
      <c r="J495" s="86"/>
      <c r="K495" s="1377"/>
      <c r="L495" s="86"/>
      <c r="M495" s="86"/>
      <c r="N495" s="86"/>
      <c r="O495" s="86"/>
      <c r="P495" s="86"/>
      <c r="Q495" s="86"/>
      <c r="R495" s="86"/>
      <c r="S495" s="86"/>
      <c r="T495" s="86"/>
      <c r="U495" s="86"/>
      <c r="V495" s="86"/>
      <c r="W495" s="86"/>
      <c r="X495" s="86"/>
      <c r="Y495" s="86"/>
      <c r="Z495" s="86"/>
      <c r="AA495" s="86"/>
      <c r="AB495" s="86"/>
      <c r="AC495" s="82">
        <f t="shared" si="296"/>
        <v>0</v>
      </c>
      <c r="AD495" s="87"/>
      <c r="AE495" s="87"/>
      <c r="AF495" s="1377"/>
      <c r="AG495" s="87"/>
      <c r="AH495" s="87"/>
      <c r="AI495" s="87"/>
      <c r="AJ495" s="87"/>
      <c r="AK495" s="87"/>
      <c r="AL495" s="87"/>
      <c r="AM495" s="87"/>
      <c r="AN495" s="87"/>
      <c r="AO495" s="87"/>
      <c r="AP495" s="87"/>
      <c r="AQ495" s="87"/>
      <c r="AR495" s="87"/>
      <c r="AS495" s="87"/>
      <c r="AT495" s="88"/>
      <c r="AU495" s="89"/>
      <c r="AV495" s="971">
        <f t="shared" si="320"/>
        <v>0</v>
      </c>
      <c r="AW495" s="971">
        <f t="shared" si="321"/>
        <v>0</v>
      </c>
      <c r="AX495" s="971">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79"/>
      <c r="B496" s="1374"/>
      <c r="C496" s="1375"/>
      <c r="D496" s="76"/>
      <c r="E496" s="82">
        <f t="shared" si="319"/>
        <v>0</v>
      </c>
      <c r="F496" s="83"/>
      <c r="G496" s="84">
        <f t="shared" si="294"/>
        <v>0</v>
      </c>
      <c r="H496" s="85">
        <f t="shared" si="295"/>
        <v>0</v>
      </c>
      <c r="I496" s="1377"/>
      <c r="J496" s="86"/>
      <c r="K496" s="1377"/>
      <c r="L496" s="86"/>
      <c r="M496" s="86"/>
      <c r="N496" s="86"/>
      <c r="O496" s="86"/>
      <c r="P496" s="86"/>
      <c r="Q496" s="86"/>
      <c r="R496" s="86"/>
      <c r="S496" s="86"/>
      <c r="T496" s="86"/>
      <c r="U496" s="86"/>
      <c r="V496" s="86"/>
      <c r="W496" s="86"/>
      <c r="X496" s="86"/>
      <c r="Y496" s="86"/>
      <c r="Z496" s="86"/>
      <c r="AA496" s="86"/>
      <c r="AB496" s="86"/>
      <c r="AC496" s="82">
        <f t="shared" si="296"/>
        <v>0</v>
      </c>
      <c r="AD496" s="87"/>
      <c r="AE496" s="87"/>
      <c r="AF496" s="1377"/>
      <c r="AG496" s="87"/>
      <c r="AH496" s="87"/>
      <c r="AI496" s="87"/>
      <c r="AJ496" s="87"/>
      <c r="AK496" s="87"/>
      <c r="AL496" s="87"/>
      <c r="AM496" s="87"/>
      <c r="AN496" s="87"/>
      <c r="AO496" s="87"/>
      <c r="AP496" s="87"/>
      <c r="AQ496" s="87"/>
      <c r="AR496" s="87"/>
      <c r="AS496" s="87"/>
      <c r="AT496" s="88"/>
      <c r="AU496" s="89"/>
      <c r="AV496" s="971">
        <f t="shared" si="320"/>
        <v>0</v>
      </c>
      <c r="AW496" s="971">
        <f t="shared" si="321"/>
        <v>0</v>
      </c>
      <c r="AX496" s="971">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79"/>
      <c r="B497" s="1374"/>
      <c r="C497" s="1375"/>
      <c r="D497" s="76"/>
      <c r="E497" s="82">
        <f t="shared" si="319"/>
        <v>0</v>
      </c>
      <c r="F497" s="83"/>
      <c r="G497" s="84">
        <f t="shared" si="294"/>
        <v>0</v>
      </c>
      <c r="H497" s="85">
        <f t="shared" si="295"/>
        <v>0</v>
      </c>
      <c r="I497" s="1377"/>
      <c r="J497" s="86"/>
      <c r="K497" s="1377"/>
      <c r="L497" s="86"/>
      <c r="M497" s="86"/>
      <c r="N497" s="86"/>
      <c r="O497" s="86"/>
      <c r="P497" s="86"/>
      <c r="Q497" s="86"/>
      <c r="R497" s="86"/>
      <c r="S497" s="86"/>
      <c r="T497" s="86"/>
      <c r="U497" s="86"/>
      <c r="V497" s="86"/>
      <c r="W497" s="86"/>
      <c r="X497" s="86"/>
      <c r="Y497" s="86"/>
      <c r="Z497" s="86"/>
      <c r="AA497" s="86"/>
      <c r="AB497" s="86"/>
      <c r="AC497" s="82">
        <f t="shared" si="296"/>
        <v>0</v>
      </c>
      <c r="AD497" s="87"/>
      <c r="AE497" s="87"/>
      <c r="AF497" s="1377"/>
      <c r="AG497" s="87"/>
      <c r="AH497" s="87"/>
      <c r="AI497" s="87"/>
      <c r="AJ497" s="87"/>
      <c r="AK497" s="87"/>
      <c r="AL497" s="87"/>
      <c r="AM497" s="87"/>
      <c r="AN497" s="87"/>
      <c r="AO497" s="87"/>
      <c r="AP497" s="87"/>
      <c r="AQ497" s="87"/>
      <c r="AR497" s="87"/>
      <c r="AS497" s="87"/>
      <c r="AT497" s="88"/>
      <c r="AU497" s="89"/>
      <c r="AV497" s="971">
        <f t="shared" si="320"/>
        <v>0</v>
      </c>
      <c r="AW497" s="971">
        <f t="shared" si="321"/>
        <v>0</v>
      </c>
      <c r="AX497" s="971">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79"/>
      <c r="B498" s="1374"/>
      <c r="C498" s="1375"/>
      <c r="D498" s="76"/>
      <c r="E498" s="82">
        <f t="shared" si="319"/>
        <v>0</v>
      </c>
      <c r="F498" s="83"/>
      <c r="G498" s="84">
        <f t="shared" si="294"/>
        <v>0</v>
      </c>
      <c r="H498" s="85">
        <f t="shared" si="295"/>
        <v>0</v>
      </c>
      <c r="I498" s="1377"/>
      <c r="J498" s="86"/>
      <c r="K498" s="1377"/>
      <c r="L498" s="86"/>
      <c r="M498" s="86"/>
      <c r="N498" s="86"/>
      <c r="O498" s="86"/>
      <c r="P498" s="86"/>
      <c r="Q498" s="86"/>
      <c r="R498" s="86"/>
      <c r="S498" s="86"/>
      <c r="T498" s="86"/>
      <c r="U498" s="86"/>
      <c r="V498" s="86"/>
      <c r="W498" s="86"/>
      <c r="X498" s="86"/>
      <c r="Y498" s="86"/>
      <c r="Z498" s="86"/>
      <c r="AA498" s="86"/>
      <c r="AB498" s="86"/>
      <c r="AC498" s="82">
        <f t="shared" si="296"/>
        <v>0</v>
      </c>
      <c r="AD498" s="87"/>
      <c r="AE498" s="87"/>
      <c r="AF498" s="1377"/>
      <c r="AG498" s="87"/>
      <c r="AH498" s="87"/>
      <c r="AI498" s="87"/>
      <c r="AJ498" s="87"/>
      <c r="AK498" s="87"/>
      <c r="AL498" s="87"/>
      <c r="AM498" s="87"/>
      <c r="AN498" s="87"/>
      <c r="AO498" s="87"/>
      <c r="AP498" s="87"/>
      <c r="AQ498" s="87"/>
      <c r="AR498" s="87"/>
      <c r="AS498" s="87"/>
      <c r="AT498" s="88"/>
      <c r="AU498" s="89"/>
      <c r="AV498" s="971">
        <f t="shared" si="320"/>
        <v>0</v>
      </c>
      <c r="AW498" s="971">
        <f t="shared" si="321"/>
        <v>0</v>
      </c>
      <c r="AX498" s="971">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79"/>
      <c r="B499" s="1374"/>
      <c r="C499" s="1375"/>
      <c r="D499" s="76"/>
      <c r="E499" s="82">
        <f t="shared" si="319"/>
        <v>0</v>
      </c>
      <c r="F499" s="83"/>
      <c r="G499" s="84">
        <f t="shared" si="294"/>
        <v>0</v>
      </c>
      <c r="H499" s="85">
        <f t="shared" si="295"/>
        <v>0</v>
      </c>
      <c r="I499" s="1377"/>
      <c r="J499" s="86"/>
      <c r="K499" s="1377"/>
      <c r="L499" s="86"/>
      <c r="M499" s="86"/>
      <c r="N499" s="86"/>
      <c r="O499" s="86"/>
      <c r="P499" s="86"/>
      <c r="Q499" s="86"/>
      <c r="R499" s="86"/>
      <c r="S499" s="86"/>
      <c r="T499" s="86"/>
      <c r="U499" s="86"/>
      <c r="V499" s="86"/>
      <c r="W499" s="86"/>
      <c r="X499" s="86"/>
      <c r="Y499" s="86"/>
      <c r="Z499" s="86"/>
      <c r="AA499" s="86"/>
      <c r="AB499" s="86"/>
      <c r="AC499" s="82">
        <f t="shared" si="296"/>
        <v>0</v>
      </c>
      <c r="AD499" s="87"/>
      <c r="AE499" s="87"/>
      <c r="AF499" s="1377"/>
      <c r="AG499" s="87"/>
      <c r="AH499" s="87"/>
      <c r="AI499" s="87"/>
      <c r="AJ499" s="87"/>
      <c r="AK499" s="87"/>
      <c r="AL499" s="87"/>
      <c r="AM499" s="87"/>
      <c r="AN499" s="87"/>
      <c r="AO499" s="87"/>
      <c r="AP499" s="87"/>
      <c r="AQ499" s="87"/>
      <c r="AR499" s="87"/>
      <c r="AS499" s="87"/>
      <c r="AT499" s="88"/>
      <c r="AU499" s="89"/>
      <c r="AV499" s="971">
        <f t="shared" si="320"/>
        <v>0</v>
      </c>
      <c r="AW499" s="971">
        <f t="shared" si="321"/>
        <v>0</v>
      </c>
      <c r="AX499" s="971">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79"/>
      <c r="B500" s="1374"/>
      <c r="C500" s="1375"/>
      <c r="D500" s="76"/>
      <c r="E500" s="82">
        <f t="shared" si="319"/>
        <v>0</v>
      </c>
      <c r="F500" s="83"/>
      <c r="G500" s="84">
        <f t="shared" si="294"/>
        <v>0</v>
      </c>
      <c r="H500" s="85">
        <f t="shared" si="295"/>
        <v>0</v>
      </c>
      <c r="I500" s="1377"/>
      <c r="J500" s="86"/>
      <c r="K500" s="1377"/>
      <c r="L500" s="86"/>
      <c r="M500" s="86"/>
      <c r="N500" s="86"/>
      <c r="O500" s="86"/>
      <c r="P500" s="86"/>
      <c r="Q500" s="86"/>
      <c r="R500" s="86"/>
      <c r="S500" s="86"/>
      <c r="T500" s="86"/>
      <c r="U500" s="86"/>
      <c r="V500" s="86"/>
      <c r="W500" s="86"/>
      <c r="X500" s="86"/>
      <c r="Y500" s="86"/>
      <c r="Z500" s="86"/>
      <c r="AA500" s="86"/>
      <c r="AB500" s="86"/>
      <c r="AC500" s="82">
        <f t="shared" si="296"/>
        <v>0</v>
      </c>
      <c r="AD500" s="87"/>
      <c r="AE500" s="87"/>
      <c r="AF500" s="1377"/>
      <c r="AG500" s="87"/>
      <c r="AH500" s="87"/>
      <c r="AI500" s="87"/>
      <c r="AJ500" s="87"/>
      <c r="AK500" s="87"/>
      <c r="AL500" s="87"/>
      <c r="AM500" s="87"/>
      <c r="AN500" s="87"/>
      <c r="AO500" s="87"/>
      <c r="AP500" s="87"/>
      <c r="AQ500" s="87"/>
      <c r="AR500" s="87"/>
      <c r="AS500" s="87"/>
      <c r="AT500" s="88"/>
      <c r="AU500" s="89"/>
      <c r="AV500" s="971">
        <f t="shared" si="320"/>
        <v>0</v>
      </c>
      <c r="AW500" s="971">
        <f t="shared" si="321"/>
        <v>0</v>
      </c>
      <c r="AX500" s="971">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79"/>
      <c r="B501" s="1374"/>
      <c r="C501" s="1375"/>
      <c r="D501" s="76"/>
      <c r="E501" s="82">
        <f t="shared" si="319"/>
        <v>0</v>
      </c>
      <c r="F501" s="83"/>
      <c r="G501" s="84">
        <f t="shared" si="294"/>
        <v>0</v>
      </c>
      <c r="H501" s="85">
        <f t="shared" si="295"/>
        <v>0</v>
      </c>
      <c r="I501" s="1377"/>
      <c r="J501" s="86"/>
      <c r="K501" s="1377"/>
      <c r="L501" s="86"/>
      <c r="M501" s="86"/>
      <c r="N501" s="86"/>
      <c r="O501" s="86"/>
      <c r="P501" s="86"/>
      <c r="Q501" s="86"/>
      <c r="R501" s="86"/>
      <c r="S501" s="86"/>
      <c r="T501" s="86"/>
      <c r="U501" s="86"/>
      <c r="V501" s="86"/>
      <c r="W501" s="86"/>
      <c r="X501" s="86"/>
      <c r="Y501" s="86"/>
      <c r="Z501" s="86"/>
      <c r="AA501" s="86"/>
      <c r="AB501" s="86"/>
      <c r="AC501" s="82">
        <f t="shared" si="296"/>
        <v>0</v>
      </c>
      <c r="AD501" s="87"/>
      <c r="AE501" s="87"/>
      <c r="AF501" s="1377"/>
      <c r="AG501" s="87"/>
      <c r="AH501" s="87"/>
      <c r="AI501" s="87"/>
      <c r="AJ501" s="87"/>
      <c r="AK501" s="87"/>
      <c r="AL501" s="87"/>
      <c r="AM501" s="87"/>
      <c r="AN501" s="87"/>
      <c r="AO501" s="87"/>
      <c r="AP501" s="87"/>
      <c r="AQ501" s="87"/>
      <c r="AR501" s="87"/>
      <c r="AS501" s="87"/>
      <c r="AT501" s="88"/>
      <c r="AU501" s="89"/>
      <c r="AV501" s="971">
        <f t="shared" si="320"/>
        <v>0</v>
      </c>
      <c r="AW501" s="971">
        <f t="shared" si="321"/>
        <v>0</v>
      </c>
      <c r="AX501" s="971">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79"/>
      <c r="B502" s="1374"/>
      <c r="C502" s="1375"/>
      <c r="D502" s="76"/>
      <c r="E502" s="82">
        <f t="shared" si="319"/>
        <v>0</v>
      </c>
      <c r="F502" s="83"/>
      <c r="G502" s="84">
        <f t="shared" si="294"/>
        <v>0</v>
      </c>
      <c r="H502" s="85">
        <f t="shared" si="295"/>
        <v>0</v>
      </c>
      <c r="I502" s="1377"/>
      <c r="J502" s="86"/>
      <c r="K502" s="1377"/>
      <c r="L502" s="86"/>
      <c r="M502" s="86"/>
      <c r="N502" s="86"/>
      <c r="O502" s="86"/>
      <c r="P502" s="86"/>
      <c r="Q502" s="86"/>
      <c r="R502" s="86"/>
      <c r="S502" s="86"/>
      <c r="T502" s="86"/>
      <c r="U502" s="86"/>
      <c r="V502" s="86"/>
      <c r="W502" s="86"/>
      <c r="X502" s="86"/>
      <c r="Y502" s="86"/>
      <c r="Z502" s="86"/>
      <c r="AA502" s="86"/>
      <c r="AB502" s="86"/>
      <c r="AC502" s="82">
        <f t="shared" si="296"/>
        <v>0</v>
      </c>
      <c r="AD502" s="87"/>
      <c r="AE502" s="87"/>
      <c r="AF502" s="1377"/>
      <c r="AG502" s="87"/>
      <c r="AH502" s="87"/>
      <c r="AI502" s="87"/>
      <c r="AJ502" s="87"/>
      <c r="AK502" s="87"/>
      <c r="AL502" s="87"/>
      <c r="AM502" s="87"/>
      <c r="AN502" s="87"/>
      <c r="AO502" s="87"/>
      <c r="AP502" s="87"/>
      <c r="AQ502" s="87"/>
      <c r="AR502" s="87"/>
      <c r="AS502" s="87"/>
      <c r="AT502" s="88"/>
      <c r="AU502" s="89"/>
      <c r="AV502" s="971">
        <f t="shared" si="320"/>
        <v>0</v>
      </c>
      <c r="AW502" s="971">
        <f t="shared" si="321"/>
        <v>0</v>
      </c>
      <c r="AX502" s="971">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79"/>
      <c r="B503" s="1374"/>
      <c r="C503" s="1375"/>
      <c r="D503" s="76"/>
      <c r="E503" s="82">
        <f t="shared" si="319"/>
        <v>0</v>
      </c>
      <c r="F503" s="83"/>
      <c r="G503" s="84">
        <f t="shared" si="294"/>
        <v>0</v>
      </c>
      <c r="H503" s="85">
        <f t="shared" si="295"/>
        <v>0</v>
      </c>
      <c r="I503" s="1377"/>
      <c r="J503" s="86"/>
      <c r="K503" s="1377"/>
      <c r="L503" s="86"/>
      <c r="M503" s="86"/>
      <c r="N503" s="86"/>
      <c r="O503" s="86"/>
      <c r="P503" s="86"/>
      <c r="Q503" s="86"/>
      <c r="R503" s="86"/>
      <c r="S503" s="86"/>
      <c r="T503" s="86"/>
      <c r="U503" s="86"/>
      <c r="V503" s="86"/>
      <c r="W503" s="86"/>
      <c r="X503" s="86"/>
      <c r="Y503" s="86"/>
      <c r="Z503" s="86"/>
      <c r="AA503" s="86"/>
      <c r="AB503" s="86"/>
      <c r="AC503" s="82">
        <f t="shared" si="296"/>
        <v>0</v>
      </c>
      <c r="AD503" s="87"/>
      <c r="AE503" s="87"/>
      <c r="AF503" s="1377"/>
      <c r="AG503" s="87"/>
      <c r="AH503" s="87"/>
      <c r="AI503" s="87"/>
      <c r="AJ503" s="87"/>
      <c r="AK503" s="87"/>
      <c r="AL503" s="87"/>
      <c r="AM503" s="87"/>
      <c r="AN503" s="87"/>
      <c r="AO503" s="87"/>
      <c r="AP503" s="87"/>
      <c r="AQ503" s="87"/>
      <c r="AR503" s="87"/>
      <c r="AS503" s="87"/>
      <c r="AT503" s="88"/>
      <c r="AU503" s="89"/>
      <c r="AV503" s="971">
        <f t="shared" si="320"/>
        <v>0</v>
      </c>
      <c r="AW503" s="971">
        <f t="shared" si="321"/>
        <v>0</v>
      </c>
      <c r="AX503" s="971">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79"/>
      <c r="B504" s="1374"/>
      <c r="C504" s="1375"/>
      <c r="D504" s="76"/>
      <c r="E504" s="82">
        <f t="shared" si="319"/>
        <v>0</v>
      </c>
      <c r="F504" s="83"/>
      <c r="G504" s="84">
        <f t="shared" si="294"/>
        <v>0</v>
      </c>
      <c r="H504" s="85">
        <f t="shared" si="295"/>
        <v>0</v>
      </c>
      <c r="I504" s="1377"/>
      <c r="J504" s="86"/>
      <c r="K504" s="1377"/>
      <c r="L504" s="86"/>
      <c r="M504" s="86"/>
      <c r="N504" s="86"/>
      <c r="O504" s="86"/>
      <c r="P504" s="86"/>
      <c r="Q504" s="86"/>
      <c r="R504" s="86"/>
      <c r="S504" s="86"/>
      <c r="T504" s="86"/>
      <c r="U504" s="86"/>
      <c r="V504" s="86"/>
      <c r="W504" s="86"/>
      <c r="X504" s="86"/>
      <c r="Y504" s="86"/>
      <c r="Z504" s="86"/>
      <c r="AA504" s="86"/>
      <c r="AB504" s="86"/>
      <c r="AC504" s="82">
        <f t="shared" si="296"/>
        <v>0</v>
      </c>
      <c r="AD504" s="87"/>
      <c r="AE504" s="87"/>
      <c r="AF504" s="1377"/>
      <c r="AG504" s="87"/>
      <c r="AH504" s="87"/>
      <c r="AI504" s="87"/>
      <c r="AJ504" s="87"/>
      <c r="AK504" s="87"/>
      <c r="AL504" s="87"/>
      <c r="AM504" s="87"/>
      <c r="AN504" s="87"/>
      <c r="AO504" s="87"/>
      <c r="AP504" s="87"/>
      <c r="AQ504" s="87"/>
      <c r="AR504" s="87"/>
      <c r="AS504" s="87"/>
      <c r="AT504" s="88"/>
      <c r="AU504" s="89"/>
      <c r="AV504" s="971">
        <f t="shared" si="320"/>
        <v>0</v>
      </c>
      <c r="AW504" s="971">
        <f t="shared" si="321"/>
        <v>0</v>
      </c>
      <c r="AX504" s="971">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79"/>
      <c r="B505" s="1374"/>
      <c r="C505" s="1375"/>
      <c r="D505" s="76"/>
      <c r="E505" s="82">
        <f t="shared" ref="E505:E536" si="323">IF($C$3="是",ROUND($A$3*G505/$B$3,2),ROUND($A$3*(G505-AT505)/$B$3,2))</f>
        <v>0</v>
      </c>
      <c r="F505" s="83"/>
      <c r="G505" s="84">
        <f t="shared" si="294"/>
        <v>0</v>
      </c>
      <c r="H505" s="85">
        <f t="shared" si="295"/>
        <v>0</v>
      </c>
      <c r="I505" s="1377"/>
      <c r="J505" s="86"/>
      <c r="K505" s="1377"/>
      <c r="L505" s="86"/>
      <c r="M505" s="86"/>
      <c r="N505" s="86"/>
      <c r="O505" s="86"/>
      <c r="P505" s="86"/>
      <c r="Q505" s="86"/>
      <c r="R505" s="86"/>
      <c r="S505" s="86"/>
      <c r="T505" s="86"/>
      <c r="U505" s="86"/>
      <c r="V505" s="86"/>
      <c r="W505" s="86"/>
      <c r="X505" s="86"/>
      <c r="Y505" s="86"/>
      <c r="Z505" s="86"/>
      <c r="AA505" s="86"/>
      <c r="AB505" s="86"/>
      <c r="AC505" s="82">
        <f t="shared" si="296"/>
        <v>0</v>
      </c>
      <c r="AD505" s="87"/>
      <c r="AE505" s="87"/>
      <c r="AF505" s="1377"/>
      <c r="AG505" s="87"/>
      <c r="AH505" s="87"/>
      <c r="AI505" s="87"/>
      <c r="AJ505" s="87"/>
      <c r="AK505" s="87"/>
      <c r="AL505" s="87"/>
      <c r="AM505" s="87"/>
      <c r="AN505" s="87"/>
      <c r="AO505" s="87"/>
      <c r="AP505" s="87"/>
      <c r="AQ505" s="87"/>
      <c r="AR505" s="87"/>
      <c r="AS505" s="87"/>
      <c r="AT505" s="88"/>
      <c r="AU505" s="89"/>
      <c r="AV505" s="971">
        <f t="shared" si="320"/>
        <v>0</v>
      </c>
      <c r="AW505" s="971">
        <f t="shared" si="321"/>
        <v>0</v>
      </c>
      <c r="AX505" s="971">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79"/>
      <c r="B506" s="1374"/>
      <c r="C506" s="1375"/>
      <c r="D506" s="76"/>
      <c r="E506" s="82">
        <f t="shared" si="323"/>
        <v>0</v>
      </c>
      <c r="F506" s="83"/>
      <c r="G506" s="84">
        <f t="shared" si="294"/>
        <v>0</v>
      </c>
      <c r="H506" s="85">
        <f t="shared" si="295"/>
        <v>0</v>
      </c>
      <c r="I506" s="1377"/>
      <c r="J506" s="86"/>
      <c r="K506" s="1377"/>
      <c r="L506" s="86"/>
      <c r="M506" s="86"/>
      <c r="N506" s="86"/>
      <c r="O506" s="86"/>
      <c r="P506" s="86"/>
      <c r="Q506" s="86"/>
      <c r="R506" s="86"/>
      <c r="S506" s="86"/>
      <c r="T506" s="86"/>
      <c r="U506" s="86"/>
      <c r="V506" s="86"/>
      <c r="W506" s="86"/>
      <c r="X506" s="86"/>
      <c r="Y506" s="86"/>
      <c r="Z506" s="86"/>
      <c r="AA506" s="86"/>
      <c r="AB506" s="86"/>
      <c r="AC506" s="82">
        <f t="shared" si="296"/>
        <v>0</v>
      </c>
      <c r="AD506" s="87"/>
      <c r="AE506" s="87"/>
      <c r="AF506" s="1377"/>
      <c r="AG506" s="87"/>
      <c r="AH506" s="87"/>
      <c r="AI506" s="87"/>
      <c r="AJ506" s="87"/>
      <c r="AK506" s="87"/>
      <c r="AL506" s="87"/>
      <c r="AM506" s="87"/>
      <c r="AN506" s="87"/>
      <c r="AO506" s="87"/>
      <c r="AP506" s="87"/>
      <c r="AQ506" s="87"/>
      <c r="AR506" s="87"/>
      <c r="AS506" s="87"/>
      <c r="AT506" s="88"/>
      <c r="AU506" s="89"/>
      <c r="AV506" s="971">
        <f t="shared" ref="AV506:AV537" si="324">A506</f>
        <v>0</v>
      </c>
      <c r="AW506" s="971">
        <f t="shared" ref="AW506:AW537" si="325">B506</f>
        <v>0</v>
      </c>
      <c r="AX506" s="971">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79"/>
      <c r="B507" s="1374"/>
      <c r="C507" s="1375"/>
      <c r="D507" s="76"/>
      <c r="E507" s="82">
        <f t="shared" si="323"/>
        <v>0</v>
      </c>
      <c r="F507" s="83"/>
      <c r="G507" s="84">
        <f t="shared" si="294"/>
        <v>0</v>
      </c>
      <c r="H507" s="85">
        <f t="shared" si="295"/>
        <v>0</v>
      </c>
      <c r="I507" s="1377"/>
      <c r="J507" s="86"/>
      <c r="K507" s="1377"/>
      <c r="L507" s="86"/>
      <c r="M507" s="86"/>
      <c r="N507" s="86"/>
      <c r="O507" s="86"/>
      <c r="P507" s="86"/>
      <c r="Q507" s="86"/>
      <c r="R507" s="86"/>
      <c r="S507" s="86"/>
      <c r="T507" s="86"/>
      <c r="U507" s="86"/>
      <c r="V507" s="86"/>
      <c r="W507" s="86"/>
      <c r="X507" s="86"/>
      <c r="Y507" s="86"/>
      <c r="Z507" s="86"/>
      <c r="AA507" s="86"/>
      <c r="AB507" s="86"/>
      <c r="AC507" s="82">
        <f t="shared" si="296"/>
        <v>0</v>
      </c>
      <c r="AD507" s="87"/>
      <c r="AE507" s="87"/>
      <c r="AF507" s="1375"/>
      <c r="AG507" s="87"/>
      <c r="AH507" s="87"/>
      <c r="AI507" s="87"/>
      <c r="AJ507" s="87"/>
      <c r="AK507" s="87"/>
      <c r="AL507" s="87"/>
      <c r="AM507" s="87"/>
      <c r="AN507" s="87"/>
      <c r="AO507" s="87"/>
      <c r="AP507" s="87"/>
      <c r="AQ507" s="87"/>
      <c r="AR507" s="87"/>
      <c r="AS507" s="87"/>
      <c r="AT507" s="88"/>
      <c r="AU507" s="89"/>
      <c r="AV507" s="971">
        <f t="shared" si="324"/>
        <v>0</v>
      </c>
      <c r="AW507" s="971">
        <f t="shared" si="325"/>
        <v>0</v>
      </c>
      <c r="AX507" s="971">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79"/>
      <c r="B508" s="1374"/>
      <c r="C508" s="1375"/>
      <c r="D508" s="76"/>
      <c r="E508" s="82">
        <f t="shared" si="323"/>
        <v>0</v>
      </c>
      <c r="F508" s="83"/>
      <c r="G508" s="84">
        <f t="shared" si="294"/>
        <v>0</v>
      </c>
      <c r="H508" s="85">
        <f t="shared" si="295"/>
        <v>0</v>
      </c>
      <c r="I508" s="1375"/>
      <c r="J508" s="86"/>
      <c r="K508" s="1375"/>
      <c r="L508" s="86"/>
      <c r="M508" s="86"/>
      <c r="N508" s="86"/>
      <c r="O508" s="86"/>
      <c r="P508" s="86"/>
      <c r="Q508" s="86"/>
      <c r="R508" s="86"/>
      <c r="S508" s="86"/>
      <c r="T508" s="86"/>
      <c r="U508" s="86"/>
      <c r="V508" s="86"/>
      <c r="W508" s="86"/>
      <c r="X508" s="86"/>
      <c r="Y508" s="86"/>
      <c r="Z508" s="86"/>
      <c r="AA508" s="86"/>
      <c r="AB508" s="86"/>
      <c r="AC508" s="82">
        <f t="shared" si="296"/>
        <v>0</v>
      </c>
      <c r="AD508" s="87"/>
      <c r="AE508" s="87"/>
      <c r="AF508" s="1375"/>
      <c r="AG508" s="87"/>
      <c r="AH508" s="87"/>
      <c r="AI508" s="87"/>
      <c r="AJ508" s="87"/>
      <c r="AK508" s="87"/>
      <c r="AL508" s="87"/>
      <c r="AM508" s="87"/>
      <c r="AN508" s="87"/>
      <c r="AO508" s="87"/>
      <c r="AP508" s="87"/>
      <c r="AQ508" s="87"/>
      <c r="AR508" s="87"/>
      <c r="AS508" s="87"/>
      <c r="AT508" s="88"/>
      <c r="AU508" s="89"/>
      <c r="AV508" s="971">
        <f t="shared" si="324"/>
        <v>0</v>
      </c>
      <c r="AW508" s="971">
        <f t="shared" si="325"/>
        <v>0</v>
      </c>
      <c r="AX508" s="971">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79"/>
      <c r="B509" s="1374"/>
      <c r="C509" s="1375"/>
      <c r="D509" s="76"/>
      <c r="E509" s="82">
        <f t="shared" si="323"/>
        <v>0</v>
      </c>
      <c r="F509" s="83"/>
      <c r="G509" s="84">
        <f t="shared" si="294"/>
        <v>0</v>
      </c>
      <c r="H509" s="85">
        <f t="shared" si="295"/>
        <v>0</v>
      </c>
      <c r="I509" s="1375"/>
      <c r="J509" s="86"/>
      <c r="K509" s="1375"/>
      <c r="L509" s="86"/>
      <c r="M509" s="86"/>
      <c r="N509" s="86"/>
      <c r="O509" s="86"/>
      <c r="P509" s="86"/>
      <c r="Q509" s="86"/>
      <c r="R509" s="86"/>
      <c r="S509" s="86"/>
      <c r="T509" s="86"/>
      <c r="U509" s="86"/>
      <c r="V509" s="86"/>
      <c r="W509" s="86"/>
      <c r="X509" s="86"/>
      <c r="Y509" s="86"/>
      <c r="Z509" s="86"/>
      <c r="AA509" s="86"/>
      <c r="AB509" s="86"/>
      <c r="AC509" s="82">
        <f t="shared" si="296"/>
        <v>0</v>
      </c>
      <c r="AD509" s="87"/>
      <c r="AE509" s="87"/>
      <c r="AF509" s="1375"/>
      <c r="AG509" s="87"/>
      <c r="AH509" s="87"/>
      <c r="AI509" s="87"/>
      <c r="AJ509" s="87"/>
      <c r="AK509" s="87"/>
      <c r="AL509" s="87"/>
      <c r="AM509" s="87"/>
      <c r="AN509" s="87"/>
      <c r="AO509" s="87"/>
      <c r="AP509" s="87"/>
      <c r="AQ509" s="87"/>
      <c r="AR509" s="87"/>
      <c r="AS509" s="87"/>
      <c r="AT509" s="88"/>
      <c r="AU509" s="89"/>
      <c r="AV509" s="971">
        <f t="shared" si="324"/>
        <v>0</v>
      </c>
      <c r="AW509" s="971">
        <f t="shared" si="325"/>
        <v>0</v>
      </c>
      <c r="AX509" s="971">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79"/>
      <c r="B510" s="1374"/>
      <c r="C510" s="1375"/>
      <c r="D510" s="76"/>
      <c r="E510" s="82">
        <f t="shared" si="323"/>
        <v>0</v>
      </c>
      <c r="F510" s="83"/>
      <c r="G510" s="84">
        <f t="shared" ref="G510:G537" si="327">H510+AC510+AT510</f>
        <v>0</v>
      </c>
      <c r="H510" s="85">
        <f t="shared" ref="H510:H537" si="328">SUMIF(I$12:AB$12,"总值",I510:AB510)</f>
        <v>0</v>
      </c>
      <c r="I510" s="1375"/>
      <c r="J510" s="86"/>
      <c r="K510" s="1375"/>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375"/>
      <c r="AG510" s="87"/>
      <c r="AH510" s="87"/>
      <c r="AI510" s="87"/>
      <c r="AJ510" s="87"/>
      <c r="AK510" s="87"/>
      <c r="AL510" s="87"/>
      <c r="AM510" s="87"/>
      <c r="AN510" s="87"/>
      <c r="AO510" s="87"/>
      <c r="AP510" s="87"/>
      <c r="AQ510" s="87"/>
      <c r="AR510" s="87"/>
      <c r="AS510" s="87"/>
      <c r="AT510" s="88"/>
      <c r="AU510" s="89"/>
      <c r="AV510" s="971">
        <f t="shared" si="324"/>
        <v>0</v>
      </c>
      <c r="AW510" s="971">
        <f t="shared" si="325"/>
        <v>0</v>
      </c>
      <c r="AX510" s="971">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79"/>
      <c r="B511" s="1374"/>
      <c r="C511" s="1375"/>
      <c r="D511" s="76"/>
      <c r="E511" s="82">
        <f t="shared" si="323"/>
        <v>0</v>
      </c>
      <c r="F511" s="83"/>
      <c r="G511" s="84">
        <f t="shared" si="327"/>
        <v>0</v>
      </c>
      <c r="H511" s="85">
        <f t="shared" si="328"/>
        <v>0</v>
      </c>
      <c r="I511" s="1375"/>
      <c r="J511" s="86"/>
      <c r="K511" s="1375"/>
      <c r="L511" s="86"/>
      <c r="M511" s="86"/>
      <c r="N511" s="86"/>
      <c r="O511" s="86"/>
      <c r="P511" s="86"/>
      <c r="Q511" s="86"/>
      <c r="R511" s="86"/>
      <c r="S511" s="86"/>
      <c r="T511" s="86"/>
      <c r="U511" s="86"/>
      <c r="V511" s="86"/>
      <c r="W511" s="86"/>
      <c r="X511" s="86"/>
      <c r="Y511" s="86"/>
      <c r="Z511" s="86"/>
      <c r="AA511" s="86"/>
      <c r="AB511" s="86"/>
      <c r="AC511" s="82">
        <f t="shared" si="329"/>
        <v>0</v>
      </c>
      <c r="AD511" s="87"/>
      <c r="AE511" s="87"/>
      <c r="AF511" s="1375"/>
      <c r="AG511" s="87"/>
      <c r="AH511" s="87"/>
      <c r="AI511" s="87"/>
      <c r="AJ511" s="87"/>
      <c r="AK511" s="87"/>
      <c r="AL511" s="87"/>
      <c r="AM511" s="87"/>
      <c r="AN511" s="87"/>
      <c r="AO511" s="87"/>
      <c r="AP511" s="87"/>
      <c r="AQ511" s="87"/>
      <c r="AR511" s="87"/>
      <c r="AS511" s="87"/>
      <c r="AT511" s="88"/>
      <c r="AU511" s="89"/>
      <c r="AV511" s="971">
        <f t="shared" si="324"/>
        <v>0</v>
      </c>
      <c r="AW511" s="971">
        <f t="shared" si="325"/>
        <v>0</v>
      </c>
      <c r="AX511" s="971">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79"/>
      <c r="B512" s="1374"/>
      <c r="C512" s="1375"/>
      <c r="D512" s="76"/>
      <c r="E512" s="82">
        <f t="shared" si="323"/>
        <v>0</v>
      </c>
      <c r="F512" s="83"/>
      <c r="G512" s="84">
        <f t="shared" si="327"/>
        <v>0</v>
      </c>
      <c r="H512" s="85">
        <f t="shared" si="328"/>
        <v>0</v>
      </c>
      <c r="I512" s="1375"/>
      <c r="J512" s="86"/>
      <c r="K512" s="1375"/>
      <c r="L512" s="86"/>
      <c r="M512" s="86"/>
      <c r="N512" s="86"/>
      <c r="O512" s="86"/>
      <c r="P512" s="86"/>
      <c r="Q512" s="86"/>
      <c r="R512" s="86"/>
      <c r="S512" s="86"/>
      <c r="T512" s="86"/>
      <c r="U512" s="86"/>
      <c r="V512" s="86"/>
      <c r="W512" s="86"/>
      <c r="X512" s="86"/>
      <c r="Y512" s="86"/>
      <c r="Z512" s="86"/>
      <c r="AA512" s="86"/>
      <c r="AB512" s="86"/>
      <c r="AC512" s="82">
        <f t="shared" si="329"/>
        <v>0</v>
      </c>
      <c r="AD512" s="87"/>
      <c r="AE512" s="87"/>
      <c r="AF512" s="1375"/>
      <c r="AG512" s="87"/>
      <c r="AH512" s="87"/>
      <c r="AI512" s="87"/>
      <c r="AJ512" s="87"/>
      <c r="AK512" s="87"/>
      <c r="AL512" s="87"/>
      <c r="AM512" s="87"/>
      <c r="AN512" s="87"/>
      <c r="AO512" s="87"/>
      <c r="AP512" s="87"/>
      <c r="AQ512" s="87"/>
      <c r="AR512" s="87"/>
      <c r="AS512" s="87"/>
      <c r="AT512" s="88"/>
      <c r="AU512" s="89"/>
      <c r="AV512" s="971">
        <f t="shared" si="324"/>
        <v>0</v>
      </c>
      <c r="AW512" s="971">
        <f t="shared" si="325"/>
        <v>0</v>
      </c>
      <c r="AX512" s="971">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79"/>
      <c r="B513" s="1374"/>
      <c r="C513" s="1375"/>
      <c r="D513" s="76"/>
      <c r="E513" s="82">
        <f t="shared" si="323"/>
        <v>0</v>
      </c>
      <c r="F513" s="83"/>
      <c r="G513" s="84">
        <f t="shared" si="327"/>
        <v>0</v>
      </c>
      <c r="H513" s="85">
        <f t="shared" si="328"/>
        <v>0</v>
      </c>
      <c r="I513" s="1375"/>
      <c r="J513" s="86"/>
      <c r="K513" s="1375"/>
      <c r="L513" s="86"/>
      <c r="M513" s="86"/>
      <c r="N513" s="86"/>
      <c r="O513" s="86"/>
      <c r="P513" s="86"/>
      <c r="Q513" s="86"/>
      <c r="R513" s="86"/>
      <c r="S513" s="86"/>
      <c r="T513" s="86"/>
      <c r="U513" s="86"/>
      <c r="V513" s="86"/>
      <c r="W513" s="86"/>
      <c r="X513" s="86"/>
      <c r="Y513" s="86"/>
      <c r="Z513" s="86"/>
      <c r="AA513" s="86"/>
      <c r="AB513" s="86"/>
      <c r="AC513" s="82">
        <f t="shared" si="329"/>
        <v>0</v>
      </c>
      <c r="AD513" s="87"/>
      <c r="AE513" s="87"/>
      <c r="AF513" s="1375"/>
      <c r="AG513" s="87"/>
      <c r="AH513" s="87"/>
      <c r="AI513" s="87"/>
      <c r="AJ513" s="87"/>
      <c r="AK513" s="87"/>
      <c r="AL513" s="87"/>
      <c r="AM513" s="87"/>
      <c r="AN513" s="87"/>
      <c r="AO513" s="87"/>
      <c r="AP513" s="87"/>
      <c r="AQ513" s="87"/>
      <c r="AR513" s="87"/>
      <c r="AS513" s="87"/>
      <c r="AT513" s="88"/>
      <c r="AU513" s="89"/>
      <c r="AV513" s="971">
        <f t="shared" si="324"/>
        <v>0</v>
      </c>
      <c r="AW513" s="971">
        <f t="shared" si="325"/>
        <v>0</v>
      </c>
      <c r="AX513" s="971">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79"/>
      <c r="B514" s="1374"/>
      <c r="C514" s="1375"/>
      <c r="D514" s="76"/>
      <c r="E514" s="82">
        <f t="shared" si="323"/>
        <v>0</v>
      </c>
      <c r="F514" s="83"/>
      <c r="G514" s="84">
        <f t="shared" si="327"/>
        <v>0</v>
      </c>
      <c r="H514" s="85">
        <f t="shared" si="328"/>
        <v>0</v>
      </c>
      <c r="I514" s="1375"/>
      <c r="J514" s="86"/>
      <c r="K514" s="1375"/>
      <c r="L514" s="86"/>
      <c r="M514" s="86"/>
      <c r="N514" s="86"/>
      <c r="O514" s="86"/>
      <c r="P514" s="86"/>
      <c r="Q514" s="86"/>
      <c r="R514" s="86"/>
      <c r="S514" s="86"/>
      <c r="T514" s="86"/>
      <c r="U514" s="86"/>
      <c r="V514" s="86"/>
      <c r="W514" s="86"/>
      <c r="X514" s="86"/>
      <c r="Y514" s="86"/>
      <c r="Z514" s="86"/>
      <c r="AA514" s="86"/>
      <c r="AB514" s="86"/>
      <c r="AC514" s="82">
        <f t="shared" si="329"/>
        <v>0</v>
      </c>
      <c r="AD514" s="87"/>
      <c r="AE514" s="87"/>
      <c r="AF514" s="1375"/>
      <c r="AG514" s="87"/>
      <c r="AH514" s="87"/>
      <c r="AI514" s="87"/>
      <c r="AJ514" s="87"/>
      <c r="AK514" s="87"/>
      <c r="AL514" s="87"/>
      <c r="AM514" s="87"/>
      <c r="AN514" s="87"/>
      <c r="AO514" s="87"/>
      <c r="AP514" s="87"/>
      <c r="AQ514" s="87"/>
      <c r="AR514" s="87"/>
      <c r="AS514" s="87"/>
      <c r="AT514" s="88"/>
      <c r="AU514" s="89"/>
      <c r="AV514" s="971">
        <f t="shared" si="324"/>
        <v>0</v>
      </c>
      <c r="AW514" s="971">
        <f t="shared" si="325"/>
        <v>0</v>
      </c>
      <c r="AX514" s="971">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79"/>
      <c r="B515" s="1376"/>
      <c r="C515" s="1377"/>
      <c r="D515" s="76"/>
      <c r="E515" s="82">
        <f t="shared" si="323"/>
        <v>0</v>
      </c>
      <c r="F515" s="83"/>
      <c r="G515" s="84">
        <f t="shared" si="327"/>
        <v>0</v>
      </c>
      <c r="H515" s="85">
        <f t="shared" si="328"/>
        <v>0</v>
      </c>
      <c r="I515" s="1375"/>
      <c r="J515" s="86"/>
      <c r="K515" s="1375"/>
      <c r="L515" s="86"/>
      <c r="M515" s="1375"/>
      <c r="N515" s="86"/>
      <c r="O515" s="86"/>
      <c r="P515" s="86"/>
      <c r="Q515" s="86"/>
      <c r="R515" s="86"/>
      <c r="S515" s="86"/>
      <c r="T515" s="86"/>
      <c r="U515" s="86"/>
      <c r="V515" s="86"/>
      <c r="W515" s="86"/>
      <c r="X515" s="86"/>
      <c r="Y515" s="86"/>
      <c r="Z515" s="86"/>
      <c r="AA515" s="86"/>
      <c r="AB515" s="86"/>
      <c r="AC515" s="82">
        <f t="shared" si="329"/>
        <v>0</v>
      </c>
      <c r="AD515" s="87"/>
      <c r="AE515" s="87"/>
      <c r="AF515" s="1375"/>
      <c r="AG515" s="87"/>
      <c r="AH515" s="87"/>
      <c r="AI515" s="87"/>
      <c r="AJ515" s="87"/>
      <c r="AK515" s="87"/>
      <c r="AL515" s="87"/>
      <c r="AM515" s="87"/>
      <c r="AN515" s="87"/>
      <c r="AO515" s="87"/>
      <c r="AP515" s="87"/>
      <c r="AQ515" s="87"/>
      <c r="AR515" s="87"/>
      <c r="AS515" s="87"/>
      <c r="AT515" s="88"/>
      <c r="AU515" s="89"/>
      <c r="AV515" s="971">
        <f t="shared" si="324"/>
        <v>0</v>
      </c>
      <c r="AW515" s="971">
        <f t="shared" si="325"/>
        <v>0</v>
      </c>
      <c r="AX515" s="971">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79"/>
      <c r="B516" s="80"/>
      <c r="C516" s="80"/>
      <c r="D516" s="81"/>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71">
        <f t="shared" si="324"/>
        <v>0</v>
      </c>
      <c r="AW516" s="971">
        <f t="shared" si="325"/>
        <v>0</v>
      </c>
      <c r="AX516" s="971">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79"/>
      <c r="B517" s="80"/>
      <c r="C517" s="80"/>
      <c r="D517" s="81"/>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71">
        <f t="shared" si="324"/>
        <v>0</v>
      </c>
      <c r="AW517" s="971">
        <f t="shared" si="325"/>
        <v>0</v>
      </c>
      <c r="AX517" s="971">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79"/>
      <c r="B518" s="80"/>
      <c r="C518" s="80"/>
      <c r="D518" s="81"/>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71">
        <f t="shared" si="324"/>
        <v>0</v>
      </c>
      <c r="AW518" s="971">
        <f t="shared" si="325"/>
        <v>0</v>
      </c>
      <c r="AX518" s="971">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79"/>
      <c r="B519" s="80"/>
      <c r="C519" s="80"/>
      <c r="D519" s="81"/>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71">
        <f t="shared" si="324"/>
        <v>0</v>
      </c>
      <c r="AW519" s="971">
        <f t="shared" si="325"/>
        <v>0</v>
      </c>
      <c r="AX519" s="971">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79"/>
      <c r="B520" s="80"/>
      <c r="C520" s="80"/>
      <c r="D520" s="81"/>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71">
        <f t="shared" si="324"/>
        <v>0</v>
      </c>
      <c r="AW520" s="971">
        <f t="shared" si="325"/>
        <v>0</v>
      </c>
      <c r="AX520" s="971">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79"/>
      <c r="B521" s="80"/>
      <c r="C521" s="80"/>
      <c r="D521" s="81"/>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71">
        <f t="shared" si="324"/>
        <v>0</v>
      </c>
      <c r="AW521" s="971">
        <f t="shared" si="325"/>
        <v>0</v>
      </c>
      <c r="AX521" s="971">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79"/>
      <c r="B522" s="80"/>
      <c r="C522" s="80"/>
      <c r="D522" s="81"/>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71">
        <f t="shared" si="324"/>
        <v>0</v>
      </c>
      <c r="AW522" s="971">
        <f t="shared" si="325"/>
        <v>0</v>
      </c>
      <c r="AX522" s="971">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79"/>
      <c r="B523" s="80"/>
      <c r="C523" s="80"/>
      <c r="D523" s="81"/>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71">
        <f t="shared" si="324"/>
        <v>0</v>
      </c>
      <c r="AW523" s="971">
        <f t="shared" si="325"/>
        <v>0</v>
      </c>
      <c r="AX523" s="971">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79"/>
      <c r="B524" s="80"/>
      <c r="C524" s="80"/>
      <c r="D524" s="81"/>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71">
        <f t="shared" si="324"/>
        <v>0</v>
      </c>
      <c r="AW524" s="971">
        <f t="shared" si="325"/>
        <v>0</v>
      </c>
      <c r="AX524" s="971">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79"/>
      <c r="B525" s="80"/>
      <c r="C525" s="80"/>
      <c r="D525" s="81"/>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71">
        <f t="shared" si="324"/>
        <v>0</v>
      </c>
      <c r="AW525" s="971">
        <f t="shared" si="325"/>
        <v>0</v>
      </c>
      <c r="AX525" s="971">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79"/>
      <c r="B526" s="80"/>
      <c r="C526" s="80"/>
      <c r="D526" s="81"/>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71">
        <f t="shared" si="324"/>
        <v>0</v>
      </c>
      <c r="AW526" s="971">
        <f t="shared" si="325"/>
        <v>0</v>
      </c>
      <c r="AX526" s="971">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79"/>
      <c r="B527" s="80"/>
      <c r="C527" s="80"/>
      <c r="D527" s="81"/>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71">
        <f t="shared" si="324"/>
        <v>0</v>
      </c>
      <c r="AW527" s="971">
        <f t="shared" si="325"/>
        <v>0</v>
      </c>
      <c r="AX527" s="971">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79"/>
      <c r="B528" s="80"/>
      <c r="C528" s="80"/>
      <c r="D528" s="81"/>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71">
        <f t="shared" si="324"/>
        <v>0</v>
      </c>
      <c r="AW528" s="971">
        <f t="shared" si="325"/>
        <v>0</v>
      </c>
      <c r="AX528" s="971">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79"/>
      <c r="B529" s="80"/>
      <c r="C529" s="80"/>
      <c r="D529" s="81"/>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71">
        <f t="shared" si="324"/>
        <v>0</v>
      </c>
      <c r="AW529" s="971">
        <f t="shared" si="325"/>
        <v>0</v>
      </c>
      <c r="AX529" s="971">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79"/>
      <c r="B530" s="80"/>
      <c r="C530" s="80"/>
      <c r="D530" s="81"/>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71">
        <f t="shared" si="324"/>
        <v>0</v>
      </c>
      <c r="AW530" s="971">
        <f t="shared" si="325"/>
        <v>0</v>
      </c>
      <c r="AX530" s="971">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79"/>
      <c r="B531" s="80"/>
      <c r="C531" s="80"/>
      <c r="D531" s="81"/>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71">
        <f t="shared" si="324"/>
        <v>0</v>
      </c>
      <c r="AW531" s="971">
        <f t="shared" si="325"/>
        <v>0</v>
      </c>
      <c r="AX531" s="971">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79"/>
      <c r="B532" s="80"/>
      <c r="C532" s="80"/>
      <c r="D532" s="81"/>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71">
        <f t="shared" si="324"/>
        <v>0</v>
      </c>
      <c r="AW532" s="971">
        <f t="shared" si="325"/>
        <v>0</v>
      </c>
      <c r="AX532" s="971">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79"/>
      <c r="B533" s="80"/>
      <c r="C533" s="80"/>
      <c r="D533" s="81"/>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71">
        <f t="shared" si="324"/>
        <v>0</v>
      </c>
      <c r="AW533" s="971">
        <f t="shared" si="325"/>
        <v>0</v>
      </c>
      <c r="AX533" s="971">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79"/>
      <c r="B534" s="80"/>
      <c r="C534" s="80"/>
      <c r="D534" s="81"/>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71">
        <f t="shared" si="324"/>
        <v>0</v>
      </c>
      <c r="AW534" s="971">
        <f t="shared" si="325"/>
        <v>0</v>
      </c>
      <c r="AX534" s="971">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79"/>
      <c r="B535" s="80"/>
      <c r="C535" s="80"/>
      <c r="D535" s="81"/>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71">
        <f t="shared" si="324"/>
        <v>0</v>
      </c>
      <c r="AW535" s="971">
        <f t="shared" si="325"/>
        <v>0</v>
      </c>
      <c r="AX535" s="971">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79"/>
      <c r="B536" s="80"/>
      <c r="C536" s="80"/>
      <c r="D536" s="81"/>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71">
        <f t="shared" si="324"/>
        <v>0</v>
      </c>
      <c r="AW536" s="971">
        <f t="shared" si="325"/>
        <v>0</v>
      </c>
      <c r="AX536" s="971">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79"/>
      <c r="B537" s="80"/>
      <c r="C537" s="80"/>
      <c r="D537" s="81"/>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71">
        <f t="shared" si="324"/>
        <v>0</v>
      </c>
      <c r="AW537" s="971">
        <f t="shared" si="325"/>
        <v>0</v>
      </c>
      <c r="AX537" s="971">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79"/>
      <c r="B538" s="80"/>
      <c r="C538" s="80"/>
      <c r="D538" s="81"/>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71">
        <f t="shared" ref="AV538:AV572" si="356">A538</f>
        <v>0</v>
      </c>
      <c r="AW538" s="971">
        <f t="shared" ref="AW538:AW572" si="357">B538</f>
        <v>0</v>
      </c>
      <c r="AX538" s="971">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79"/>
      <c r="B539" s="80"/>
      <c r="C539" s="80"/>
      <c r="D539" s="81"/>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71">
        <f t="shared" si="356"/>
        <v>0</v>
      </c>
      <c r="AW539" s="971">
        <f t="shared" si="357"/>
        <v>0</v>
      </c>
      <c r="AX539" s="971">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79"/>
      <c r="B540" s="80"/>
      <c r="C540" s="80"/>
      <c r="D540" s="81"/>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71">
        <f t="shared" si="356"/>
        <v>0</v>
      </c>
      <c r="AW540" s="971">
        <f t="shared" si="357"/>
        <v>0</v>
      </c>
      <c r="AX540" s="971">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79"/>
      <c r="B541" s="80"/>
      <c r="C541" s="80"/>
      <c r="D541" s="81"/>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71">
        <f t="shared" si="356"/>
        <v>0</v>
      </c>
      <c r="AW541" s="971">
        <f t="shared" si="357"/>
        <v>0</v>
      </c>
      <c r="AX541" s="971">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79"/>
      <c r="B542" s="80"/>
      <c r="C542" s="80"/>
      <c r="D542" s="81"/>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71">
        <f t="shared" si="356"/>
        <v>0</v>
      </c>
      <c r="AW542" s="971">
        <f t="shared" si="357"/>
        <v>0</v>
      </c>
      <c r="AX542" s="971">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79"/>
      <c r="B543" s="80"/>
      <c r="C543" s="80"/>
      <c r="D543" s="81"/>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71">
        <f t="shared" si="356"/>
        <v>0</v>
      </c>
      <c r="AW543" s="971">
        <f t="shared" si="357"/>
        <v>0</v>
      </c>
      <c r="AX543" s="971">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79"/>
      <c r="B544" s="80"/>
      <c r="C544" s="80"/>
      <c r="D544" s="81"/>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71">
        <f t="shared" si="356"/>
        <v>0</v>
      </c>
      <c r="AW544" s="971">
        <f t="shared" si="357"/>
        <v>0</v>
      </c>
      <c r="AX544" s="971">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79"/>
      <c r="B545" s="80"/>
      <c r="C545" s="80"/>
      <c r="D545" s="81"/>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71">
        <f t="shared" si="356"/>
        <v>0</v>
      </c>
      <c r="AW545" s="971">
        <f t="shared" si="357"/>
        <v>0</v>
      </c>
      <c r="AX545" s="971">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79"/>
      <c r="B546" s="80"/>
      <c r="C546" s="80"/>
      <c r="D546" s="81"/>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71">
        <f t="shared" si="356"/>
        <v>0</v>
      </c>
      <c r="AW546" s="971">
        <f t="shared" si="357"/>
        <v>0</v>
      </c>
      <c r="AX546" s="971">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79"/>
      <c r="B547" s="80"/>
      <c r="C547" s="80"/>
      <c r="D547" s="81"/>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71">
        <f t="shared" si="356"/>
        <v>0</v>
      </c>
      <c r="AW547" s="971">
        <f t="shared" si="357"/>
        <v>0</v>
      </c>
      <c r="AX547" s="971">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79"/>
      <c r="B548" s="80"/>
      <c r="C548" s="80"/>
      <c r="D548" s="81"/>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71">
        <f t="shared" si="356"/>
        <v>0</v>
      </c>
      <c r="AW548" s="971">
        <f t="shared" si="357"/>
        <v>0</v>
      </c>
      <c r="AX548" s="971">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79"/>
      <c r="B549" s="80"/>
      <c r="C549" s="80"/>
      <c r="D549" s="81"/>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71">
        <f t="shared" si="356"/>
        <v>0</v>
      </c>
      <c r="AW549" s="971">
        <f t="shared" si="357"/>
        <v>0</v>
      </c>
      <c r="AX549" s="971">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79"/>
      <c r="B550" s="80"/>
      <c r="C550" s="80"/>
      <c r="D550" s="81"/>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71">
        <f t="shared" si="356"/>
        <v>0</v>
      </c>
      <c r="AW550" s="971">
        <f t="shared" si="357"/>
        <v>0</v>
      </c>
      <c r="AX550" s="971">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79"/>
      <c r="B551" s="80"/>
      <c r="C551" s="80"/>
      <c r="D551" s="81"/>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71">
        <f t="shared" si="356"/>
        <v>0</v>
      </c>
      <c r="AW551" s="971">
        <f t="shared" si="357"/>
        <v>0</v>
      </c>
      <c r="AX551" s="971">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79"/>
      <c r="B552" s="80"/>
      <c r="C552" s="80"/>
      <c r="D552" s="81"/>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71">
        <f t="shared" si="356"/>
        <v>0</v>
      </c>
      <c r="AW552" s="971">
        <f t="shared" si="357"/>
        <v>0</v>
      </c>
      <c r="AX552" s="971">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79"/>
      <c r="B553" s="80"/>
      <c r="C553" s="80"/>
      <c r="D553" s="81"/>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71">
        <f t="shared" si="356"/>
        <v>0</v>
      </c>
      <c r="AW553" s="971">
        <f t="shared" si="357"/>
        <v>0</v>
      </c>
      <c r="AX553" s="971">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79"/>
      <c r="B554" s="80"/>
      <c r="C554" s="80"/>
      <c r="D554" s="81"/>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71">
        <f t="shared" si="356"/>
        <v>0</v>
      </c>
      <c r="AW554" s="971">
        <f t="shared" si="357"/>
        <v>0</v>
      </c>
      <c r="AX554" s="971">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79"/>
      <c r="B555" s="80"/>
      <c r="C555" s="80"/>
      <c r="D555" s="81"/>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71">
        <f t="shared" si="356"/>
        <v>0</v>
      </c>
      <c r="AW555" s="971">
        <f t="shared" si="357"/>
        <v>0</v>
      </c>
      <c r="AX555" s="971">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79"/>
      <c r="B556" s="80"/>
      <c r="C556" s="80"/>
      <c r="D556" s="81"/>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71">
        <f t="shared" si="356"/>
        <v>0</v>
      </c>
      <c r="AW556" s="971">
        <f t="shared" si="357"/>
        <v>0</v>
      </c>
      <c r="AX556" s="971">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79"/>
      <c r="B557" s="80"/>
      <c r="C557" s="80"/>
      <c r="D557" s="81"/>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71">
        <f t="shared" si="356"/>
        <v>0</v>
      </c>
      <c r="AW557" s="971">
        <f t="shared" si="357"/>
        <v>0</v>
      </c>
      <c r="AX557" s="971">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79"/>
      <c r="B558" s="80"/>
      <c r="C558" s="80"/>
      <c r="D558" s="81"/>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71">
        <f t="shared" si="356"/>
        <v>0</v>
      </c>
      <c r="AW558" s="971">
        <f t="shared" si="357"/>
        <v>0</v>
      </c>
      <c r="AX558" s="971">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79"/>
      <c r="B559" s="80"/>
      <c r="C559" s="80"/>
      <c r="D559" s="81"/>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71">
        <f t="shared" si="356"/>
        <v>0</v>
      </c>
      <c r="AW559" s="971">
        <f t="shared" si="357"/>
        <v>0</v>
      </c>
      <c r="AX559" s="971">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79"/>
      <c r="B560" s="80"/>
      <c r="C560" s="80"/>
      <c r="D560" s="81"/>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71">
        <f t="shared" si="356"/>
        <v>0</v>
      </c>
      <c r="AW560" s="971">
        <f t="shared" si="357"/>
        <v>0</v>
      </c>
      <c r="AX560" s="971">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79"/>
      <c r="B561" s="80"/>
      <c r="C561" s="80"/>
      <c r="D561" s="81"/>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71">
        <f t="shared" si="356"/>
        <v>0</v>
      </c>
      <c r="AW561" s="971">
        <f t="shared" si="357"/>
        <v>0</v>
      </c>
      <c r="AX561" s="971">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79"/>
      <c r="B562" s="80"/>
      <c r="C562" s="80"/>
      <c r="D562" s="81"/>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71">
        <f t="shared" si="356"/>
        <v>0</v>
      </c>
      <c r="AW562" s="971">
        <f t="shared" si="357"/>
        <v>0</v>
      </c>
      <c r="AX562" s="971">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79"/>
      <c r="B563" s="80"/>
      <c r="C563" s="80"/>
      <c r="D563" s="81"/>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71">
        <f t="shared" si="356"/>
        <v>0</v>
      </c>
      <c r="AW563" s="971">
        <f t="shared" si="357"/>
        <v>0</v>
      </c>
      <c r="AX563" s="971">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79"/>
      <c r="B564" s="80"/>
      <c r="C564" s="80"/>
      <c r="D564" s="81"/>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71">
        <f t="shared" si="356"/>
        <v>0</v>
      </c>
      <c r="AW564" s="971">
        <f t="shared" si="357"/>
        <v>0</v>
      </c>
      <c r="AX564" s="971">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79"/>
      <c r="B565" s="80"/>
      <c r="C565" s="80"/>
      <c r="D565" s="81"/>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71">
        <f t="shared" si="356"/>
        <v>0</v>
      </c>
      <c r="AW565" s="971">
        <f t="shared" si="357"/>
        <v>0</v>
      </c>
      <c r="AX565" s="971">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79"/>
      <c r="B566" s="80"/>
      <c r="C566" s="80"/>
      <c r="D566" s="81"/>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71">
        <f t="shared" si="356"/>
        <v>0</v>
      </c>
      <c r="AW566" s="971">
        <f t="shared" si="357"/>
        <v>0</v>
      </c>
      <c r="AX566" s="971">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79"/>
      <c r="B567" s="80"/>
      <c r="C567" s="80"/>
      <c r="D567" s="81"/>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71">
        <f t="shared" si="356"/>
        <v>0</v>
      </c>
      <c r="AW567" s="971">
        <f t="shared" si="357"/>
        <v>0</v>
      </c>
      <c r="AX567" s="971">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79"/>
      <c r="B568" s="80"/>
      <c r="C568" s="80"/>
      <c r="D568" s="81"/>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71">
        <f t="shared" si="356"/>
        <v>0</v>
      </c>
      <c r="AW568" s="971">
        <f t="shared" si="357"/>
        <v>0</v>
      </c>
      <c r="AX568" s="971">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79"/>
      <c r="B569" s="80"/>
      <c r="C569" s="80"/>
      <c r="D569" s="81"/>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71">
        <f t="shared" si="356"/>
        <v>0</v>
      </c>
      <c r="AW569" s="971">
        <f t="shared" si="357"/>
        <v>0</v>
      </c>
      <c r="AX569" s="971">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79"/>
      <c r="B570" s="79"/>
      <c r="C570" s="79"/>
      <c r="D570" s="81"/>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71">
        <f t="shared" si="356"/>
        <v>0</v>
      </c>
      <c r="AW570" s="971">
        <f t="shared" si="357"/>
        <v>0</v>
      </c>
      <c r="AX570" s="971">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79"/>
      <c r="B571" s="79"/>
      <c r="C571" s="79"/>
      <c r="D571" s="81"/>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71">
        <f t="shared" si="356"/>
        <v>0</v>
      </c>
      <c r="AW571" s="971">
        <f t="shared" si="357"/>
        <v>0</v>
      </c>
      <c r="AX571" s="971">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79"/>
      <c r="B572" s="79"/>
      <c r="C572" s="79"/>
      <c r="D572" s="81"/>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71">
        <f t="shared" si="356"/>
        <v>0</v>
      </c>
      <c r="AW572" s="971">
        <f t="shared" si="357"/>
        <v>0</v>
      </c>
      <c r="AX572" s="971">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6"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8" t="s">
        <v>0</v>
      </c>
      <c r="B1" s="3298" t="s">
        <v>4</v>
      </c>
      <c r="C1" s="3298" t="s">
        <v>5</v>
      </c>
      <c r="D1" s="3299" t="s">
        <v>52</v>
      </c>
      <c r="E1" s="3299" t="s">
        <v>53</v>
      </c>
      <c r="F1" s="3299"/>
      <c r="G1" s="3299"/>
      <c r="H1" s="3299"/>
      <c r="I1" s="3299"/>
      <c r="J1" s="3299"/>
      <c r="K1" s="3299"/>
      <c r="L1" s="3299"/>
      <c r="M1" s="3299"/>
    </row>
    <row r="2" spans="1:13" ht="27" customHeight="1">
      <c r="A2" s="3298"/>
      <c r="B2" s="3298"/>
      <c r="C2" s="3298"/>
      <c r="D2" s="3299"/>
      <c r="E2" s="3299" t="s">
        <v>36</v>
      </c>
      <c r="F2" s="3299" t="s">
        <v>37</v>
      </c>
      <c r="G2" s="3299"/>
      <c r="H2" s="3299"/>
      <c r="I2" s="3299"/>
      <c r="J2" s="3299" t="s">
        <v>38</v>
      </c>
      <c r="K2" s="3299"/>
      <c r="L2" s="3299"/>
      <c r="M2" s="3299"/>
    </row>
    <row r="3" spans="1:13" ht="28.5">
      <c r="A3" s="3298"/>
      <c r="B3" s="3298"/>
      <c r="C3" s="3298"/>
      <c r="D3" s="3299"/>
      <c r="E3" s="3299"/>
      <c r="F3" s="3" t="s">
        <v>39</v>
      </c>
      <c r="G3" s="3" t="s">
        <v>34</v>
      </c>
      <c r="H3" s="3" t="s">
        <v>35</v>
      </c>
      <c r="I3" s="3" t="s">
        <v>48</v>
      </c>
      <c r="J3" s="3" t="s">
        <v>39</v>
      </c>
      <c r="K3" s="3" t="s">
        <v>50</v>
      </c>
      <c r="L3" s="3" t="s">
        <v>49</v>
      </c>
      <c r="M3" s="3" t="s">
        <v>51</v>
      </c>
    </row>
    <row r="4" spans="1:13" ht="42.75">
      <c r="A4" s="3" t="s">
        <v>40</v>
      </c>
      <c r="B4" s="3" t="s">
        <v>41</v>
      </c>
      <c r="C4" s="3" t="s">
        <v>42</v>
      </c>
      <c r="D4" s="4">
        <v>3807.94</v>
      </c>
      <c r="E4" s="4">
        <v>20666.91</v>
      </c>
      <c r="F4" s="4">
        <v>19673</v>
      </c>
      <c r="G4" s="4">
        <v>0</v>
      </c>
      <c r="H4" s="4">
        <v>19673</v>
      </c>
      <c r="I4" s="4">
        <v>0</v>
      </c>
      <c r="J4" s="4">
        <v>993.90999999999985</v>
      </c>
      <c r="K4" s="4">
        <v>0</v>
      </c>
      <c r="L4" s="4">
        <v>0</v>
      </c>
      <c r="M4" s="4">
        <v>993.90999999999985</v>
      </c>
    </row>
    <row r="5" spans="1:13" ht="42.75">
      <c r="A5" s="3" t="s">
        <v>40</v>
      </c>
      <c r="B5" s="3" t="s">
        <v>43</v>
      </c>
      <c r="C5" s="3" t="s">
        <v>44</v>
      </c>
      <c r="D5" s="4">
        <v>3667.86</v>
      </c>
      <c r="E5" s="4">
        <v>19906.61</v>
      </c>
      <c r="F5" s="4">
        <v>18792.87</v>
      </c>
      <c r="G5" s="4">
        <v>18792.87</v>
      </c>
      <c r="H5" s="4">
        <v>0</v>
      </c>
      <c r="I5" s="4">
        <v>0</v>
      </c>
      <c r="J5" s="4">
        <v>1113.74</v>
      </c>
      <c r="K5" s="4">
        <v>55.59</v>
      </c>
      <c r="L5" s="4">
        <v>0</v>
      </c>
      <c r="M5" s="4">
        <v>1058.1500000000001</v>
      </c>
    </row>
    <row r="6" spans="1:13" ht="42.75">
      <c r="A6" s="3" t="s">
        <v>40</v>
      </c>
      <c r="B6" s="3" t="s">
        <v>43</v>
      </c>
      <c r="C6" s="3" t="s">
        <v>45</v>
      </c>
      <c r="D6" s="4">
        <v>2067.52</v>
      </c>
      <c r="E6" s="4">
        <v>11221.06</v>
      </c>
      <c r="F6" s="4">
        <v>9934.1299999999992</v>
      </c>
      <c r="G6" s="4">
        <v>9934.1299999999992</v>
      </c>
      <c r="H6" s="4">
        <v>0</v>
      </c>
      <c r="I6" s="4">
        <v>0</v>
      </c>
      <c r="J6" s="4">
        <v>1286.93</v>
      </c>
      <c r="K6" s="4">
        <v>0</v>
      </c>
      <c r="L6" s="4">
        <v>0</v>
      </c>
      <c r="M6" s="4">
        <v>1286.93</v>
      </c>
    </row>
    <row r="7" spans="1:13" ht="42.75">
      <c r="A7" s="3" t="s">
        <v>40</v>
      </c>
      <c r="B7" s="3" t="s">
        <v>43</v>
      </c>
      <c r="C7" s="3" t="s">
        <v>46</v>
      </c>
      <c r="D7" s="4">
        <v>8.18</v>
      </c>
      <c r="E7" s="4">
        <v>44.41</v>
      </c>
      <c r="F7" s="4">
        <v>0</v>
      </c>
      <c r="G7" s="4">
        <v>0</v>
      </c>
      <c r="H7" s="4">
        <v>0</v>
      </c>
      <c r="I7" s="4">
        <v>0</v>
      </c>
      <c r="J7" s="4">
        <v>44.41</v>
      </c>
      <c r="K7" s="4">
        <v>44.41</v>
      </c>
      <c r="L7" s="4">
        <v>0</v>
      </c>
      <c r="M7" s="4">
        <v>0</v>
      </c>
    </row>
    <row r="8" spans="1:13" ht="42.75">
      <c r="A8" s="3" t="s">
        <v>40</v>
      </c>
      <c r="B8" s="3" t="s">
        <v>43</v>
      </c>
      <c r="C8" s="3" t="s">
        <v>47</v>
      </c>
      <c r="D8" s="4">
        <v>2455.5300000000002</v>
      </c>
      <c r="E8" s="4">
        <v>13326.96</v>
      </c>
      <c r="F8" s="4">
        <v>9231.0499999999993</v>
      </c>
      <c r="G8" s="4">
        <v>0</v>
      </c>
      <c r="H8" s="4">
        <v>0</v>
      </c>
      <c r="I8" s="4">
        <v>9231.0499999999993</v>
      </c>
      <c r="J8" s="4">
        <v>4095.91</v>
      </c>
      <c r="K8" s="4">
        <v>0</v>
      </c>
      <c r="L8" s="4">
        <v>3320.79</v>
      </c>
      <c r="M8" s="4">
        <v>775.12</v>
      </c>
    </row>
    <row r="9" spans="1:13" ht="27" customHeight="1">
      <c r="A9" s="3299" t="s">
        <v>54</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zoomScale="90" zoomScaleNormal="90" zoomScaleSheetLayoutView="90" workbookViewId="0">
      <selection activeCell="G24" sqref="G24"/>
    </sheetView>
  </sheetViews>
  <sheetFormatPr defaultColWidth="9.25" defaultRowHeight="14.25"/>
  <cols>
    <col min="1" max="1" width="8.25" style="1960" customWidth="1"/>
    <col min="2" max="2" width="10.25" style="1960" customWidth="1"/>
    <col min="3" max="3" width="18.5" style="1960" customWidth="1"/>
    <col min="4" max="4" width="11.125" style="1960" customWidth="1"/>
    <col min="5" max="5" width="13.375" style="1960" customWidth="1"/>
    <col min="6" max="8" width="11.5" style="1960" customWidth="1"/>
    <col min="9" max="9" width="10.375" style="1960" customWidth="1"/>
    <col min="10" max="10" width="3.125" style="1960" customWidth="1"/>
    <col min="11" max="11" width="11.625" style="1960" customWidth="1"/>
    <col min="12" max="12" width="16.875" style="1960" customWidth="1"/>
    <col min="13" max="16" width="11.625" style="1960" customWidth="1"/>
    <col min="17" max="17" width="3.375" style="1960" customWidth="1"/>
    <col min="18" max="16384" width="9.25" style="1960"/>
  </cols>
  <sheetData>
    <row r="1" spans="1:16" ht="18.75">
      <c r="A1" s="99" t="s">
        <v>179</v>
      </c>
      <c r="B1" s="1959"/>
      <c r="C1" s="1959"/>
      <c r="D1" s="1959"/>
      <c r="E1" s="1959"/>
      <c r="F1" s="1959"/>
      <c r="G1" s="1959"/>
      <c r="H1" s="1959"/>
      <c r="I1" s="1959"/>
      <c r="J1" s="1959"/>
      <c r="K1" s="1959"/>
      <c r="L1" s="1959"/>
    </row>
    <row r="2" spans="1:16" ht="15">
      <c r="A2" s="3309" t="s">
        <v>180</v>
      </c>
      <c r="B2" s="3309"/>
      <c r="C2" s="3309"/>
      <c r="D2" s="1950" t="s">
        <v>181</v>
      </c>
      <c r="E2" s="101" t="s">
        <v>182</v>
      </c>
      <c r="F2" s="1959"/>
      <c r="G2" s="1177"/>
      <c r="H2" s="1178"/>
      <c r="I2" s="1179" t="s">
        <v>1045</v>
      </c>
      <c r="J2" s="1959"/>
      <c r="K2" s="1959"/>
      <c r="L2" s="1959"/>
    </row>
    <row r="3" spans="1:16" ht="15.75" thickBot="1">
      <c r="A3" s="3310" t="s">
        <v>183</v>
      </c>
      <c r="B3" s="3310"/>
      <c r="C3" s="3310"/>
      <c r="D3" s="102">
        <f>'数据-基础表'!AY6</f>
        <v>114029.21</v>
      </c>
      <c r="E3" s="102">
        <f>'数据-基础表'!AZ5</f>
        <v>507462.25</v>
      </c>
      <c r="F3" s="1959"/>
      <c r="G3" s="257" t="s">
        <v>1046</v>
      </c>
      <c r="H3" s="252" t="s">
        <v>1047</v>
      </c>
      <c r="I3" s="1951">
        <f>ROUND('数据-基础表'!B3/'数据-基础表'!A3,2)</f>
        <v>4.0999999999999996</v>
      </c>
      <c r="J3" s="1959"/>
      <c r="K3" s="1959"/>
      <c r="L3" s="1959"/>
    </row>
    <row r="4" spans="1:16" ht="15">
      <c r="A4" s="3311"/>
      <c r="B4" s="3312"/>
      <c r="C4" s="3313"/>
      <c r="D4" s="103" t="s">
        <v>181</v>
      </c>
      <c r="E4" s="104" t="s">
        <v>182</v>
      </c>
      <c r="F4" s="1959"/>
      <c r="G4" s="1180"/>
      <c r="H4" s="252" t="s">
        <v>1048</v>
      </c>
      <c r="I4" s="1951">
        <f>ROUND(SUMIF('数据-基础表'!I9:AS9,"地上",'数据-基础表'!I5:AS5)/'数据-基础表'!A3,2)</f>
        <v>2.65</v>
      </c>
      <c r="J4" s="1959"/>
      <c r="K4" s="1959"/>
      <c r="L4" s="1959"/>
    </row>
    <row r="5" spans="1:16">
      <c r="A5" s="105" t="s">
        <v>184</v>
      </c>
      <c r="B5" s="3314" t="s">
        <v>207</v>
      </c>
      <c r="C5" s="3314"/>
      <c r="D5" s="106">
        <f>ROUND($D$3*E5/$E$3,2)</f>
        <v>53035.360000000001</v>
      </c>
      <c r="E5" s="107">
        <f>SUMIF('数据-基础表'!$11:$11,"住宅",'数据-基础表'!$5:$5)</f>
        <v>236022.38</v>
      </c>
      <c r="F5" s="1959"/>
      <c r="G5" s="257" t="s">
        <v>1049</v>
      </c>
      <c r="H5" s="252" t="s">
        <v>1047</v>
      </c>
      <c r="I5" s="1951">
        <f>ROUND(E34/D34,2)</f>
        <v>4.45</v>
      </c>
      <c r="J5" s="1959"/>
      <c r="K5" s="1959"/>
      <c r="L5" s="1959"/>
    </row>
    <row r="6" spans="1:16" ht="15" thickBot="1">
      <c r="A6" s="108"/>
      <c r="B6" s="3314" t="s">
        <v>185</v>
      </c>
      <c r="C6" s="3314"/>
      <c r="D6" s="106">
        <f>ROUND($D$3*E6/$E$3,2)</f>
        <v>60993.85</v>
      </c>
      <c r="E6" s="107">
        <f>E3-E5</f>
        <v>271439.87</v>
      </c>
      <c r="F6" s="1959"/>
      <c r="G6" s="1180"/>
      <c r="H6" s="252" t="s">
        <v>1048</v>
      </c>
      <c r="I6" s="1951">
        <f>ROUND(F34/D34,2)</f>
        <v>2.88</v>
      </c>
      <c r="J6" s="1959"/>
      <c r="K6" s="1959"/>
      <c r="L6" s="1959"/>
    </row>
    <row r="7" spans="1:16" ht="15">
      <c r="A7" s="3306"/>
      <c r="B7" s="3307"/>
      <c r="C7" s="3308"/>
      <c r="D7" s="103" t="s">
        <v>181</v>
      </c>
      <c r="E7" s="109" t="s">
        <v>208</v>
      </c>
      <c r="F7" s="1959"/>
      <c r="G7" s="1135" t="s">
        <v>1848</v>
      </c>
      <c r="H7" s="1136"/>
      <c r="I7" s="1818">
        <f>ROUND(55.05/12.37,2)</f>
        <v>4.45</v>
      </c>
      <c r="J7" s="1959"/>
      <c r="K7" s="1959"/>
      <c r="L7" s="1959"/>
    </row>
    <row r="8" spans="1:16">
      <c r="A8" s="105" t="s">
        <v>186</v>
      </c>
      <c r="B8" s="110" t="s">
        <v>187</v>
      </c>
      <c r="C8" s="106" t="s">
        <v>188</v>
      </c>
      <c r="D8" s="106">
        <f t="shared" ref="D8:D15" si="0">ROUND($D$3*E8/$E$3,2)</f>
        <v>73722.5</v>
      </c>
      <c r="E8" s="111">
        <f>SUMIF('数据-基础表'!BB10:BK10,"地上",'数据-基础表'!BB5:BK5)</f>
        <v>328085.98000000004</v>
      </c>
      <c r="F8" s="1959"/>
      <c r="G8" s="1961"/>
      <c r="H8" s="1961"/>
      <c r="I8" s="1959"/>
      <c r="J8" s="1959"/>
      <c r="K8" s="1959"/>
      <c r="L8" s="1959"/>
    </row>
    <row r="9" spans="1:16">
      <c r="A9" s="112"/>
      <c r="B9" s="113"/>
      <c r="C9" s="106" t="s">
        <v>189</v>
      </c>
      <c r="D9" s="106">
        <f t="shared" si="0"/>
        <v>0</v>
      </c>
      <c r="E9" s="114">
        <v>0</v>
      </c>
      <c r="F9" s="1959"/>
      <c r="G9" s="1961"/>
      <c r="H9" s="1961"/>
      <c r="I9" s="1959"/>
      <c r="J9" s="1959"/>
      <c r="K9" s="1959"/>
      <c r="L9" s="1959"/>
    </row>
    <row r="10" spans="1:16">
      <c r="A10" s="112"/>
      <c r="B10" s="113"/>
      <c r="C10" s="106" t="s">
        <v>190</v>
      </c>
      <c r="D10" s="106">
        <f t="shared" si="0"/>
        <v>18664.46</v>
      </c>
      <c r="E10" s="111">
        <f>SUMPRODUCT(('数据-基础表'!BB10:BK10="地下")*('数据-基础表'!BB11:BK11="商业")*('数据-基础表'!BB5:BK5))</f>
        <v>83062.14</v>
      </c>
      <c r="F10" s="1959"/>
      <c r="G10" s="1961"/>
      <c r="H10" s="1961"/>
      <c r="I10" s="1959"/>
      <c r="J10" s="1959"/>
      <c r="K10" s="1959"/>
      <c r="L10" s="1959"/>
    </row>
    <row r="11" spans="1:16">
      <c r="A11" s="112"/>
      <c r="B11" s="113"/>
      <c r="C11" s="2311" t="s">
        <v>2561</v>
      </c>
      <c r="D11" s="106">
        <f t="shared" si="0"/>
        <v>0</v>
      </c>
      <c r="E11" s="111">
        <f>SUMPRODUCT(('数据-基础表'!BB10:BK10="地下")*('数据-基础表'!BB11:BK11="办公")*('数据-基础表'!BB5:BK5))+'数据-基础表'!AJ5</f>
        <v>0</v>
      </c>
      <c r="F11" s="1959"/>
      <c r="G11" s="1961"/>
      <c r="H11" s="1961"/>
      <c r="I11" s="1959"/>
      <c r="J11" s="1959"/>
      <c r="K11" s="1959"/>
      <c r="L11" s="1959"/>
    </row>
    <row r="12" spans="1:16">
      <c r="A12" s="112"/>
      <c r="B12" s="113"/>
      <c r="C12" s="106" t="s">
        <v>191</v>
      </c>
      <c r="D12" s="106">
        <f t="shared" si="0"/>
        <v>0</v>
      </c>
      <c r="E12" s="111">
        <f>SUMPRODUCT(('数据-基础表'!BB10:BK10="地下")*('数据-基础表'!BB11:BK11="仓储")*('数据-基础表'!BB5:BK5))</f>
        <v>0</v>
      </c>
      <c r="F12" s="1959"/>
      <c r="G12" s="1961"/>
      <c r="H12" s="1961"/>
      <c r="I12" s="1959"/>
      <c r="J12" s="1959"/>
      <c r="K12" s="1959"/>
      <c r="L12" s="1959"/>
    </row>
    <row r="13" spans="1:16">
      <c r="A13" s="112"/>
      <c r="B13" s="113"/>
      <c r="C13" s="2311" t="s">
        <v>2568</v>
      </c>
      <c r="D13" s="106">
        <f t="shared" si="0"/>
        <v>21567.68</v>
      </c>
      <c r="E13" s="111">
        <f>SUMPRODUCT(('数据-基础表'!BB10:BK10="地下")*('数据-基础表'!BB11:BK11="车库")*('数据-基础表'!BB5:BK5))</f>
        <v>95982.26999999999</v>
      </c>
      <c r="F13" s="1959"/>
      <c r="G13" s="1961"/>
      <c r="H13" s="1961"/>
      <c r="I13" s="1959"/>
      <c r="J13" s="1959"/>
      <c r="K13" s="1959"/>
      <c r="L13" s="1959"/>
    </row>
    <row r="14" spans="1:16">
      <c r="A14" s="112"/>
      <c r="B14" s="113"/>
      <c r="C14" s="106" t="s">
        <v>209</v>
      </c>
      <c r="D14" s="106">
        <f t="shared" si="0"/>
        <v>0</v>
      </c>
      <c r="E14" s="111">
        <f>SUMPRODUCT(('数据-基础表'!BB10:BK10="地下")*('数据-基础表'!BB11:BK11="车库—商业")*('数据-基础表'!BB5:BK5))</f>
        <v>0</v>
      </c>
      <c r="F14" s="1959"/>
      <c r="G14" s="1961"/>
      <c r="H14" s="1961"/>
      <c r="I14" s="1959"/>
      <c r="J14" s="1959"/>
      <c r="K14" s="1959"/>
      <c r="L14" s="1959"/>
    </row>
    <row r="15" spans="1:16" ht="15" thickBot="1">
      <c r="A15" s="112"/>
      <c r="B15" s="113"/>
      <c r="C15" s="106" t="s">
        <v>210</v>
      </c>
      <c r="D15" s="106">
        <f t="shared" si="0"/>
        <v>0</v>
      </c>
      <c r="E15" s="111">
        <f>SUMPRODUCT(('数据-基础表'!BB10:BK10="地下")*('数据-基础表'!BB11:BK11="车库—办公")*('数据-基础表'!BB5:BK5))</f>
        <v>0</v>
      </c>
      <c r="F15" s="1959"/>
      <c r="G15" s="1961"/>
      <c r="H15" s="1961"/>
      <c r="I15" s="1959"/>
      <c r="J15" s="1959"/>
      <c r="K15" s="1959"/>
      <c r="L15" s="1959"/>
    </row>
    <row r="16" spans="1:16" ht="15.75" thickBot="1">
      <c r="A16" s="108"/>
      <c r="B16" s="113"/>
      <c r="C16" s="110" t="s">
        <v>192</v>
      </c>
      <c r="D16" s="110">
        <f>SUM(D8:D15)</f>
        <v>113954.63999999998</v>
      </c>
      <c r="E16" s="115">
        <f>SUM(E8:E15)</f>
        <v>507130.39</v>
      </c>
      <c r="F16" s="1959"/>
      <c r="G16" s="1961"/>
      <c r="H16" s="947" t="s">
        <v>196</v>
      </c>
      <c r="I16" s="948"/>
      <c r="J16" s="1959"/>
      <c r="K16" s="3300" t="s">
        <v>2835</v>
      </c>
      <c r="L16" s="3301"/>
      <c r="M16" s="3301"/>
      <c r="N16" s="3301"/>
      <c r="O16" s="3301"/>
      <c r="P16" s="3302"/>
    </row>
    <row r="17" spans="1:19" ht="15">
      <c r="A17" s="116" t="s">
        <v>193</v>
      </c>
      <c r="B17" s="117" t="s">
        <v>194</v>
      </c>
      <c r="C17" s="2278" t="s">
        <v>2547</v>
      </c>
      <c r="D17" s="103" t="s">
        <v>181</v>
      </c>
      <c r="E17" s="119" t="s">
        <v>182</v>
      </c>
      <c r="F17" s="120"/>
      <c r="G17" s="1351"/>
      <c r="H17" s="949" t="s">
        <v>195</v>
      </c>
      <c r="I17" s="950" t="s">
        <v>2545</v>
      </c>
      <c r="J17" s="1959"/>
      <c r="K17" s="3303" t="s">
        <v>2836</v>
      </c>
      <c r="L17" s="3304"/>
      <c r="M17" s="3305"/>
      <c r="N17" s="3303" t="s">
        <v>2837</v>
      </c>
      <c r="O17" s="3304"/>
      <c r="P17" s="3305"/>
      <c r="R17" s="2279" t="s">
        <v>2544</v>
      </c>
      <c r="S17" s="135"/>
    </row>
    <row r="18" spans="1:19" ht="15">
      <c r="A18" s="112"/>
      <c r="B18" s="123"/>
      <c r="C18" s="124"/>
      <c r="D18" s="2655"/>
      <c r="E18" s="125" t="s">
        <v>197</v>
      </c>
      <c r="F18" s="126" t="s">
        <v>198</v>
      </c>
      <c r="G18" s="1352" t="s">
        <v>199</v>
      </c>
      <c r="H18" s="951" t="s">
        <v>200</v>
      </c>
      <c r="I18" s="952" t="s">
        <v>201</v>
      </c>
      <c r="J18" s="1959"/>
      <c r="K18" s="2617" t="s">
        <v>2838</v>
      </c>
      <c r="L18" s="2618" t="s">
        <v>2839</v>
      </c>
      <c r="M18" s="2619" t="s">
        <v>2840</v>
      </c>
      <c r="N18" s="2617" t="s">
        <v>2838</v>
      </c>
      <c r="O18" s="2618" t="s">
        <v>2839</v>
      </c>
      <c r="P18" s="2619" t="s">
        <v>2840</v>
      </c>
      <c r="R18" s="2280" t="s">
        <v>2542</v>
      </c>
      <c r="S18" s="2280" t="s">
        <v>2543</v>
      </c>
    </row>
    <row r="19" spans="1:19">
      <c r="A19" s="128"/>
      <c r="B19" s="110" t="s">
        <v>202</v>
      </c>
      <c r="C19" s="3107" t="s">
        <v>2488</v>
      </c>
      <c r="D19" s="106">
        <f t="shared" ref="D19:D29" si="1">ROUND($D$3*E19/$E$3,2)</f>
        <v>21419.33</v>
      </c>
      <c r="E19" s="129">
        <f t="shared" ref="E19:E29" si="2">SUM(F19:G19)</f>
        <v>95322.06</v>
      </c>
      <c r="F19" s="3110">
        <f>'数据-基础表'!I5</f>
        <v>95322.06</v>
      </c>
      <c r="G19" s="3111"/>
      <c r="H19" s="953">
        <f>ROUND($D$3*I19/$E$3,2)</f>
        <v>14.02</v>
      </c>
      <c r="I19" s="111">
        <f>IF($I$17="自定义",P19,M19)</f>
        <v>62.38</v>
      </c>
      <c r="J19" s="1959"/>
      <c r="K19" s="2620">
        <f>ROUND(E$31*E19/E$30,2)</f>
        <v>62.38</v>
      </c>
      <c r="L19" s="252">
        <f>ROUND(IF(COUNTIF(C19,"*住宅*")&gt;0,E$32*E19/E$35,0),2)</f>
        <v>0</v>
      </c>
      <c r="M19" s="2621">
        <f>K19+L19</f>
        <v>62.38</v>
      </c>
      <c r="N19" s="2622"/>
      <c r="O19" s="2623"/>
      <c r="P19" s="2624">
        <f>N19+O19</f>
        <v>0</v>
      </c>
      <c r="R19" s="252">
        <f t="shared" ref="R19:S29" si="3">D19+H19</f>
        <v>21433.350000000002</v>
      </c>
      <c r="S19" s="2281">
        <f t="shared" si="3"/>
        <v>95384.44</v>
      </c>
    </row>
    <row r="20" spans="1:19">
      <c r="A20" s="132"/>
      <c r="B20" s="110" t="s">
        <v>203</v>
      </c>
      <c r="C20" s="3108" t="s">
        <v>3292</v>
      </c>
      <c r="D20" s="106">
        <f t="shared" si="1"/>
        <v>10533.78</v>
      </c>
      <c r="E20" s="129">
        <f t="shared" si="2"/>
        <v>46878.32</v>
      </c>
      <c r="F20" s="3110">
        <f>'数据-基础表'!K5</f>
        <v>46878.32</v>
      </c>
      <c r="G20" s="3111"/>
      <c r="H20" s="953">
        <f t="shared" ref="H20:H29" si="4">ROUND($D$3*I20/$E$3,2)</f>
        <v>6.89</v>
      </c>
      <c r="I20" s="111">
        <f t="shared" ref="I20:I29" si="5">IF($I$17="自定义",P20,M20)</f>
        <v>30.68</v>
      </c>
      <c r="J20" s="1959"/>
      <c r="K20" s="2620">
        <f>ROUND(E$31*E20/E$30,2)</f>
        <v>30.68</v>
      </c>
      <c r="L20" s="252">
        <f>ROUND(IF(COUNTIF(C20,"*住宅*")&gt;0,E$32*E20/E$35,0),2)</f>
        <v>0</v>
      </c>
      <c r="M20" s="2621">
        <f t="shared" ref="M20:M29" si="6">K20+L20</f>
        <v>30.68</v>
      </c>
      <c r="N20" s="2622"/>
      <c r="O20" s="2623"/>
      <c r="P20" s="2624">
        <f t="shared" ref="P20:P29" si="7">N20+O20</f>
        <v>0</v>
      </c>
      <c r="R20" s="252">
        <f t="shared" si="3"/>
        <v>10540.67</v>
      </c>
      <c r="S20" s="2281">
        <f t="shared" si="3"/>
        <v>46909</v>
      </c>
    </row>
    <row r="21" spans="1:19">
      <c r="A21" s="132"/>
      <c r="B21" s="110" t="s">
        <v>203</v>
      </c>
      <c r="C21" s="3108" t="s">
        <v>3294</v>
      </c>
      <c r="D21" s="106">
        <f t="shared" si="1"/>
        <v>4635.42</v>
      </c>
      <c r="E21" s="129">
        <f t="shared" si="2"/>
        <v>20628.919999999998</v>
      </c>
      <c r="F21" s="3110">
        <f>ROUND('数据-基础表'!M5/2,2)</f>
        <v>20628.919999999998</v>
      </c>
      <c r="G21" s="3111"/>
      <c r="H21" s="953">
        <f t="shared" si="4"/>
        <v>3.03</v>
      </c>
      <c r="I21" s="111">
        <f t="shared" si="5"/>
        <v>13.5</v>
      </c>
      <c r="J21" s="1959"/>
      <c r="K21" s="2620">
        <f>ROUND(E$31*E21/E$30,2)</f>
        <v>13.5</v>
      </c>
      <c r="L21" s="252">
        <f>ROUND(IF(COUNTIF(C21,"*住宅*")&gt;0,E$32*E21/E$35,0),2)</f>
        <v>0</v>
      </c>
      <c r="M21" s="2621">
        <f t="shared" si="6"/>
        <v>13.5</v>
      </c>
      <c r="N21" s="2622"/>
      <c r="O21" s="2623"/>
      <c r="P21" s="2624">
        <f t="shared" si="7"/>
        <v>0</v>
      </c>
      <c r="R21" s="252">
        <f t="shared" si="3"/>
        <v>4638.45</v>
      </c>
      <c r="S21" s="2281">
        <f t="shared" si="3"/>
        <v>20642.419999999998</v>
      </c>
    </row>
    <row r="22" spans="1:19">
      <c r="A22" s="132"/>
      <c r="B22" s="110" t="s">
        <v>203</v>
      </c>
      <c r="C22" s="3109" t="s">
        <v>3296</v>
      </c>
      <c r="D22" s="106">
        <f t="shared" si="1"/>
        <v>4635.42</v>
      </c>
      <c r="E22" s="129">
        <f t="shared" si="2"/>
        <v>20628.910000000003</v>
      </c>
      <c r="F22" s="3112">
        <f>'数据-基础表'!M5-F21</f>
        <v>20628.910000000003</v>
      </c>
      <c r="G22" s="3113"/>
      <c r="H22" s="953">
        <f t="shared" si="4"/>
        <v>3.03</v>
      </c>
      <c r="I22" s="111">
        <f t="shared" si="5"/>
        <v>13.5</v>
      </c>
      <c r="J22" s="1959"/>
      <c r="K22" s="2620">
        <f t="shared" ref="K22:K24" si="8">ROUND(E$31*E22/E$30,2)</f>
        <v>13.5</v>
      </c>
      <c r="L22" s="252">
        <f t="shared" ref="L22" si="9">ROUND(IF(COUNTIF(C22,"*住宅*")&gt;0,E$32*E22/E$35,0),2)</f>
        <v>0</v>
      </c>
      <c r="M22" s="2621">
        <f t="shared" si="6"/>
        <v>13.5</v>
      </c>
      <c r="N22" s="2622"/>
      <c r="O22" s="2623"/>
      <c r="P22" s="2624">
        <f t="shared" si="7"/>
        <v>0</v>
      </c>
      <c r="R22" s="252">
        <f t="shared" si="3"/>
        <v>4638.45</v>
      </c>
      <c r="S22" s="2281">
        <f t="shared" si="3"/>
        <v>20642.410000000003</v>
      </c>
    </row>
    <row r="23" spans="1:19">
      <c r="A23" s="132"/>
      <c r="B23" s="110" t="s">
        <v>203</v>
      </c>
      <c r="C23" s="3109" t="s">
        <v>3413</v>
      </c>
      <c r="D23" s="106">
        <f t="shared" si="1"/>
        <v>6221.49</v>
      </c>
      <c r="E23" s="129">
        <f t="shared" si="2"/>
        <v>27687.38</v>
      </c>
      <c r="F23" s="3112"/>
      <c r="G23" s="3113">
        <f>ROUND('数据-基础表'!S5/3,2)</f>
        <v>27687.38</v>
      </c>
      <c r="H23" s="953">
        <f t="shared" si="4"/>
        <v>4.07</v>
      </c>
      <c r="I23" s="111">
        <f t="shared" si="5"/>
        <v>18.12</v>
      </c>
      <c r="J23" s="1959"/>
      <c r="K23" s="2620">
        <f t="shared" si="8"/>
        <v>18.12</v>
      </c>
      <c r="L23" s="252"/>
      <c r="M23" s="2621">
        <f t="shared" si="6"/>
        <v>18.12</v>
      </c>
      <c r="N23" s="2622"/>
      <c r="O23" s="2623"/>
      <c r="P23" s="2624">
        <f t="shared" si="7"/>
        <v>0</v>
      </c>
      <c r="R23" s="252">
        <f t="shared" si="3"/>
        <v>6225.5599999999995</v>
      </c>
      <c r="S23" s="2281">
        <f t="shared" si="3"/>
        <v>27705.5</v>
      </c>
    </row>
    <row r="24" spans="1:19">
      <c r="A24" s="132"/>
      <c r="B24" s="110" t="s">
        <v>203</v>
      </c>
      <c r="C24" s="3109" t="s">
        <v>3414</v>
      </c>
      <c r="D24" s="106">
        <f t="shared" si="1"/>
        <v>6221.49</v>
      </c>
      <c r="E24" s="129">
        <f t="shared" si="2"/>
        <v>27687.38</v>
      </c>
      <c r="F24" s="3112"/>
      <c r="G24" s="3113">
        <f>G23</f>
        <v>27687.38</v>
      </c>
      <c r="H24" s="953">
        <f t="shared" si="4"/>
        <v>4.07</v>
      </c>
      <c r="I24" s="111">
        <f t="shared" si="5"/>
        <v>18.12</v>
      </c>
      <c r="J24" s="1959"/>
      <c r="K24" s="2620">
        <f t="shared" si="8"/>
        <v>18.12</v>
      </c>
      <c r="L24" s="252"/>
      <c r="M24" s="2621">
        <f t="shared" si="6"/>
        <v>18.12</v>
      </c>
      <c r="N24" s="2622"/>
      <c r="O24" s="2623"/>
      <c r="P24" s="2624">
        <f t="shared" si="7"/>
        <v>0</v>
      </c>
      <c r="R24" s="252">
        <f t="shared" si="3"/>
        <v>6225.5599999999995</v>
      </c>
      <c r="S24" s="2281">
        <f t="shared" si="3"/>
        <v>27705.5</v>
      </c>
    </row>
    <row r="25" spans="1:19">
      <c r="A25" s="132"/>
      <c r="B25" s="110" t="s">
        <v>203</v>
      </c>
      <c r="C25" s="3109" t="s">
        <v>3416</v>
      </c>
      <c r="D25" s="106">
        <f t="shared" si="1"/>
        <v>6221.49</v>
      </c>
      <c r="E25" s="129">
        <f t="shared" si="2"/>
        <v>27687.379999999994</v>
      </c>
      <c r="F25" s="3112"/>
      <c r="G25" s="3113">
        <f>'数据-基础表'!S5-G23-G24</f>
        <v>27687.379999999994</v>
      </c>
      <c r="H25" s="953">
        <f t="shared" si="4"/>
        <v>4.07</v>
      </c>
      <c r="I25" s="111">
        <f t="shared" si="5"/>
        <v>18.12</v>
      </c>
      <c r="J25" s="1959"/>
      <c r="K25" s="2620">
        <f>ROUND(E$31*E25/E$30,2)</f>
        <v>18.12</v>
      </c>
      <c r="L25" s="252"/>
      <c r="M25" s="2621">
        <f t="shared" si="6"/>
        <v>18.12</v>
      </c>
      <c r="N25" s="2622"/>
      <c r="O25" s="2623"/>
      <c r="P25" s="2624">
        <f t="shared" si="7"/>
        <v>0</v>
      </c>
      <c r="R25" s="252">
        <f t="shared" si="3"/>
        <v>6225.5599999999995</v>
      </c>
      <c r="S25" s="2281">
        <f t="shared" si="3"/>
        <v>27705.499999999993</v>
      </c>
    </row>
    <row r="26" spans="1:19">
      <c r="A26" s="132"/>
      <c r="B26" s="110" t="s">
        <v>203</v>
      </c>
      <c r="C26" s="3109" t="s">
        <v>3303</v>
      </c>
      <c r="D26" s="106">
        <f>ROUND($D$3*E26/$E$3,2)</f>
        <v>11010.54</v>
      </c>
      <c r="E26" s="129">
        <f>SUM(F26:G26)</f>
        <v>49000</v>
      </c>
      <c r="F26" s="3112">
        <f>'数据-基础表'!O5</f>
        <v>49000</v>
      </c>
      <c r="G26" s="3113"/>
      <c r="H26" s="953">
        <f>ROUND($D$3*I26/$E$3,2)</f>
        <v>7.21</v>
      </c>
      <c r="I26" s="111">
        <f t="shared" si="5"/>
        <v>32.07</v>
      </c>
      <c r="J26" s="1959"/>
      <c r="K26" s="2620">
        <f>ROUND(E$31*E26/E$30,2)</f>
        <v>32.07</v>
      </c>
      <c r="L26" s="252"/>
      <c r="M26" s="2621">
        <f t="shared" si="6"/>
        <v>32.07</v>
      </c>
      <c r="N26" s="2622"/>
      <c r="O26" s="2623"/>
      <c r="P26" s="2624">
        <f t="shared" si="7"/>
        <v>0</v>
      </c>
      <c r="R26" s="252">
        <f t="shared" si="3"/>
        <v>11017.75</v>
      </c>
      <c r="S26" s="2281">
        <f t="shared" si="3"/>
        <v>49032.07</v>
      </c>
    </row>
    <row r="27" spans="1:19">
      <c r="A27" s="132"/>
      <c r="B27" s="110" t="s">
        <v>203</v>
      </c>
      <c r="C27" s="3109" t="s">
        <v>3304</v>
      </c>
      <c r="D27" s="106">
        <f>ROUND($D$3*E27/$E$3,2)</f>
        <v>10071.719999999999</v>
      </c>
      <c r="E27" s="129">
        <f>SUM(F27:G27)</f>
        <v>44822</v>
      </c>
      <c r="F27" s="3112">
        <f>'数据-基础表'!Q5</f>
        <v>44822</v>
      </c>
      <c r="G27" s="3113"/>
      <c r="H27" s="953">
        <f>ROUND($D$3*I27/$E$3,2)</f>
        <v>6.59</v>
      </c>
      <c r="I27" s="111">
        <f t="shared" si="5"/>
        <v>29.33</v>
      </c>
      <c r="J27" s="1959"/>
      <c r="K27" s="2620">
        <f>ROUND(E$31*E27/E$30,2)</f>
        <v>29.33</v>
      </c>
      <c r="L27" s="252">
        <f>ROUND(IF(COUNTIF(C27,"*住宅*")&gt;0,E$32*E27/E$35,0),2)</f>
        <v>0</v>
      </c>
      <c r="M27" s="2621">
        <f t="shared" si="6"/>
        <v>29.33</v>
      </c>
      <c r="N27" s="2622"/>
      <c r="O27" s="2623"/>
      <c r="P27" s="2624">
        <f t="shared" si="7"/>
        <v>0</v>
      </c>
      <c r="R27" s="252">
        <f t="shared" si="3"/>
        <v>10078.31</v>
      </c>
      <c r="S27" s="2281">
        <f t="shared" si="3"/>
        <v>44851.33</v>
      </c>
    </row>
    <row r="28" spans="1:19">
      <c r="A28" s="132"/>
      <c r="B28" s="110" t="s">
        <v>203</v>
      </c>
      <c r="C28" s="3109" t="s">
        <v>3307</v>
      </c>
      <c r="D28" s="106">
        <f t="shared" si="1"/>
        <v>21567.68</v>
      </c>
      <c r="E28" s="129">
        <f t="shared" si="2"/>
        <v>95982.26999999999</v>
      </c>
      <c r="F28" s="3112"/>
      <c r="G28" s="3113">
        <f>'数据-基础表'!U5</f>
        <v>95982.26999999999</v>
      </c>
      <c r="H28" s="105">
        <f t="shared" si="4"/>
        <v>14.11</v>
      </c>
      <c r="I28" s="111">
        <f t="shared" si="5"/>
        <v>62.81</v>
      </c>
      <c r="J28" s="1959"/>
      <c r="K28" s="2620">
        <f>ROUND(E$31*E28/E$30,2)</f>
        <v>62.81</v>
      </c>
      <c r="L28" s="252">
        <f>ROUND(IF(COUNTIF(C28,"*住宅*")&gt;0,E$32*E28/E$35,0),2)</f>
        <v>0</v>
      </c>
      <c r="M28" s="2621">
        <f t="shared" si="6"/>
        <v>62.81</v>
      </c>
      <c r="N28" s="2622"/>
      <c r="O28" s="2623"/>
      <c r="P28" s="2624">
        <f t="shared" si="7"/>
        <v>0</v>
      </c>
      <c r="R28" s="252">
        <f t="shared" si="3"/>
        <v>21581.79</v>
      </c>
      <c r="S28" s="2281">
        <f t="shared" si="3"/>
        <v>96045.079999999987</v>
      </c>
    </row>
    <row r="29" spans="1:19">
      <c r="A29" s="132"/>
      <c r="B29" s="110" t="s">
        <v>203</v>
      </c>
      <c r="C29" s="3109" t="s">
        <v>3399</v>
      </c>
      <c r="D29" s="106">
        <f t="shared" si="1"/>
        <v>11416.3</v>
      </c>
      <c r="E29" s="129">
        <f t="shared" si="2"/>
        <v>50805.77</v>
      </c>
      <c r="F29" s="3112">
        <f>'数据-基础表'!W19</f>
        <v>50805.77</v>
      </c>
      <c r="G29" s="3113"/>
      <c r="H29" s="105">
        <f t="shared" si="4"/>
        <v>7.47</v>
      </c>
      <c r="I29" s="111">
        <f t="shared" si="5"/>
        <v>33.25</v>
      </c>
      <c r="J29" s="1959"/>
      <c r="K29" s="2625">
        <f>ROUND(E$31*E29/E$30,2)</f>
        <v>33.25</v>
      </c>
      <c r="L29" s="257">
        <f>ROUND(IF(COUNTIF(C29,"*住宅*")&gt;0,E$32*E29/E$35,0),2)</f>
        <v>0</v>
      </c>
      <c r="M29" s="137">
        <f t="shared" si="6"/>
        <v>33.25</v>
      </c>
      <c r="N29" s="2626"/>
      <c r="O29" s="2627"/>
      <c r="P29" s="2628">
        <f t="shared" si="7"/>
        <v>0</v>
      </c>
      <c r="R29" s="252">
        <f t="shared" si="3"/>
        <v>11423.769999999999</v>
      </c>
      <c r="S29" s="2281">
        <f t="shared" si="3"/>
        <v>50839.02</v>
      </c>
    </row>
    <row r="30" spans="1:19" ht="29.25" thickBot="1">
      <c r="A30" s="132"/>
      <c r="B30" s="106"/>
      <c r="C30" s="122" t="s">
        <v>192</v>
      </c>
      <c r="D30" s="129">
        <f>SUM(D19:D29)</f>
        <v>113954.65999999999</v>
      </c>
      <c r="E30" s="134">
        <f>IF(SUM(E19:E29)='数据-基础表'!BA5,SUM(E19:E29),IF(F30="地上面积有误","面积有误","地下面积有误"))</f>
        <v>507130.39</v>
      </c>
      <c r="F30" s="129">
        <f>IF(SUM(F19:F29)=E8,SUM(F19:F29),"地上面积有误")</f>
        <v>328085.98</v>
      </c>
      <c r="G30" s="107">
        <f>SUM(G19:G29)</f>
        <v>179044.40999999997</v>
      </c>
      <c r="H30" s="954">
        <f>SUM(H19:H29)</f>
        <v>74.56</v>
      </c>
      <c r="I30" s="955">
        <f>SUM(I19:I29)</f>
        <v>331.88</v>
      </c>
      <c r="J30" s="1959"/>
      <c r="K30" s="2629">
        <f>SUM(K19:K29)</f>
        <v>331.88</v>
      </c>
      <c r="L30" s="2630">
        <f>SUM(L19:L29)</f>
        <v>0</v>
      </c>
      <c r="M30" s="2631">
        <f>SUM(M19:M29)</f>
        <v>331.88</v>
      </c>
      <c r="N30" s="2629">
        <f t="shared" ref="N30:O30" si="10">SUM(N19:N29)</f>
        <v>0</v>
      </c>
      <c r="O30" s="2630">
        <f t="shared" si="10"/>
        <v>0</v>
      </c>
      <c r="P30" s="2632">
        <f>SUM(P19:P29)</f>
        <v>0</v>
      </c>
      <c r="R30" s="2285" t="str">
        <f>IF(SUM(R19:R29)=$D$3,SUM(R19:R29),SUM(R19:R29)&amp;"误差"&amp;ROUND(SUM(R19:R29)-$D$3,2))</f>
        <v>114029.22误差0.01</v>
      </c>
      <c r="S30" s="252" t="str">
        <f>IF(SUM(S19:S29)=$E$3,SUM(S19:S29),SUM(S19:S29)&amp;"误差"&amp;ROUND(SUM(S19:S29)-E3,2))</f>
        <v>507462.27误差0.02</v>
      </c>
    </row>
    <row r="31" spans="1:19">
      <c r="A31" s="132"/>
      <c r="B31" s="110" t="s">
        <v>204</v>
      </c>
      <c r="C31" s="130" t="s">
        <v>205</v>
      </c>
      <c r="D31" s="106">
        <f>ROUND($D$3*E31/$E$3,2)</f>
        <v>74.569999999999993</v>
      </c>
      <c r="E31" s="129">
        <f>SUM(F31:G31)</f>
        <v>331.86</v>
      </c>
      <c r="F31" s="135">
        <f>'数据-基础表'!BQ5+'数据-基础表'!BS5</f>
        <v>0</v>
      </c>
      <c r="G31" s="136">
        <f>'数据-基础表'!BR5+'数据-基础表'!BT5</f>
        <v>331.86</v>
      </c>
      <c r="H31" s="1959"/>
      <c r="I31" s="1959"/>
      <c r="J31" s="1959"/>
      <c r="K31" s="1959"/>
      <c r="L31" s="1959"/>
    </row>
    <row r="32" spans="1:19">
      <c r="A32" s="132"/>
      <c r="B32" s="110" t="s">
        <v>204</v>
      </c>
      <c r="C32" s="2293" t="s">
        <v>2555</v>
      </c>
      <c r="D32" s="106">
        <f>ROUND($D$3*E32/$E$3,2)</f>
        <v>0</v>
      </c>
      <c r="E32" s="129">
        <f>SUM(F32:G32)</f>
        <v>0</v>
      </c>
      <c r="F32" s="135">
        <f>'数据-基础表'!BM5+'数据-基础表'!BO5</f>
        <v>0</v>
      </c>
      <c r="G32" s="137">
        <f>'数据-基础表'!BN5+'数据-基础表'!BP5</f>
        <v>0</v>
      </c>
      <c r="H32" s="1959"/>
      <c r="I32" s="1959"/>
      <c r="J32" s="1959"/>
      <c r="K32" s="1959"/>
      <c r="L32" s="1959"/>
    </row>
    <row r="33" spans="1:12">
      <c r="A33" s="132"/>
      <c r="B33" s="106"/>
      <c r="C33" s="138" t="s">
        <v>192</v>
      </c>
      <c r="D33" s="129">
        <f>SUM(D31:D32)</f>
        <v>74.569999999999993</v>
      </c>
      <c r="E33" s="129">
        <f>SUM(E31:E32)</f>
        <v>331.86</v>
      </c>
      <c r="F33" s="129">
        <f>SUM(F31:F32)</f>
        <v>0</v>
      </c>
      <c r="G33" s="107">
        <f>SUM(G31:G32)</f>
        <v>331.86</v>
      </c>
      <c r="H33" s="1959"/>
      <c r="I33" s="1959"/>
      <c r="J33" s="1959"/>
      <c r="K33" s="1959"/>
      <c r="L33" s="1959"/>
    </row>
    <row r="34" spans="1:12" ht="32.25" customHeight="1" thickBot="1">
      <c r="A34" s="1353"/>
      <c r="B34" s="1354" t="s">
        <v>206</v>
      </c>
      <c r="C34" s="2310" t="s">
        <v>2557</v>
      </c>
      <c r="D34" s="1355">
        <f>D30+D33</f>
        <v>114029.23</v>
      </c>
      <c r="E34" s="1355">
        <f>E30+E33</f>
        <v>507462.25</v>
      </c>
      <c r="F34" s="1356">
        <f>F30+F33</f>
        <v>328085.98</v>
      </c>
      <c r="G34" s="1357">
        <f>G30+G33</f>
        <v>179376.26999999996</v>
      </c>
      <c r="H34" s="1959"/>
      <c r="I34" s="1959"/>
      <c r="J34" s="1959"/>
      <c r="K34" s="1959"/>
      <c r="L34" s="1959"/>
    </row>
    <row r="35" spans="1:12">
      <c r="A35" s="1959"/>
      <c r="B35" s="2343" t="s">
        <v>2556</v>
      </c>
      <c r="C35" s="2660"/>
      <c r="D35" s="1180"/>
      <c r="E35" s="1180">
        <f>SUMIF(C19:C29,"*住宅*",E19:E29)</f>
        <v>0</v>
      </c>
      <c r="F35" s="1180"/>
      <c r="G35" s="1180"/>
    </row>
    <row r="36" spans="1:12">
      <c r="D36" s="1963"/>
    </row>
    <row r="37" spans="1:12">
      <c r="K37" s="31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30">
    <cfRule type="containsText" dxfId="168" priority="1" stopIfTrue="1" operator="containsText" text="面积有误">
      <formula>NOT(ISERROR(SEARCH("面积有误",E30)))</formula>
    </cfRule>
    <cfRule type="cellIs" dxfId="167" priority="3" stopIfTrue="1" operator="equal">
      <formula>"地下面积有误"</formula>
    </cfRule>
  </conditionalFormatting>
  <conditionalFormatting sqref="F30">
    <cfRule type="cellIs" dxfId="166" priority="2" stopIfTrue="1" operator="equal">
      <formula>"地上面积有误"</formula>
    </cfRule>
  </conditionalFormatting>
  <dataValidations count="2">
    <dataValidation type="list" allowBlank="1" showInputMessage="1" showErrorMessage="1" sqref="B31:B32 B19: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5"/>
  <sheetViews>
    <sheetView zoomScale="90" zoomScaleNormal="90" workbookViewId="0">
      <pane xSplit="3" ySplit="5" topLeftCell="V6" activePane="bottomRight" state="frozen"/>
      <selection pane="topRight" activeCell="D1" sqref="D1"/>
      <selection pane="bottomLeft" activeCell="A4" sqref="A4"/>
      <selection pane="bottomRight" activeCell="A10" sqref="A10:XFD10"/>
    </sheetView>
  </sheetViews>
  <sheetFormatPr defaultColWidth="13.75" defaultRowHeight="12.75"/>
  <cols>
    <col min="1" max="1" width="20.875" style="1195" customWidth="1"/>
    <col min="2" max="3" width="12" style="1182" customWidth="1"/>
    <col min="4" max="4" width="9.125" style="1196" customWidth="1"/>
    <col min="5" max="5" width="15" style="1182" bestFit="1" customWidth="1"/>
    <col min="6" max="10" width="8.875" style="1182" customWidth="1"/>
    <col min="11" max="12" width="12.375" style="1197" customWidth="1"/>
    <col min="13" max="13" width="8.625" style="1182" customWidth="1"/>
    <col min="14" max="14" width="9.75" style="1182" customWidth="1"/>
    <col min="15" max="16" width="9.625" style="1182" customWidth="1"/>
    <col min="17" max="17" width="10.875" style="1182" customWidth="1"/>
    <col min="18" max="19" width="12.5" style="1182" customWidth="1"/>
    <col min="20" max="20" width="12.125" style="1182" customWidth="1"/>
    <col min="21" max="21" width="7.5" style="1182" customWidth="1"/>
    <col min="22" max="22" width="6.375" style="1182" customWidth="1"/>
    <col min="23" max="24" width="6.75" style="1182" customWidth="1"/>
    <col min="25" max="25" width="8.125" style="1182" customWidth="1"/>
    <col min="26" max="30" width="6.75" style="1182" customWidth="1"/>
    <col min="31" max="31" width="6.5" style="1182" customWidth="1"/>
    <col min="32" max="34" width="7.25" style="1182" customWidth="1"/>
    <col min="35" max="39" width="8" style="1182" customWidth="1"/>
    <col min="40" max="41" width="13.75" style="1973"/>
    <col min="42" max="42" width="0" style="1973" hidden="1" customWidth="1"/>
    <col min="43" max="83" width="13.75" style="1973"/>
    <col min="84" max="16384" width="13.75" style="1182"/>
  </cols>
  <sheetData>
    <row r="1" spans="1:83" ht="19.5" thickBot="1">
      <c r="A1" s="139" t="s">
        <v>211</v>
      </c>
      <c r="B1" s="1181"/>
      <c r="C1" s="1964"/>
      <c r="D1" s="1965"/>
      <c r="E1" s="1964"/>
      <c r="F1" s="1964"/>
      <c r="G1" s="1964"/>
      <c r="H1" s="1964"/>
      <c r="I1" s="1964"/>
      <c r="J1" s="1964"/>
      <c r="K1" s="1966"/>
      <c r="L1" s="1966"/>
      <c r="M1" s="1964"/>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c r="AL1" s="1964"/>
      <c r="AM1" s="1964"/>
    </row>
    <row r="2" spans="1:83" s="1185" customFormat="1" ht="15.75" thickBot="1">
      <c r="A2" s="140" t="s">
        <v>212</v>
      </c>
      <c r="B2" s="2318">
        <f>项目基本情况!D3</f>
        <v>42898</v>
      </c>
      <c r="C2" s="1967"/>
      <c r="D2" s="1968"/>
      <c r="E2" s="1967"/>
      <c r="F2" s="1967"/>
      <c r="G2" s="1967"/>
      <c r="H2" s="1967"/>
      <c r="I2" s="1967"/>
      <c r="J2" s="1967"/>
      <c r="K2" s="1969"/>
      <c r="L2" s="1969"/>
      <c r="M2" s="1967"/>
      <c r="N2" s="1967"/>
      <c r="O2" s="1967"/>
      <c r="P2" s="1967"/>
      <c r="Q2" s="1967"/>
      <c r="R2" s="1967"/>
      <c r="S2" s="1967"/>
      <c r="T2" s="1967"/>
      <c r="U2" s="1967"/>
      <c r="V2" s="1967"/>
      <c r="W2" s="1967"/>
      <c r="X2" s="1967"/>
      <c r="Y2" s="1967"/>
      <c r="Z2" s="1967"/>
      <c r="AA2" s="1967"/>
      <c r="AB2" s="1967"/>
      <c r="AC2" s="1967"/>
      <c r="AD2" s="1967"/>
      <c r="AE2" s="1967"/>
      <c r="AF2" s="1967"/>
      <c r="AG2" s="1967"/>
      <c r="AH2" s="1967"/>
      <c r="AI2" s="1967"/>
      <c r="AJ2" s="1967"/>
      <c r="AK2" s="1967"/>
      <c r="AL2" s="1967"/>
      <c r="AM2" s="1967"/>
      <c r="AN2" s="1975"/>
      <c r="AO2" s="1975"/>
      <c r="AP2" s="1975"/>
      <c r="AQ2" s="1975"/>
      <c r="AR2" s="1975"/>
      <c r="AS2" s="1975"/>
      <c r="AT2" s="1975"/>
      <c r="AU2" s="1975"/>
      <c r="AV2" s="1975"/>
      <c r="AW2" s="1975"/>
      <c r="AX2" s="1975"/>
      <c r="AY2" s="1975"/>
      <c r="AZ2" s="1975"/>
      <c r="BA2" s="1975"/>
      <c r="BB2" s="1975"/>
      <c r="BC2" s="1975"/>
      <c r="BD2" s="1975"/>
      <c r="BE2" s="1975"/>
      <c r="BF2" s="1975"/>
      <c r="BG2" s="1975"/>
      <c r="BH2" s="1975"/>
      <c r="BI2" s="1975"/>
      <c r="BJ2" s="1975"/>
      <c r="BK2" s="1975"/>
      <c r="BL2" s="1975"/>
      <c r="BM2" s="1975"/>
      <c r="BN2" s="1975"/>
      <c r="BO2" s="1975"/>
      <c r="BP2" s="1975"/>
      <c r="BQ2" s="1975"/>
      <c r="BR2" s="1975"/>
      <c r="BS2" s="1975"/>
      <c r="BT2" s="1975"/>
      <c r="BU2" s="1975"/>
      <c r="BV2" s="1975"/>
      <c r="BW2" s="1975"/>
      <c r="BX2" s="1975"/>
      <c r="BY2" s="1975"/>
      <c r="BZ2" s="1975"/>
      <c r="CA2" s="1975"/>
      <c r="CB2" s="1975"/>
      <c r="CC2" s="1975"/>
      <c r="CD2" s="1975"/>
      <c r="CE2" s="1975"/>
    </row>
    <row r="3" spans="1:83" s="1185" customFormat="1" ht="15" thickBot="1">
      <c r="A3" s="1186"/>
      <c r="B3" s="1183"/>
      <c r="C3" s="1967"/>
      <c r="D3" s="1968"/>
      <c r="E3" s="1967"/>
      <c r="F3" s="1967"/>
      <c r="G3" s="1967"/>
      <c r="H3" s="1967"/>
      <c r="I3" s="1967"/>
      <c r="J3" s="1967"/>
      <c r="K3" s="1969"/>
      <c r="L3" s="1969"/>
      <c r="M3" s="1967"/>
      <c r="N3" s="1967"/>
      <c r="O3" s="1967"/>
      <c r="P3" s="1967"/>
      <c r="Q3" s="1967"/>
      <c r="R3" s="1967"/>
      <c r="S3" s="1967"/>
      <c r="T3" s="1967"/>
      <c r="U3" s="1967"/>
      <c r="V3" s="1967"/>
      <c r="W3" s="1967"/>
      <c r="X3" s="1967"/>
      <c r="Y3" s="1967"/>
      <c r="Z3" s="1967"/>
      <c r="AA3" s="1967"/>
      <c r="AB3" s="1967"/>
      <c r="AC3" s="1967"/>
      <c r="AD3" s="1967"/>
      <c r="AE3" s="1967"/>
      <c r="AF3" s="1967"/>
      <c r="AG3" s="1967"/>
      <c r="AH3" s="1967"/>
      <c r="AI3" s="1967"/>
      <c r="AJ3" s="1967"/>
      <c r="AK3" s="1967"/>
      <c r="AL3" s="1967"/>
      <c r="AM3" s="1967"/>
      <c r="AN3" s="1975"/>
      <c r="AO3" s="1975"/>
      <c r="AP3" s="1975"/>
      <c r="AQ3" s="1975"/>
      <c r="AR3" s="1975"/>
      <c r="AS3" s="1975"/>
      <c r="AT3" s="1975"/>
      <c r="AU3" s="1975"/>
      <c r="AV3" s="1975"/>
      <c r="AW3" s="1975"/>
      <c r="AX3" s="1975"/>
      <c r="AY3" s="1975"/>
      <c r="AZ3" s="1975"/>
      <c r="BA3" s="1975"/>
      <c r="BB3" s="1975"/>
      <c r="BC3" s="1975"/>
      <c r="BD3" s="1975"/>
      <c r="BE3" s="1975"/>
      <c r="BF3" s="1975"/>
      <c r="BG3" s="1975"/>
      <c r="BH3" s="1975"/>
      <c r="BI3" s="1975"/>
      <c r="BJ3" s="1975"/>
      <c r="BK3" s="1975"/>
      <c r="BL3" s="1975"/>
      <c r="BM3" s="1975"/>
      <c r="BN3" s="1975"/>
      <c r="BO3" s="1975"/>
      <c r="BP3" s="1975"/>
      <c r="BQ3" s="1975"/>
      <c r="BR3" s="1975"/>
      <c r="BS3" s="1975"/>
      <c r="BT3" s="1975"/>
      <c r="BU3" s="1975"/>
      <c r="BV3" s="1975"/>
      <c r="BW3" s="1975"/>
      <c r="BX3" s="1975"/>
      <c r="BY3" s="1975"/>
      <c r="BZ3" s="1975"/>
      <c r="CA3" s="1975"/>
      <c r="CB3" s="1975"/>
      <c r="CC3" s="1975"/>
      <c r="CD3" s="1975"/>
      <c r="CE3" s="1975"/>
    </row>
    <row r="4" spans="1:83" s="1185" customFormat="1" ht="15" thickBot="1">
      <c r="A4" s="141" t="s">
        <v>1052</v>
      </c>
      <c r="B4" s="143"/>
      <c r="C4" s="144"/>
      <c r="D4" s="1187"/>
      <c r="E4" s="1188" t="s">
        <v>1053</v>
      </c>
      <c r="F4" s="144"/>
      <c r="G4" s="144"/>
      <c r="H4" s="144"/>
      <c r="I4" s="144"/>
      <c r="J4" s="145"/>
      <c r="K4" s="1189"/>
      <c r="L4" s="1190"/>
      <c r="M4" s="144"/>
      <c r="N4" s="1188" t="s">
        <v>1054</v>
      </c>
      <c r="O4" s="144"/>
      <c r="P4" s="144"/>
      <c r="Q4" s="144"/>
      <c r="R4" s="144"/>
      <c r="S4" s="145"/>
      <c r="T4" s="956" t="str">
        <f>'数据-汇总表'!I17</f>
        <v>按面积比例</v>
      </c>
      <c r="U4" s="143" t="s">
        <v>1055</v>
      </c>
      <c r="V4" s="144"/>
      <c r="W4" s="144"/>
      <c r="X4" s="144"/>
      <c r="Y4" s="145"/>
      <c r="Z4" s="118" t="s">
        <v>1056</v>
      </c>
      <c r="AA4" s="118"/>
      <c r="AB4" s="118"/>
      <c r="AC4" s="118"/>
      <c r="AD4" s="118"/>
      <c r="AE4" s="116" t="s">
        <v>1057</v>
      </c>
      <c r="AF4" s="118"/>
      <c r="AG4" s="146"/>
      <c r="AH4" s="143"/>
      <c r="AI4" s="144"/>
      <c r="AJ4" s="144"/>
      <c r="AK4" s="144"/>
      <c r="AL4" s="144"/>
      <c r="AM4" s="145"/>
      <c r="AN4" s="1975"/>
      <c r="AO4" s="1975"/>
      <c r="AP4" s="1975"/>
      <c r="AQ4" s="1975"/>
      <c r="AR4" s="1975"/>
      <c r="AS4" s="1975"/>
      <c r="AT4" s="1975"/>
      <c r="AU4" s="1975"/>
      <c r="AV4" s="1975"/>
      <c r="AW4" s="1975"/>
      <c r="AX4" s="1975"/>
      <c r="AY4" s="1975"/>
      <c r="AZ4" s="1975"/>
      <c r="BA4" s="1975"/>
      <c r="BB4" s="1975"/>
      <c r="BC4" s="1975"/>
      <c r="BD4" s="1975"/>
      <c r="BE4" s="1975"/>
      <c r="BF4" s="1975"/>
      <c r="BG4" s="1975"/>
      <c r="BH4" s="1975"/>
      <c r="BI4" s="1975"/>
      <c r="BJ4" s="1975"/>
      <c r="BK4" s="1975"/>
      <c r="BL4" s="1975"/>
      <c r="BM4" s="1975"/>
      <c r="BN4" s="1975"/>
      <c r="BO4" s="1975"/>
      <c r="BP4" s="1975"/>
      <c r="BQ4" s="1975"/>
      <c r="BR4" s="1975"/>
      <c r="BS4" s="1975"/>
      <c r="BT4" s="1975"/>
      <c r="BU4" s="1975"/>
      <c r="BV4" s="1975"/>
      <c r="BW4" s="1975"/>
      <c r="BX4" s="1975"/>
      <c r="BY4" s="1975"/>
      <c r="BZ4" s="1975"/>
      <c r="CA4" s="1975"/>
      <c r="CB4" s="1975"/>
      <c r="CC4" s="1975"/>
      <c r="CD4" s="1975"/>
      <c r="CE4" s="1975"/>
    </row>
    <row r="5" spans="1:83" s="1191" customFormat="1" ht="54">
      <c r="A5" s="2284" t="s">
        <v>2559</v>
      </c>
      <c r="B5" s="147" t="s">
        <v>213</v>
      </c>
      <c r="C5" s="148" t="s">
        <v>214</v>
      </c>
      <c r="D5" s="149" t="s">
        <v>215</v>
      </c>
      <c r="E5" s="150" t="s">
        <v>216</v>
      </c>
      <c r="F5" s="151" t="s">
        <v>217</v>
      </c>
      <c r="G5" s="150" t="s">
        <v>218</v>
      </c>
      <c r="H5" s="150" t="s">
        <v>1050</v>
      </c>
      <c r="I5" s="150" t="s">
        <v>1051</v>
      </c>
      <c r="J5" s="152" t="s">
        <v>219</v>
      </c>
      <c r="K5" s="153" t="s">
        <v>220</v>
      </c>
      <c r="L5" s="154" t="s">
        <v>221</v>
      </c>
      <c r="M5" s="155" t="s">
        <v>222</v>
      </c>
      <c r="N5" s="1198" t="s">
        <v>3115</v>
      </c>
      <c r="O5" s="154" t="s">
        <v>223</v>
      </c>
      <c r="P5" s="156" t="s">
        <v>224</v>
      </c>
      <c r="Q5" s="157" t="s">
        <v>225</v>
      </c>
      <c r="R5" s="158" t="s">
        <v>226</v>
      </c>
      <c r="S5" s="2633" t="s">
        <v>2841</v>
      </c>
      <c r="T5" s="159" t="s">
        <v>227</v>
      </c>
      <c r="U5" s="160" t="s">
        <v>228</v>
      </c>
      <c r="V5" s="150" t="s">
        <v>229</v>
      </c>
      <c r="W5" s="150" t="s">
        <v>230</v>
      </c>
      <c r="X5" s="1791"/>
      <c r="Y5" s="161" t="s">
        <v>231</v>
      </c>
      <c r="Z5" s="162" t="s">
        <v>232</v>
      </c>
      <c r="AA5" s="150" t="s">
        <v>229</v>
      </c>
      <c r="AB5" s="150" t="s">
        <v>230</v>
      </c>
      <c r="AC5" s="1792"/>
      <c r="AD5" s="163" t="s">
        <v>231</v>
      </c>
      <c r="AE5" s="1" t="s">
        <v>1058</v>
      </c>
      <c r="AF5" s="150" t="s">
        <v>233</v>
      </c>
      <c r="AG5" s="161" t="s">
        <v>234</v>
      </c>
      <c r="AH5" s="1792" t="s">
        <v>2558</v>
      </c>
      <c r="AI5" s="162" t="s">
        <v>2520</v>
      </c>
      <c r="AJ5" s="162" t="s">
        <v>235</v>
      </c>
      <c r="AK5" s="150" t="s">
        <v>236</v>
      </c>
      <c r="AL5" s="150" t="s">
        <v>237</v>
      </c>
      <c r="AM5" s="163" t="s">
        <v>238</v>
      </c>
      <c r="AN5" s="2403" t="s">
        <v>2627</v>
      </c>
      <c r="AO5" s="1976"/>
      <c r="AP5" s="1976"/>
      <c r="AQ5" s="1976"/>
      <c r="AR5" s="1976"/>
      <c r="AS5" s="1976"/>
      <c r="AT5" s="1976"/>
      <c r="AU5" s="1976"/>
      <c r="AV5" s="1976"/>
      <c r="AW5" s="1976"/>
      <c r="AX5" s="1976"/>
      <c r="AY5" s="1976"/>
      <c r="AZ5" s="1976"/>
      <c r="BA5" s="1976"/>
      <c r="BB5" s="1976"/>
      <c r="BC5" s="1976"/>
      <c r="BD5" s="1976"/>
      <c r="BE5" s="1976"/>
      <c r="BF5" s="1976"/>
      <c r="BG5" s="1976"/>
      <c r="BH5" s="1976"/>
      <c r="BI5" s="1976"/>
      <c r="BJ5" s="1976"/>
      <c r="BK5" s="1976"/>
      <c r="BL5" s="1976"/>
      <c r="BM5" s="1976"/>
      <c r="BN5" s="1976"/>
      <c r="BO5" s="1976"/>
      <c r="BP5" s="1976"/>
      <c r="BQ5" s="1976"/>
      <c r="BR5" s="1976"/>
      <c r="BS5" s="1976"/>
      <c r="BT5" s="1976"/>
      <c r="BU5" s="1976"/>
      <c r="BV5" s="1976"/>
      <c r="BW5" s="1976"/>
      <c r="BX5" s="1976"/>
      <c r="BY5" s="1976"/>
      <c r="BZ5" s="1976"/>
      <c r="CA5" s="1976"/>
      <c r="CB5" s="1976"/>
      <c r="CC5" s="1976"/>
      <c r="CD5" s="1976"/>
      <c r="CE5" s="1976"/>
    </row>
    <row r="6" spans="1:83" s="1185" customFormat="1" ht="14.25">
      <c r="A6" s="2282" t="str">
        <f>'数据-汇总表'!C19</f>
        <v>高层</v>
      </c>
      <c r="B6" s="2317" t="str">
        <f>IF(A6=0,"","经营性")</f>
        <v>经营性</v>
      </c>
      <c r="C6" s="3114" t="s">
        <v>1117</v>
      </c>
      <c r="D6" s="2288">
        <f>SUMIF(项目基本情况!D$15:I$15,C6,项目基本情况!D$18:I$18)</f>
        <v>70</v>
      </c>
      <c r="E6" s="2289">
        <f>IF(B6="","",SUMIF(项目基本情况!D$15:I$15,C6,项目基本情况!D$17:I$17))</f>
        <v>67887</v>
      </c>
      <c r="F6" s="164">
        <f>SUMIF(项目基本情况!D$15:I$15,C6,项目基本情况!D$19:I$19)</f>
        <v>68.459999999999994</v>
      </c>
      <c r="G6" s="165">
        <f>IF(ISERROR(ROUND(POWER(1+H6,D6-F6)*(POWER(1+H6,F6)-1)/(POWER(1+H6,D6)-1),3)),0,ROUND(POWER(1+H6,D6-F6)*(POWER(1+H6,F6)-1)/(POWER(1+H6,D6)-1),3))</f>
        <v>0.997</v>
      </c>
      <c r="H6" s="3115">
        <v>4.4999999999999998E-2</v>
      </c>
      <c r="I6" s="3115">
        <v>0.05</v>
      </c>
      <c r="J6" s="179">
        <v>8.5000000000000006E-2</v>
      </c>
      <c r="K6" s="169">
        <f>SUMIF('数据-汇总表'!C$19:C$36,'数据-取费表'!A6,'数据-汇总表'!E$19:E$36)</f>
        <v>95322.06</v>
      </c>
      <c r="L6" s="3174">
        <v>4000</v>
      </c>
      <c r="M6" s="167">
        <f t="shared" ref="M6:M17" si="0">ROUND(K6*L6/10000,0)</f>
        <v>38129</v>
      </c>
      <c r="N6" s="3117">
        <v>0</v>
      </c>
      <c r="O6" s="167">
        <f>IF($N$5="成新度","——",ROUND(M6*N6,0))</f>
        <v>0</v>
      </c>
      <c r="P6" s="168">
        <f>IF($N$5="成新度","——",M6-O6)</f>
        <v>38129</v>
      </c>
      <c r="Q6" s="3115">
        <v>0.2</v>
      </c>
      <c r="R6" s="169">
        <f>SUMIF('数据-汇总表'!C$19:C$36,A6,'数据-汇总表'!R$19:R$36)</f>
        <v>21433.350000000002</v>
      </c>
      <c r="S6" s="127">
        <f>IF('数据-汇总表'!$I$17="按面积比例",SUMIF('数据-汇总表'!C$19:C$36,A6,'数据-汇总表'!K$19:K$36),SUMIF('数据-汇总表'!C$19:C$36,A6,'数据-汇总表'!N$19:N$36))</f>
        <v>62.38</v>
      </c>
      <c r="T6" s="2213">
        <f>IF($T$4="按面积比例",IF(ISERROR(ROUND($M$17*S6/S$19,0)),"0",ROUND($M$17*S6/S$19,0)),"需自行计算录入")</f>
        <v>16</v>
      </c>
      <c r="U6" s="3118"/>
      <c r="V6" s="3119"/>
      <c r="W6" s="3119"/>
      <c r="X6" s="2301"/>
      <c r="Y6" s="170"/>
      <c r="Z6" s="171"/>
      <c r="AA6" s="166"/>
      <c r="AB6" s="166"/>
      <c r="AC6" s="2304"/>
      <c r="AD6" s="172"/>
      <c r="AE6" s="951">
        <f ca="1">IF(AN6="",0,SUMIF(INDIRECT("'"&amp;AN6&amp;"'"&amp;"!E:E"),$AE$5,INDIRECT("'"&amp;AN6&amp;"'"&amp;"!F:F")))</f>
        <v>0</v>
      </c>
      <c r="AF6" s="133"/>
      <c r="AG6" s="1192">
        <f>IF(AF6="",0,AE6-AF6)</f>
        <v>0</v>
      </c>
      <c r="AH6" s="174"/>
      <c r="AI6" s="3123"/>
      <c r="AJ6" s="174"/>
      <c r="AK6" s="175">
        <v>0.02</v>
      </c>
      <c r="AL6" s="3176">
        <v>2E-3</v>
      </c>
      <c r="AM6" s="3177">
        <v>1.4999999999999999E-2</v>
      </c>
      <c r="AN6" s="3125"/>
      <c r="AO6" s="1975"/>
      <c r="AP6" s="1183">
        <f>ROUND(1-1/(1+H6)^F6,3)</f>
        <v>0.95099999999999996</v>
      </c>
      <c r="AQ6" s="1975"/>
      <c r="AR6" s="1975"/>
      <c r="AS6" s="1975"/>
      <c r="AT6" s="1975"/>
      <c r="AU6" s="1975"/>
      <c r="AV6" s="1975"/>
      <c r="AW6" s="1975"/>
      <c r="AX6" s="1975"/>
      <c r="AY6" s="1975"/>
      <c r="AZ6" s="1975"/>
      <c r="BA6" s="1975"/>
      <c r="BB6" s="1975"/>
      <c r="BC6" s="1975"/>
      <c r="BD6" s="1975"/>
      <c r="BE6" s="1975"/>
      <c r="BF6" s="1975"/>
      <c r="BG6" s="1975"/>
      <c r="BH6" s="1975"/>
      <c r="BI6" s="1975"/>
      <c r="BJ6" s="1975"/>
      <c r="BK6" s="1975"/>
      <c r="BL6" s="1975"/>
      <c r="BM6" s="1975"/>
      <c r="BN6" s="1975"/>
      <c r="BO6" s="1975"/>
      <c r="BP6" s="1975"/>
      <c r="BQ6" s="1975"/>
      <c r="BR6" s="1975"/>
      <c r="BS6" s="1975"/>
      <c r="BT6" s="1975"/>
      <c r="BU6" s="1975"/>
      <c r="BV6" s="1975"/>
      <c r="BW6" s="1975"/>
      <c r="BX6" s="1975"/>
      <c r="BY6" s="1975"/>
      <c r="BZ6" s="1975"/>
      <c r="CA6" s="1975"/>
      <c r="CB6" s="1975"/>
      <c r="CC6" s="1975"/>
      <c r="CD6" s="1975"/>
      <c r="CE6" s="1975"/>
    </row>
    <row r="7" spans="1:83" s="1185" customFormat="1" ht="14.25">
      <c r="A7" s="2282" t="str">
        <f>'数据-汇总表'!C20</f>
        <v>叠拼</v>
      </c>
      <c r="B7" s="2317" t="str">
        <f t="shared" ref="B7:B16" si="1">IF(A7=0,"","经营性")</f>
        <v>经营性</v>
      </c>
      <c r="C7" s="3114" t="s">
        <v>1117</v>
      </c>
      <c r="D7" s="2288">
        <f>SUMIF(项目基本情况!D$15:I$15,C7,项目基本情况!D$18:I$18)</f>
        <v>70</v>
      </c>
      <c r="E7" s="2289">
        <f>IF(B7="","",SUMIF(项目基本情况!D$15:I$15,C7,项目基本情况!D$17:I$17))</f>
        <v>67887</v>
      </c>
      <c r="F7" s="164">
        <f>SUMIF(项目基本情况!D$15:I$15,C7,项目基本情况!D$19:I$19)</f>
        <v>68.459999999999994</v>
      </c>
      <c r="G7" s="165">
        <f t="shared" ref="G7:G11" si="2">IF(ISERROR(ROUND(POWER(1+H7,D7-F7)*(POWER(1+H7,F7)-1)/(POWER(1+H7,D7)-1),3)),0,ROUND(POWER(1+H7,D7-F7)*(POWER(1+H7,F7)-1)/(POWER(1+H7,D7)-1),3))</f>
        <v>0.997</v>
      </c>
      <c r="H7" s="3115">
        <v>4.4999999999999998E-2</v>
      </c>
      <c r="I7" s="3115">
        <v>0.05</v>
      </c>
      <c r="J7" s="179">
        <v>8.5000000000000006E-2</v>
      </c>
      <c r="K7" s="169">
        <f>SUMIF('数据-汇总表'!C$19:C$36,'数据-取费表'!A7,'数据-汇总表'!E$19:E$36)</f>
        <v>46878.32</v>
      </c>
      <c r="L7" s="3174">
        <v>3500</v>
      </c>
      <c r="M7" s="167">
        <f t="shared" si="0"/>
        <v>16407</v>
      </c>
      <c r="N7" s="3117">
        <v>0</v>
      </c>
      <c r="O7" s="167">
        <f t="shared" ref="O7:O17" si="3">IF($N$5="成新度","——",ROUND(M7*N7,0))</f>
        <v>0</v>
      </c>
      <c r="P7" s="168">
        <f t="shared" ref="P7:P17" si="4">IF($N$5="成新度","——",M7-O7)</f>
        <v>16407</v>
      </c>
      <c r="Q7" s="3115">
        <v>0.25</v>
      </c>
      <c r="R7" s="169">
        <f>SUMIF('数据-汇总表'!C$19:C$36,A7,'数据-汇总表'!R$19:R$36)</f>
        <v>10540.67</v>
      </c>
      <c r="S7" s="127">
        <f>IF('数据-汇总表'!$I$17="按面积比例",SUMIF('数据-汇总表'!C$19:C$36,A7,'数据-汇总表'!K$19:K$36),SUMIF('数据-汇总表'!C$19:C$36,A7,'数据-汇总表'!N$19:N$36))</f>
        <v>30.68</v>
      </c>
      <c r="T7" s="2213">
        <f t="shared" ref="T7:T17" si="5">IF($T$4="按面积比例",IF(ISERROR(ROUND($M$17*S7/S$19,0)),"0",ROUND($M$17*S7/S$19,0)),"需自行计算录入")</f>
        <v>8</v>
      </c>
      <c r="U7" s="3118"/>
      <c r="V7" s="3119"/>
      <c r="W7" s="3119"/>
      <c r="X7" s="2301"/>
      <c r="Y7" s="170"/>
      <c r="Z7" s="171"/>
      <c r="AA7" s="166"/>
      <c r="AB7" s="166"/>
      <c r="AC7" s="2304"/>
      <c r="AD7" s="172"/>
      <c r="AE7" s="951">
        <f t="shared" ref="AE7:AE16" ca="1" si="6">IF(AN7="",0,SUMIF(INDIRECT("'"&amp;AN7&amp;"'"&amp;"!E:E"),$AE$5,INDIRECT("'"&amp;AN7&amp;"'"&amp;"!F:F")))</f>
        <v>0</v>
      </c>
      <c r="AF7" s="133"/>
      <c r="AG7" s="1192">
        <f t="shared" ref="AG7:AG17" si="7">IF(AF7="",0,AE7-AF7)</f>
        <v>0</v>
      </c>
      <c r="AH7" s="174"/>
      <c r="AI7" s="3123"/>
      <c r="AJ7" s="174"/>
      <c r="AK7" s="175">
        <v>0.02</v>
      </c>
      <c r="AL7" s="3176">
        <v>2E-3</v>
      </c>
      <c r="AM7" s="3177">
        <v>1.4999999999999999E-2</v>
      </c>
      <c r="AN7" s="3125"/>
      <c r="AO7" s="1975"/>
      <c r="AP7" s="1183">
        <f t="shared" ref="AP7:AP16" si="8">ROUND(1-1/(1+H7)^F7,3)</f>
        <v>0.95099999999999996</v>
      </c>
      <c r="AQ7" s="1975"/>
      <c r="AR7" s="1975"/>
      <c r="AS7" s="1975"/>
      <c r="AT7" s="1975"/>
      <c r="AU7" s="1975"/>
      <c r="AV7" s="1975"/>
      <c r="AW7" s="1975"/>
      <c r="AX7" s="1975"/>
      <c r="AY7" s="1975"/>
      <c r="AZ7" s="1975"/>
      <c r="BA7" s="1975"/>
      <c r="BB7" s="1975"/>
      <c r="BC7" s="1975"/>
      <c r="BD7" s="1975"/>
      <c r="BE7" s="1975"/>
      <c r="BF7" s="1975"/>
      <c r="BG7" s="1975"/>
      <c r="BH7" s="1975"/>
      <c r="BI7" s="1975"/>
      <c r="BJ7" s="1975"/>
      <c r="BK7" s="1975"/>
      <c r="BL7" s="1975"/>
      <c r="BM7" s="1975"/>
      <c r="BN7" s="1975"/>
      <c r="BO7" s="1975"/>
      <c r="BP7" s="1975"/>
      <c r="BQ7" s="1975"/>
      <c r="BR7" s="1975"/>
      <c r="BS7" s="1975"/>
      <c r="BT7" s="1975"/>
      <c r="BU7" s="1975"/>
      <c r="BV7" s="1975"/>
      <c r="BW7" s="1975"/>
      <c r="BX7" s="1975"/>
      <c r="BY7" s="1975"/>
      <c r="BZ7" s="1975"/>
      <c r="CA7" s="1975"/>
      <c r="CB7" s="1975"/>
      <c r="CC7" s="1975"/>
      <c r="CD7" s="1975"/>
      <c r="CE7" s="1975"/>
    </row>
    <row r="8" spans="1:83" s="1185" customFormat="1" ht="14.25">
      <c r="A8" s="2282" t="str">
        <f>'数据-汇总表'!C21</f>
        <v>底商1层</v>
      </c>
      <c r="B8" s="2317" t="str">
        <f t="shared" si="1"/>
        <v>经营性</v>
      </c>
      <c r="C8" s="3114" t="s">
        <v>1886</v>
      </c>
      <c r="D8" s="2288">
        <f>SUMIF(项目基本情况!D$15:I$15,C8,项目基本情况!D$18:I$18)</f>
        <v>40</v>
      </c>
      <c r="E8" s="2289">
        <f>IF(B8="","",SUMIF(项目基本情况!D$15:I$15,C8,项目基本情况!D$17:I$17))</f>
        <v>56929</v>
      </c>
      <c r="F8" s="164">
        <f>SUMIF(项目基本情况!D$15:I$15,C8,项目基本情况!D$19:I$19)</f>
        <v>38.44</v>
      </c>
      <c r="G8" s="165">
        <f t="shared" si="2"/>
        <v>0.99</v>
      </c>
      <c r="H8" s="179">
        <v>0.06</v>
      </c>
      <c r="I8" s="179">
        <v>6.5000000000000002E-2</v>
      </c>
      <c r="J8" s="179">
        <v>8.5000000000000006E-2</v>
      </c>
      <c r="K8" s="169">
        <f>SUMIF('数据-汇总表'!C$19:C$36,'数据-取费表'!A8,'数据-汇总表'!E$19:E$36)</f>
        <v>20628.919999999998</v>
      </c>
      <c r="L8" s="3174">
        <v>3800</v>
      </c>
      <c r="M8" s="167">
        <f>ROUND(K8*L8/10000,0)</f>
        <v>7839</v>
      </c>
      <c r="N8" s="3117">
        <v>0</v>
      </c>
      <c r="O8" s="167">
        <f t="shared" si="3"/>
        <v>0</v>
      </c>
      <c r="P8" s="168">
        <f t="shared" si="4"/>
        <v>7839</v>
      </c>
      <c r="Q8" s="179">
        <v>0.2</v>
      </c>
      <c r="R8" s="169">
        <f>SUMIF('数据-汇总表'!C$19:C$36,A8,'数据-汇总表'!R$19:R$36)</f>
        <v>4638.45</v>
      </c>
      <c r="S8" s="127">
        <f>IF('数据-汇总表'!$I$17="按面积比例",SUMIF('数据-汇总表'!C$19:C$36,A8,'数据-汇总表'!K$19:K$36),SUMIF('数据-汇总表'!C$19:C$36,A8,'数据-汇总表'!N$19:N$36))</f>
        <v>13.5</v>
      </c>
      <c r="T8" s="2213">
        <f t="shared" si="5"/>
        <v>3</v>
      </c>
      <c r="U8" s="3118"/>
      <c r="V8" s="3119"/>
      <c r="W8" s="3119"/>
      <c r="X8" s="2301"/>
      <c r="Y8" s="170"/>
      <c r="Z8" s="171"/>
      <c r="AA8" s="166"/>
      <c r="AB8" s="166"/>
      <c r="AC8" s="2304"/>
      <c r="AD8" s="172"/>
      <c r="AE8" s="951">
        <f t="shared" ca="1" si="6"/>
        <v>0</v>
      </c>
      <c r="AF8" s="133"/>
      <c r="AG8" s="1192">
        <f t="shared" si="7"/>
        <v>0</v>
      </c>
      <c r="AH8" s="174"/>
      <c r="AI8" s="3123"/>
      <c r="AJ8" s="174"/>
      <c r="AK8" s="175">
        <v>2.5000000000000001E-2</v>
      </c>
      <c r="AL8" s="3176">
        <v>2.5000000000000001E-3</v>
      </c>
      <c r="AM8" s="3177">
        <v>0.02</v>
      </c>
      <c r="AN8" s="3125"/>
      <c r="AO8" s="1975"/>
      <c r="AP8" s="1183">
        <f t="shared" si="8"/>
        <v>0.89400000000000002</v>
      </c>
      <c r="AQ8" s="1975"/>
      <c r="AR8" s="1975"/>
      <c r="AS8" s="1975"/>
      <c r="AT8" s="1975"/>
      <c r="AU8" s="1975"/>
      <c r="AV8" s="1975"/>
      <c r="AW8" s="1975"/>
      <c r="AX8" s="1975"/>
      <c r="AY8" s="1975"/>
      <c r="AZ8" s="1975"/>
      <c r="BA8" s="1975"/>
      <c r="BB8" s="1975"/>
      <c r="BC8" s="1975"/>
      <c r="BD8" s="1975"/>
      <c r="BE8" s="1975"/>
      <c r="BF8" s="1975"/>
      <c r="BG8" s="1975"/>
      <c r="BH8" s="1975"/>
      <c r="BI8" s="1975"/>
      <c r="BJ8" s="1975"/>
      <c r="BK8" s="1975"/>
      <c r="BL8" s="1975"/>
      <c r="BM8" s="1975"/>
      <c r="BN8" s="1975"/>
      <c r="BO8" s="1975"/>
      <c r="BP8" s="1975"/>
      <c r="BQ8" s="1975"/>
      <c r="BR8" s="1975"/>
      <c r="BS8" s="1975"/>
      <c r="BT8" s="1975"/>
      <c r="BU8" s="1975"/>
      <c r="BV8" s="1975"/>
      <c r="BW8" s="1975"/>
      <c r="BX8" s="1975"/>
      <c r="BY8" s="1975"/>
      <c r="BZ8" s="1975"/>
      <c r="CA8" s="1975"/>
      <c r="CB8" s="1975"/>
      <c r="CC8" s="1975"/>
      <c r="CD8" s="1975"/>
      <c r="CE8" s="1975"/>
    </row>
    <row r="9" spans="1:83" s="1185" customFormat="1" ht="14.25">
      <c r="A9" s="2282" t="str">
        <f>'数据-汇总表'!C22</f>
        <v>底商2层</v>
      </c>
      <c r="B9" s="2317" t="str">
        <f t="shared" si="1"/>
        <v>经营性</v>
      </c>
      <c r="C9" s="3114" t="s">
        <v>1886</v>
      </c>
      <c r="D9" s="2288">
        <f>SUMIF(项目基本情况!D$15:I$15,C9,项目基本情况!D$18:I$18)</f>
        <v>40</v>
      </c>
      <c r="E9" s="2289">
        <f>IF(B9="","",SUMIF(项目基本情况!D$15:I$15,C9,项目基本情况!D$17:I$17))</f>
        <v>56929</v>
      </c>
      <c r="F9" s="164">
        <f>SUMIF(项目基本情况!D$15:I$15,C9,项目基本情况!D$19:I$19)</f>
        <v>38.44</v>
      </c>
      <c r="G9" s="165">
        <f t="shared" si="2"/>
        <v>0.99</v>
      </c>
      <c r="H9" s="179">
        <v>0.06</v>
      </c>
      <c r="I9" s="179">
        <v>6.5000000000000002E-2</v>
      </c>
      <c r="J9" s="179">
        <v>8.5000000000000006E-2</v>
      </c>
      <c r="K9" s="169">
        <f>SUMIF('数据-汇总表'!C$19:C$36,'数据-取费表'!A9,'数据-汇总表'!E$19:E$36)</f>
        <v>20628.910000000003</v>
      </c>
      <c r="L9" s="3174">
        <v>3800</v>
      </c>
      <c r="M9" s="167">
        <f t="shared" si="0"/>
        <v>7839</v>
      </c>
      <c r="N9" s="3117">
        <v>0</v>
      </c>
      <c r="O9" s="167">
        <f t="shared" si="3"/>
        <v>0</v>
      </c>
      <c r="P9" s="168">
        <f t="shared" si="4"/>
        <v>7839</v>
      </c>
      <c r="Q9" s="179">
        <v>0.2</v>
      </c>
      <c r="R9" s="169">
        <f>SUMIF('数据-汇总表'!C$19:C$36,A9,'数据-汇总表'!R$19:R$36)</f>
        <v>4638.45</v>
      </c>
      <c r="S9" s="127">
        <f>IF('数据-汇总表'!$I$17="按面积比例",SUMIF('数据-汇总表'!C$19:C$36,A9,'数据-汇总表'!K$19:K$36),SUMIF('数据-汇总表'!C$19:C$36,A9,'数据-汇总表'!N$19:N$36))</f>
        <v>13.5</v>
      </c>
      <c r="T9" s="2213">
        <f t="shared" si="5"/>
        <v>3</v>
      </c>
      <c r="U9" s="3118"/>
      <c r="V9" s="3119"/>
      <c r="W9" s="3119"/>
      <c r="X9" s="2301"/>
      <c r="Y9" s="170"/>
      <c r="Z9" s="171"/>
      <c r="AA9" s="166"/>
      <c r="AB9" s="166"/>
      <c r="AC9" s="2304"/>
      <c r="AD9" s="172"/>
      <c r="AE9" s="951">
        <f t="shared" ca="1" si="6"/>
        <v>0</v>
      </c>
      <c r="AF9" s="133"/>
      <c r="AG9" s="1192">
        <f t="shared" si="7"/>
        <v>0</v>
      </c>
      <c r="AH9" s="174"/>
      <c r="AI9" s="3123"/>
      <c r="AJ9" s="174"/>
      <c r="AK9" s="175">
        <v>2.5000000000000001E-2</v>
      </c>
      <c r="AL9" s="3176">
        <v>2.5000000000000001E-3</v>
      </c>
      <c r="AM9" s="3177">
        <v>0.02</v>
      </c>
      <c r="AN9" s="3125"/>
      <c r="AO9" s="1975"/>
      <c r="AP9" s="1183">
        <f t="shared" si="8"/>
        <v>0.89400000000000002</v>
      </c>
      <c r="AQ9" s="1975"/>
      <c r="AR9" s="1975"/>
      <c r="AS9" s="1975"/>
      <c r="AT9" s="1975"/>
      <c r="AU9" s="1975"/>
      <c r="AV9" s="1975"/>
      <c r="AW9" s="1975"/>
      <c r="AX9" s="1975"/>
      <c r="AY9" s="1975"/>
      <c r="AZ9" s="1975"/>
      <c r="BA9" s="1975"/>
      <c r="BB9" s="1975"/>
      <c r="BC9" s="1975"/>
      <c r="BD9" s="1975"/>
      <c r="BE9" s="1975"/>
      <c r="BF9" s="1975"/>
      <c r="BG9" s="1975"/>
      <c r="BH9" s="1975"/>
      <c r="BI9" s="1975"/>
      <c r="BJ9" s="1975"/>
      <c r="BK9" s="1975"/>
      <c r="BL9" s="1975"/>
      <c r="BM9" s="1975"/>
      <c r="BN9" s="1975"/>
      <c r="BO9" s="1975"/>
      <c r="BP9" s="1975"/>
      <c r="BQ9" s="1975"/>
      <c r="BR9" s="1975"/>
      <c r="BS9" s="1975"/>
      <c r="BT9" s="1975"/>
      <c r="BU9" s="1975"/>
      <c r="BV9" s="1975"/>
      <c r="BW9" s="1975"/>
      <c r="BX9" s="1975"/>
      <c r="BY9" s="1975"/>
      <c r="BZ9" s="1975"/>
      <c r="CA9" s="1975"/>
      <c r="CB9" s="1975"/>
      <c r="CC9" s="1975"/>
      <c r="CD9" s="1975"/>
      <c r="CE9" s="1975"/>
    </row>
    <row r="10" spans="1:83" s="1185" customFormat="1" ht="14.25">
      <c r="A10" s="2282" t="str">
        <f>'数据-汇总表'!C23</f>
        <v>地下商业1层</v>
      </c>
      <c r="B10" s="2317" t="str">
        <f t="shared" si="1"/>
        <v>经营性</v>
      </c>
      <c r="C10" s="3114" t="s">
        <v>1886</v>
      </c>
      <c r="D10" s="2288">
        <f>SUMIF(项目基本情况!D$15:I$15,C10,项目基本情况!D$18:I$18)</f>
        <v>40</v>
      </c>
      <c r="E10" s="2289">
        <f>IF(B10="","",SUMIF(项目基本情况!D$15:I$15,C10,项目基本情况!D$17:I$17))</f>
        <v>56929</v>
      </c>
      <c r="F10" s="164">
        <f>SUMIF(项目基本情况!D$15:I$15,C10,项目基本情况!D$19:I$19)</f>
        <v>38.44</v>
      </c>
      <c r="G10" s="165">
        <f t="shared" si="2"/>
        <v>0.99</v>
      </c>
      <c r="H10" s="179">
        <v>0.06</v>
      </c>
      <c r="I10" s="179">
        <v>6.5000000000000002E-2</v>
      </c>
      <c r="J10" s="179">
        <v>8.5000000000000006E-2</v>
      </c>
      <c r="K10" s="169">
        <f>SUMIF('数据-汇总表'!C$19:C$36,'数据-取费表'!A10,'数据-汇总表'!E$19:E$36)</f>
        <v>27687.38</v>
      </c>
      <c r="L10" s="3174">
        <v>3800</v>
      </c>
      <c r="M10" s="167">
        <f t="shared" si="0"/>
        <v>10521</v>
      </c>
      <c r="N10" s="3117">
        <v>0</v>
      </c>
      <c r="O10" s="167">
        <f t="shared" si="3"/>
        <v>0</v>
      </c>
      <c r="P10" s="168">
        <f t="shared" si="4"/>
        <v>10521</v>
      </c>
      <c r="Q10" s="179">
        <v>0.2</v>
      </c>
      <c r="R10" s="169">
        <f>SUMIF('数据-汇总表'!C$19:C$36,A10,'数据-汇总表'!R$19:R$36)</f>
        <v>6225.5599999999995</v>
      </c>
      <c r="S10" s="127">
        <f>IF('数据-汇总表'!$I$17="按面积比例",SUMIF('数据-汇总表'!C$19:C$36,A10,'数据-汇总表'!K$19:K$36),SUMIF('数据-汇总表'!C$19:C$36,A10,'数据-汇总表'!N$19:N$36))</f>
        <v>18.12</v>
      </c>
      <c r="T10" s="2213">
        <f t="shared" si="5"/>
        <v>5</v>
      </c>
      <c r="U10" s="3118"/>
      <c r="V10" s="3119"/>
      <c r="W10" s="3119"/>
      <c r="X10" s="2301"/>
      <c r="Y10" s="170"/>
      <c r="Z10" s="171"/>
      <c r="AA10" s="166"/>
      <c r="AB10" s="166"/>
      <c r="AC10" s="2304"/>
      <c r="AD10" s="172"/>
      <c r="AE10" s="951">
        <f t="shared" ca="1" si="6"/>
        <v>0</v>
      </c>
      <c r="AF10" s="133"/>
      <c r="AG10" s="1192">
        <f t="shared" si="7"/>
        <v>0</v>
      </c>
      <c r="AH10" s="174"/>
      <c r="AI10" s="3123"/>
      <c r="AJ10" s="174"/>
      <c r="AK10" s="175">
        <v>2.5000000000000001E-2</v>
      </c>
      <c r="AL10" s="3176">
        <v>2.5000000000000001E-3</v>
      </c>
      <c r="AM10" s="3177">
        <v>0.02</v>
      </c>
      <c r="AN10" s="3125"/>
      <c r="AO10" s="1975"/>
      <c r="AP10" s="1183">
        <f t="shared" si="8"/>
        <v>0.89400000000000002</v>
      </c>
      <c r="AQ10" s="1975"/>
      <c r="AR10" s="1975"/>
      <c r="AS10" s="1975"/>
      <c r="AT10" s="1975"/>
      <c r="AU10" s="1975"/>
      <c r="AV10" s="1975"/>
      <c r="AW10" s="1975"/>
      <c r="AX10" s="1975"/>
      <c r="AY10" s="1975"/>
      <c r="AZ10" s="1975"/>
      <c r="BA10" s="1975"/>
      <c r="BB10" s="1975"/>
      <c r="BC10" s="1975"/>
      <c r="BD10" s="1975"/>
      <c r="BE10" s="1975"/>
      <c r="BF10" s="1975"/>
      <c r="BG10" s="1975"/>
      <c r="BH10" s="1975"/>
      <c r="BI10" s="1975"/>
      <c r="BJ10" s="1975"/>
      <c r="BK10" s="1975"/>
      <c r="BL10" s="1975"/>
      <c r="BM10" s="1975"/>
      <c r="BN10" s="1975"/>
      <c r="BO10" s="1975"/>
      <c r="BP10" s="1975"/>
      <c r="BQ10" s="1975"/>
      <c r="BR10" s="1975"/>
      <c r="BS10" s="1975"/>
      <c r="BT10" s="1975"/>
      <c r="BU10" s="1975"/>
      <c r="BV10" s="1975"/>
      <c r="BW10" s="1975"/>
      <c r="BX10" s="1975"/>
      <c r="BY10" s="1975"/>
      <c r="BZ10" s="1975"/>
      <c r="CA10" s="1975"/>
      <c r="CB10" s="1975"/>
      <c r="CC10" s="1975"/>
      <c r="CD10" s="1975"/>
      <c r="CE10" s="1975"/>
    </row>
    <row r="11" spans="1:83" s="1185" customFormat="1" ht="14.25">
      <c r="A11" s="2282" t="str">
        <f>'数据-汇总表'!C24</f>
        <v>地下商业2层</v>
      </c>
      <c r="B11" s="2317" t="str">
        <f t="shared" si="1"/>
        <v>经营性</v>
      </c>
      <c r="C11" s="3114" t="s">
        <v>1886</v>
      </c>
      <c r="D11" s="2288">
        <f>SUMIF(项目基本情况!D$15:I$15,C11,项目基本情况!D$18:I$18)</f>
        <v>40</v>
      </c>
      <c r="E11" s="2289">
        <f>IF(B11="","",SUMIF(项目基本情况!D$15:I$15,C11,项目基本情况!D$17:I$17))</f>
        <v>56929</v>
      </c>
      <c r="F11" s="164">
        <f>SUMIF(项目基本情况!D$15:I$15,C11,项目基本情况!D$19:I$19)</f>
        <v>38.44</v>
      </c>
      <c r="G11" s="165">
        <f t="shared" si="2"/>
        <v>0.99</v>
      </c>
      <c r="H11" s="179">
        <v>0.06</v>
      </c>
      <c r="I11" s="179">
        <v>6.5000000000000002E-2</v>
      </c>
      <c r="J11" s="179">
        <v>8.5000000000000006E-2</v>
      </c>
      <c r="K11" s="169">
        <f>SUMIF('数据-汇总表'!C$19:C$36,'数据-取费表'!A11,'数据-汇总表'!E$19:E$36)</f>
        <v>27687.38</v>
      </c>
      <c r="L11" s="3174">
        <v>3800</v>
      </c>
      <c r="M11" s="167">
        <f t="shared" si="0"/>
        <v>10521</v>
      </c>
      <c r="N11" s="3117">
        <v>0</v>
      </c>
      <c r="O11" s="167">
        <f t="shared" si="3"/>
        <v>0</v>
      </c>
      <c r="P11" s="168">
        <f t="shared" si="4"/>
        <v>10521</v>
      </c>
      <c r="Q11" s="179">
        <v>0.2</v>
      </c>
      <c r="R11" s="169">
        <f>SUMIF('数据-汇总表'!C$19:C$36,A11,'数据-汇总表'!R$19:R$36)</f>
        <v>6225.5599999999995</v>
      </c>
      <c r="S11" s="127">
        <f>IF('数据-汇总表'!$I$17="按面积比例",SUMIF('数据-汇总表'!C$19:C$36,A11,'数据-汇总表'!K$19:K$36),SUMIF('数据-汇总表'!C$19:C$36,A11,'数据-汇总表'!N$19:N$36))</f>
        <v>18.12</v>
      </c>
      <c r="T11" s="2213">
        <f t="shared" si="5"/>
        <v>5</v>
      </c>
      <c r="U11" s="3118"/>
      <c r="V11" s="3119"/>
      <c r="W11" s="3119"/>
      <c r="X11" s="2304"/>
      <c r="Y11" s="170"/>
      <c r="Z11" s="178"/>
      <c r="AA11" s="166"/>
      <c r="AB11" s="166"/>
      <c r="AC11" s="2304"/>
      <c r="AD11" s="172"/>
      <c r="AE11" s="951">
        <f t="shared" ca="1" si="6"/>
        <v>0</v>
      </c>
      <c r="AF11" s="133"/>
      <c r="AG11" s="1192">
        <f t="shared" si="7"/>
        <v>0</v>
      </c>
      <c r="AH11" s="174"/>
      <c r="AI11" s="3123"/>
      <c r="AJ11" s="174"/>
      <c r="AK11" s="175">
        <v>2.5000000000000001E-2</v>
      </c>
      <c r="AL11" s="3176">
        <v>2.5000000000000001E-3</v>
      </c>
      <c r="AM11" s="3177">
        <v>0.02</v>
      </c>
      <c r="AN11" s="3125"/>
      <c r="AO11" s="1975"/>
      <c r="AP11" s="1183">
        <f t="shared" si="8"/>
        <v>0.89400000000000002</v>
      </c>
      <c r="AQ11" s="1975"/>
      <c r="AR11" s="1975"/>
      <c r="AS11" s="1975"/>
      <c r="AT11" s="1975"/>
      <c r="AU11" s="1975"/>
      <c r="AV11" s="1975"/>
      <c r="AW11" s="1975"/>
      <c r="AX11" s="1975"/>
      <c r="AY11" s="1975"/>
      <c r="AZ11" s="1975"/>
      <c r="BA11" s="1975"/>
      <c r="BB11" s="1975"/>
      <c r="BC11" s="1975"/>
      <c r="BD11" s="1975"/>
      <c r="BE11" s="1975"/>
      <c r="BF11" s="1975"/>
      <c r="BG11" s="1975"/>
      <c r="BH11" s="1975"/>
      <c r="BI11" s="1975"/>
      <c r="BJ11" s="1975"/>
      <c r="BK11" s="1975"/>
      <c r="BL11" s="1975"/>
      <c r="BM11" s="1975"/>
      <c r="BN11" s="1975"/>
      <c r="BO11" s="1975"/>
      <c r="BP11" s="1975"/>
      <c r="BQ11" s="1975"/>
      <c r="BR11" s="1975"/>
      <c r="BS11" s="1975"/>
      <c r="BT11" s="1975"/>
      <c r="BU11" s="1975"/>
      <c r="BV11" s="1975"/>
      <c r="BW11" s="1975"/>
      <c r="BX11" s="1975"/>
      <c r="BY11" s="1975"/>
      <c r="BZ11" s="1975"/>
      <c r="CA11" s="1975"/>
      <c r="CB11" s="1975"/>
      <c r="CC11" s="1975"/>
      <c r="CD11" s="1975"/>
      <c r="CE11" s="1975"/>
    </row>
    <row r="12" spans="1:83" s="1185" customFormat="1" ht="14.25">
      <c r="A12" s="2282" t="str">
        <f>'数据-汇总表'!C25</f>
        <v>地下商业3层</v>
      </c>
      <c r="B12" s="2317" t="str">
        <f t="shared" si="1"/>
        <v>经营性</v>
      </c>
      <c r="C12" s="3114" t="s">
        <v>1886</v>
      </c>
      <c r="D12" s="2288">
        <f>SUMIF(项目基本情况!D$15:I$15,C12,项目基本情况!D$18:I$18)</f>
        <v>40</v>
      </c>
      <c r="E12" s="2289">
        <f>IF(B12="","",SUMIF(项目基本情况!D$15:I$15,C12,项目基本情况!D$17:I$17))</f>
        <v>56929</v>
      </c>
      <c r="F12" s="164">
        <f>SUMIF(项目基本情况!D$15:I$15,C12,项目基本情况!D$19:I$19)</f>
        <v>38.44</v>
      </c>
      <c r="G12" s="165">
        <f>IF(ISERROR(ROUND(POWER(1+H12,D12-F12)*(POWER(1+H12,F12)-1)/(POWER(1+H12,D12)-1),3)),0,ROUND(POWER(1+H12,D12-F12)*(POWER(1+H12,F12)-1)/(POWER(1+H12,D12)-1),3))</f>
        <v>0.99</v>
      </c>
      <c r="H12" s="179">
        <v>0.06</v>
      </c>
      <c r="I12" s="179">
        <v>6.5000000000000002E-2</v>
      </c>
      <c r="J12" s="179">
        <v>8.5000000000000006E-2</v>
      </c>
      <c r="K12" s="169">
        <f>SUMIF('数据-汇总表'!C$19:C$36,'数据-取费表'!A12,'数据-汇总表'!E$19:E$36)</f>
        <v>27687.379999999994</v>
      </c>
      <c r="L12" s="3174">
        <v>3800</v>
      </c>
      <c r="M12" s="167">
        <f t="shared" si="0"/>
        <v>10521</v>
      </c>
      <c r="N12" s="3117">
        <v>0</v>
      </c>
      <c r="O12" s="167">
        <f t="shared" si="3"/>
        <v>0</v>
      </c>
      <c r="P12" s="168">
        <f t="shared" si="4"/>
        <v>10521</v>
      </c>
      <c r="Q12" s="179">
        <v>0.2</v>
      </c>
      <c r="R12" s="169">
        <f>SUMIF('数据-汇总表'!C$19:C$36,A12,'数据-汇总表'!R$19:R$36)</f>
        <v>6225.5599999999995</v>
      </c>
      <c r="S12" s="127">
        <f>IF('数据-汇总表'!$I$17="按面积比例",SUMIF('数据-汇总表'!C$19:C$36,A12,'数据-汇总表'!K$19:K$36),SUMIF('数据-汇总表'!C$19:C$36,A12,'数据-汇总表'!N$19:N$36))</f>
        <v>18.12</v>
      </c>
      <c r="T12" s="2213">
        <f t="shared" si="5"/>
        <v>5</v>
      </c>
      <c r="U12" s="3118"/>
      <c r="V12" s="3119"/>
      <c r="W12" s="3119"/>
      <c r="X12" s="2304"/>
      <c r="Y12" s="170"/>
      <c r="Z12" s="178"/>
      <c r="AA12" s="166"/>
      <c r="AB12" s="166"/>
      <c r="AC12" s="2304"/>
      <c r="AD12" s="172"/>
      <c r="AE12" s="951">
        <f t="shared" ca="1" si="6"/>
        <v>0</v>
      </c>
      <c r="AF12" s="133"/>
      <c r="AG12" s="1192">
        <f t="shared" si="7"/>
        <v>0</v>
      </c>
      <c r="AH12" s="174"/>
      <c r="AI12" s="3123"/>
      <c r="AJ12" s="174"/>
      <c r="AK12" s="175">
        <v>2.5000000000000001E-2</v>
      </c>
      <c r="AL12" s="3176">
        <v>2.5000000000000001E-3</v>
      </c>
      <c r="AM12" s="3177">
        <v>0.02</v>
      </c>
      <c r="AN12" s="3125"/>
      <c r="AO12" s="1975"/>
      <c r="AP12" s="1183">
        <f t="shared" si="8"/>
        <v>0.89400000000000002</v>
      </c>
      <c r="AQ12" s="1975"/>
      <c r="AR12" s="1975"/>
      <c r="AS12" s="1975"/>
      <c r="AT12" s="1975"/>
      <c r="AU12" s="1975"/>
      <c r="AV12" s="1975"/>
      <c r="AW12" s="1975"/>
      <c r="AX12" s="1975"/>
      <c r="AY12" s="1975"/>
      <c r="AZ12" s="1975"/>
      <c r="BA12" s="1975"/>
      <c r="BB12" s="1975"/>
      <c r="BC12" s="1975"/>
      <c r="BD12" s="1975"/>
      <c r="BE12" s="1975"/>
      <c r="BF12" s="1975"/>
      <c r="BG12" s="1975"/>
      <c r="BH12" s="1975"/>
      <c r="BI12" s="1975"/>
      <c r="BJ12" s="1975"/>
      <c r="BK12" s="1975"/>
      <c r="BL12" s="1975"/>
      <c r="BM12" s="1975"/>
      <c r="BN12" s="1975"/>
      <c r="BO12" s="1975"/>
      <c r="BP12" s="1975"/>
      <c r="BQ12" s="1975"/>
      <c r="BR12" s="1975"/>
      <c r="BS12" s="1975"/>
      <c r="BT12" s="1975"/>
      <c r="BU12" s="1975"/>
      <c r="BV12" s="1975"/>
      <c r="BW12" s="1975"/>
      <c r="BX12" s="1975"/>
      <c r="BY12" s="1975"/>
      <c r="BZ12" s="1975"/>
      <c r="CA12" s="1975"/>
      <c r="CB12" s="1975"/>
      <c r="CC12" s="1975"/>
      <c r="CD12" s="1975"/>
      <c r="CE12" s="1975"/>
    </row>
    <row r="13" spans="1:83" s="1185" customFormat="1" ht="14.25">
      <c r="A13" s="2282" t="str">
        <f>'数据-汇总表'!C26</f>
        <v>限价房</v>
      </c>
      <c r="B13" s="2317" t="str">
        <f t="shared" si="1"/>
        <v>经营性</v>
      </c>
      <c r="C13" s="3114" t="s">
        <v>1117</v>
      </c>
      <c r="D13" s="2288">
        <f>SUMIF(项目基本情况!D$15:I$15,C13,项目基本情况!D$18:I$18)</f>
        <v>70</v>
      </c>
      <c r="E13" s="2289">
        <f>IF(B13="","",SUMIF(项目基本情况!D$15:I$15,C13,项目基本情况!D$17:I$17))</f>
        <v>67887</v>
      </c>
      <c r="F13" s="164">
        <f>SUMIF(项目基本情况!D$15:I$15,C13,项目基本情况!D$19:I$19)</f>
        <v>68.459999999999994</v>
      </c>
      <c r="G13" s="165">
        <f t="shared" ref="G13:G16" si="9">IF(ISERROR(ROUND(POWER(1+H13,D13-F13)*(POWER(1+H13,F13)-1)/(POWER(1+H13,D13)-1),3)),0,ROUND(POWER(1+H13,D13-F13)*(POWER(1+H13,F13)-1)/(POWER(1+H13,D13)-1),3))</f>
        <v>0.997</v>
      </c>
      <c r="H13" s="3115">
        <v>4.4999999999999998E-2</v>
      </c>
      <c r="I13" s="3115">
        <v>0.05</v>
      </c>
      <c r="J13" s="179">
        <v>8.5000000000000006E-2</v>
      </c>
      <c r="K13" s="169">
        <f>SUMIF('数据-汇总表'!C$19:C$36,'数据-取费表'!A13,'数据-汇总表'!E$19:E$36)</f>
        <v>49000</v>
      </c>
      <c r="L13" s="3175">
        <v>2200</v>
      </c>
      <c r="M13" s="167">
        <f t="shared" si="0"/>
        <v>10780</v>
      </c>
      <c r="N13" s="3117">
        <v>0</v>
      </c>
      <c r="O13" s="167">
        <f t="shared" si="3"/>
        <v>0</v>
      </c>
      <c r="P13" s="168">
        <f t="shared" si="4"/>
        <v>10780</v>
      </c>
      <c r="Q13" s="179">
        <v>0.1</v>
      </c>
      <c r="R13" s="169">
        <f>SUMIF('数据-汇总表'!C$19:C$36,A13,'数据-汇总表'!R$19:R$36)</f>
        <v>11017.75</v>
      </c>
      <c r="S13" s="127">
        <f>IF('数据-汇总表'!$I$17="按面积比例",SUMIF('数据-汇总表'!C$19:C$36,A13,'数据-汇总表'!K$19:K$36),SUMIF('数据-汇总表'!C$19:C$36,A13,'数据-汇总表'!N$19:N$36))</f>
        <v>32.07</v>
      </c>
      <c r="T13" s="2213">
        <f t="shared" si="5"/>
        <v>8</v>
      </c>
      <c r="U13" s="3118"/>
      <c r="V13" s="3119"/>
      <c r="W13" s="3119"/>
      <c r="X13" s="2304"/>
      <c r="Y13" s="170"/>
      <c r="Z13" s="178"/>
      <c r="AA13" s="166"/>
      <c r="AB13" s="166"/>
      <c r="AC13" s="2304"/>
      <c r="AD13" s="172"/>
      <c r="AE13" s="951">
        <f t="shared" ca="1" si="6"/>
        <v>0</v>
      </c>
      <c r="AF13" s="3057"/>
      <c r="AG13" s="1192">
        <f t="shared" si="7"/>
        <v>0</v>
      </c>
      <c r="AH13" s="174"/>
      <c r="AI13" s="3123"/>
      <c r="AJ13" s="174"/>
      <c r="AK13" s="175">
        <v>1.4999999999999999E-2</v>
      </c>
      <c r="AL13" s="3176">
        <v>1.5E-3</v>
      </c>
      <c r="AM13" s="3177">
        <v>0.01</v>
      </c>
      <c r="AN13" s="3125"/>
      <c r="AO13" s="1975"/>
      <c r="AP13" s="1183"/>
      <c r="AQ13" s="1975"/>
      <c r="AR13" s="1975"/>
      <c r="AS13" s="1975"/>
      <c r="AT13" s="1975"/>
      <c r="AU13" s="1975"/>
      <c r="AV13" s="1975"/>
      <c r="AW13" s="1975"/>
      <c r="AX13" s="1975"/>
      <c r="AY13" s="1975"/>
      <c r="AZ13" s="1975"/>
      <c r="BA13" s="1975"/>
      <c r="BB13" s="1975"/>
      <c r="BC13" s="1975"/>
      <c r="BD13" s="1975"/>
      <c r="BE13" s="1975"/>
      <c r="BF13" s="1975"/>
      <c r="BG13" s="1975"/>
      <c r="BH13" s="1975"/>
      <c r="BI13" s="1975"/>
      <c r="BJ13" s="1975"/>
      <c r="BK13" s="1975"/>
      <c r="BL13" s="1975"/>
      <c r="BM13" s="1975"/>
      <c r="BN13" s="1975"/>
      <c r="BO13" s="1975"/>
      <c r="BP13" s="1975"/>
      <c r="BQ13" s="1975"/>
      <c r="BR13" s="1975"/>
      <c r="BS13" s="1975"/>
      <c r="BT13" s="1975"/>
      <c r="BU13" s="1975"/>
      <c r="BV13" s="1975"/>
      <c r="BW13" s="1975"/>
      <c r="BX13" s="1975"/>
      <c r="BY13" s="1975"/>
      <c r="BZ13" s="1975"/>
      <c r="CA13" s="1975"/>
      <c r="CB13" s="1975"/>
      <c r="CC13" s="1975"/>
      <c r="CD13" s="1975"/>
      <c r="CE13" s="1975"/>
    </row>
    <row r="14" spans="1:83" s="1185" customFormat="1" ht="14.25">
      <c r="A14" s="2282" t="str">
        <f>'数据-汇总表'!C27</f>
        <v>公租房</v>
      </c>
      <c r="B14" s="2317" t="str">
        <f t="shared" si="1"/>
        <v>经营性</v>
      </c>
      <c r="C14" s="3114" t="s">
        <v>1117</v>
      </c>
      <c r="D14" s="2288">
        <f>SUMIF(项目基本情况!D$15:I$15,C14,项目基本情况!D$18:I$18)</f>
        <v>70</v>
      </c>
      <c r="E14" s="2289">
        <f>IF(B14="","",SUMIF(项目基本情况!D$15:I$15,C14,项目基本情况!D$17:I$17))</f>
        <v>67887</v>
      </c>
      <c r="F14" s="164">
        <f>SUMIF(项目基本情况!D$15:I$15,C14,项目基本情况!D$19:I$19)</f>
        <v>68.459999999999994</v>
      </c>
      <c r="G14" s="165">
        <f t="shared" si="9"/>
        <v>0.997</v>
      </c>
      <c r="H14" s="3115">
        <v>4.4999999999999998E-2</v>
      </c>
      <c r="I14" s="3115">
        <v>0.05</v>
      </c>
      <c r="J14" s="179">
        <v>8.5000000000000006E-2</v>
      </c>
      <c r="K14" s="169">
        <f>SUMIF('数据-汇总表'!C$19:C$36,'数据-取费表'!A14,'数据-汇总表'!E$19:E$36)</f>
        <v>44822</v>
      </c>
      <c r="L14" s="3174">
        <v>2200</v>
      </c>
      <c r="M14" s="167">
        <f t="shared" si="0"/>
        <v>9861</v>
      </c>
      <c r="N14" s="3117">
        <v>0</v>
      </c>
      <c r="O14" s="167">
        <f t="shared" si="3"/>
        <v>0</v>
      </c>
      <c r="P14" s="168">
        <f t="shared" si="4"/>
        <v>9861</v>
      </c>
      <c r="Q14" s="179">
        <v>0.03</v>
      </c>
      <c r="R14" s="169">
        <f>SUMIF('数据-汇总表'!C$19:C$36,A14,'数据-汇总表'!R$19:R$36)</f>
        <v>10078.31</v>
      </c>
      <c r="S14" s="127">
        <f>IF('数据-汇总表'!$I$17="按面积比例",SUMIF('数据-汇总表'!C$19:C$36,A14,'数据-汇总表'!K$19:K$36),SUMIF('数据-汇总表'!C$19:C$36,A14,'数据-汇总表'!N$19:N$36))</f>
        <v>29.33</v>
      </c>
      <c r="T14" s="2213">
        <f t="shared" si="5"/>
        <v>7</v>
      </c>
      <c r="U14" s="3118"/>
      <c r="V14" s="3119"/>
      <c r="W14" s="3119"/>
      <c r="X14" s="2304"/>
      <c r="Y14" s="170"/>
      <c r="Z14" s="178"/>
      <c r="AA14" s="166"/>
      <c r="AB14" s="166"/>
      <c r="AC14" s="2304"/>
      <c r="AD14" s="172"/>
      <c r="AE14" s="951">
        <f t="shared" ca="1" si="6"/>
        <v>0</v>
      </c>
      <c r="AF14" s="3057"/>
      <c r="AG14" s="1192">
        <f t="shared" si="7"/>
        <v>0</v>
      </c>
      <c r="AH14" s="174"/>
      <c r="AI14" s="3123"/>
      <c r="AJ14" s="174"/>
      <c r="AK14" s="175">
        <v>1.4999999999999999E-2</v>
      </c>
      <c r="AL14" s="3176">
        <v>1.5E-3</v>
      </c>
      <c r="AM14" s="3177">
        <v>0.01</v>
      </c>
      <c r="AN14" s="3125"/>
      <c r="AO14" s="1975"/>
      <c r="AP14" s="1183"/>
      <c r="AQ14" s="1975"/>
      <c r="AR14" s="1975"/>
      <c r="AS14" s="1975"/>
      <c r="AT14" s="1975"/>
      <c r="AU14" s="1975"/>
      <c r="AV14" s="1975"/>
      <c r="AW14" s="1975"/>
      <c r="AX14" s="1975"/>
      <c r="AY14" s="1975"/>
      <c r="AZ14" s="1975"/>
      <c r="BA14" s="1975"/>
      <c r="BB14" s="1975"/>
      <c r="BC14" s="1975"/>
      <c r="BD14" s="1975"/>
      <c r="BE14" s="1975"/>
      <c r="BF14" s="1975"/>
      <c r="BG14" s="1975"/>
      <c r="BH14" s="1975"/>
      <c r="BI14" s="1975"/>
      <c r="BJ14" s="1975"/>
      <c r="BK14" s="1975"/>
      <c r="BL14" s="1975"/>
      <c r="BM14" s="1975"/>
      <c r="BN14" s="1975"/>
      <c r="BO14" s="1975"/>
      <c r="BP14" s="1975"/>
      <c r="BQ14" s="1975"/>
      <c r="BR14" s="1975"/>
      <c r="BS14" s="1975"/>
      <c r="BT14" s="1975"/>
      <c r="BU14" s="1975"/>
      <c r="BV14" s="1975"/>
      <c r="BW14" s="1975"/>
      <c r="BX14" s="1975"/>
      <c r="BY14" s="1975"/>
      <c r="BZ14" s="1975"/>
      <c r="CA14" s="1975"/>
      <c r="CB14" s="1975"/>
      <c r="CC14" s="1975"/>
      <c r="CD14" s="1975"/>
      <c r="CE14" s="1975"/>
    </row>
    <row r="15" spans="1:83" s="1185" customFormat="1" ht="14.25">
      <c r="A15" s="2282" t="str">
        <f>'数据-汇总表'!C28</f>
        <v>地下车库</v>
      </c>
      <c r="B15" s="2317" t="str">
        <f t="shared" si="1"/>
        <v>经营性</v>
      </c>
      <c r="C15" s="3114" t="s">
        <v>1888</v>
      </c>
      <c r="D15" s="2288">
        <f>SUMIF(项目基本情况!D$15:I$15,C15,项目基本情况!D$18:I$18)</f>
        <v>50</v>
      </c>
      <c r="E15" s="2289">
        <f>IF(B15="","",SUMIF(项目基本情况!D$15:I$15,C15,项目基本情况!D$17:I$17))</f>
        <v>60582</v>
      </c>
      <c r="F15" s="164">
        <f>SUMIF(项目基本情况!D$15:I$15,C15,项目基本情况!D$19:I$19)</f>
        <v>48.44</v>
      </c>
      <c r="G15" s="165">
        <f t="shared" si="9"/>
        <v>0.99199999999999999</v>
      </c>
      <c r="H15" s="3116">
        <v>0.05</v>
      </c>
      <c r="I15" s="3116">
        <v>5.5E-2</v>
      </c>
      <c r="J15" s="179">
        <v>8.5000000000000006E-2</v>
      </c>
      <c r="K15" s="169">
        <f>SUMIF('数据-汇总表'!C$19:C$36,'数据-取费表'!A15,'数据-汇总表'!E$19:E$36)</f>
        <v>95982.26999999999</v>
      </c>
      <c r="L15" s="3174">
        <v>2500</v>
      </c>
      <c r="M15" s="167">
        <f t="shared" si="0"/>
        <v>23996</v>
      </c>
      <c r="N15" s="3117">
        <v>0</v>
      </c>
      <c r="O15" s="167">
        <f t="shared" si="3"/>
        <v>0</v>
      </c>
      <c r="P15" s="168">
        <f t="shared" si="4"/>
        <v>23996</v>
      </c>
      <c r="Q15" s="179">
        <v>0.05</v>
      </c>
      <c r="R15" s="169">
        <f>SUMIF('数据-汇总表'!C$19:C$36,A15,'数据-汇总表'!R$19:R$36)</f>
        <v>21581.79</v>
      </c>
      <c r="S15" s="127">
        <f>IF('数据-汇总表'!$I$17="按面积比例",SUMIF('数据-汇总表'!C$19:C$36,A15,'数据-汇总表'!K$19:K$36),SUMIF('数据-汇总表'!C$19:C$36,A15,'数据-汇总表'!N$19:N$36))</f>
        <v>62.81</v>
      </c>
      <c r="T15" s="2213">
        <f t="shared" si="5"/>
        <v>16</v>
      </c>
      <c r="U15" s="3120"/>
      <c r="V15" s="3121"/>
      <c r="W15" s="3121"/>
      <c r="X15" s="2304"/>
      <c r="Y15" s="170"/>
      <c r="Z15" s="178"/>
      <c r="AA15" s="166"/>
      <c r="AB15" s="166"/>
      <c r="AC15" s="2304"/>
      <c r="AD15" s="172"/>
      <c r="AE15" s="951">
        <f t="shared" ca="1" si="6"/>
        <v>0</v>
      </c>
      <c r="AF15" s="3057"/>
      <c r="AG15" s="1192">
        <f t="shared" si="7"/>
        <v>0</v>
      </c>
      <c r="AH15" s="174">
        <f>ROUNDDOWN(K15/35,0)</f>
        <v>2742</v>
      </c>
      <c r="AI15" s="3123"/>
      <c r="AJ15" s="174"/>
      <c r="AK15" s="175">
        <v>1.4999999999999999E-2</v>
      </c>
      <c r="AL15" s="3176">
        <v>1.5E-3</v>
      </c>
      <c r="AM15" s="3177">
        <v>0.01</v>
      </c>
      <c r="AN15" s="3125"/>
      <c r="AO15" s="1975"/>
      <c r="AP15" s="1183"/>
      <c r="AQ15" s="1975"/>
      <c r="AR15" s="1975"/>
      <c r="AS15" s="1975"/>
      <c r="AT15" s="1975"/>
      <c r="AU15" s="1975"/>
      <c r="AV15" s="1975"/>
      <c r="AW15" s="1975"/>
      <c r="AX15" s="1975"/>
      <c r="AY15" s="1975"/>
      <c r="AZ15" s="1975"/>
      <c r="BA15" s="1975"/>
      <c r="BB15" s="1975"/>
      <c r="BC15" s="1975"/>
      <c r="BD15" s="1975"/>
      <c r="BE15" s="1975"/>
      <c r="BF15" s="1975"/>
      <c r="BG15" s="1975"/>
      <c r="BH15" s="1975"/>
      <c r="BI15" s="1975"/>
      <c r="BJ15" s="1975"/>
      <c r="BK15" s="1975"/>
      <c r="BL15" s="1975"/>
      <c r="BM15" s="1975"/>
      <c r="BN15" s="1975"/>
      <c r="BO15" s="1975"/>
      <c r="BP15" s="1975"/>
      <c r="BQ15" s="1975"/>
      <c r="BR15" s="1975"/>
      <c r="BS15" s="1975"/>
      <c r="BT15" s="1975"/>
      <c r="BU15" s="1975"/>
      <c r="BV15" s="1975"/>
      <c r="BW15" s="1975"/>
      <c r="BX15" s="1975"/>
      <c r="BY15" s="1975"/>
      <c r="BZ15" s="1975"/>
      <c r="CA15" s="1975"/>
      <c r="CB15" s="1975"/>
      <c r="CC15" s="1975"/>
      <c r="CD15" s="1975"/>
      <c r="CE15" s="1975"/>
    </row>
    <row r="16" spans="1:83" s="1185" customFormat="1" ht="14.25">
      <c r="A16" s="2282" t="str">
        <f>'数据-汇总表'!C29</f>
        <v>地上办公</v>
      </c>
      <c r="B16" s="2317" t="str">
        <f t="shared" si="1"/>
        <v>经营性</v>
      </c>
      <c r="C16" s="3114" t="s">
        <v>1887</v>
      </c>
      <c r="D16" s="2288">
        <f>SUMIF(项目基本情况!D$15:I$15,C16,项目基本情况!D$18:I$18)</f>
        <v>50</v>
      </c>
      <c r="E16" s="2289">
        <f>IF(B16="","",SUMIF(项目基本情况!D$15:I$15,C16,项目基本情况!D$17:I$17))</f>
        <v>60582</v>
      </c>
      <c r="F16" s="164">
        <f>SUMIF(项目基本情况!D$15:I$15,C16,项目基本情况!D$19:I$19)</f>
        <v>48.44</v>
      </c>
      <c r="G16" s="165">
        <f t="shared" si="9"/>
        <v>0.99399999999999999</v>
      </c>
      <c r="H16" s="3116">
        <v>5.5E-2</v>
      </c>
      <c r="I16" s="3116">
        <v>0.06</v>
      </c>
      <c r="J16" s="179">
        <v>8.5000000000000006E-2</v>
      </c>
      <c r="K16" s="169">
        <f>SUMIF('数据-汇总表'!C$19:C$36,'数据-取费表'!A16,'数据-汇总表'!E$19:E$36)</f>
        <v>50805.77</v>
      </c>
      <c r="L16" s="3174">
        <v>3800</v>
      </c>
      <c r="M16" s="167">
        <f t="shared" si="0"/>
        <v>19306</v>
      </c>
      <c r="N16" s="3117">
        <v>0</v>
      </c>
      <c r="O16" s="167">
        <f t="shared" si="3"/>
        <v>0</v>
      </c>
      <c r="P16" s="168">
        <f t="shared" si="4"/>
        <v>19306</v>
      </c>
      <c r="Q16" s="179">
        <v>0.15</v>
      </c>
      <c r="R16" s="169">
        <f>SUMIF('数据-汇总表'!C$19:C$36,A16,'数据-汇总表'!R$19:R$36)</f>
        <v>11423.769999999999</v>
      </c>
      <c r="S16" s="127">
        <f>IF('数据-汇总表'!$I$17="按面积比例",SUMIF('数据-汇总表'!C$19:C$36,A16,'数据-汇总表'!K$19:K$36),SUMIF('数据-汇总表'!C$19:C$36,A16,'数据-汇总表'!N$19:N$36))</f>
        <v>33.25</v>
      </c>
      <c r="T16" s="2213">
        <f t="shared" si="5"/>
        <v>8</v>
      </c>
      <c r="U16" s="3120"/>
      <c r="V16" s="3121"/>
      <c r="W16" s="3122"/>
      <c r="X16" s="2301"/>
      <c r="Y16" s="170"/>
      <c r="Z16" s="171"/>
      <c r="AA16" s="166"/>
      <c r="AB16" s="166"/>
      <c r="AC16" s="2304"/>
      <c r="AD16" s="172"/>
      <c r="AE16" s="951">
        <f t="shared" ca="1" si="6"/>
        <v>0</v>
      </c>
      <c r="AF16" s="133"/>
      <c r="AG16" s="1192">
        <f t="shared" si="7"/>
        <v>0</v>
      </c>
      <c r="AH16" s="174"/>
      <c r="AI16" s="3123"/>
      <c r="AJ16" s="174"/>
      <c r="AK16" s="175"/>
      <c r="AL16" s="175"/>
      <c r="AM16" s="3124"/>
      <c r="AN16" s="3125"/>
      <c r="AO16" s="1975"/>
      <c r="AP16" s="1183">
        <f t="shared" si="8"/>
        <v>0.92500000000000004</v>
      </c>
      <c r="AQ16" s="1975"/>
      <c r="AR16" s="1975"/>
      <c r="AS16" s="1975"/>
      <c r="AT16" s="1975"/>
      <c r="AU16" s="1975"/>
      <c r="AV16" s="1975"/>
      <c r="AW16" s="1975"/>
      <c r="AX16" s="1975"/>
      <c r="AY16" s="1975"/>
      <c r="AZ16" s="1975"/>
      <c r="BA16" s="1975"/>
      <c r="BB16" s="1975"/>
      <c r="BC16" s="1975"/>
      <c r="BD16" s="1975"/>
      <c r="BE16" s="1975"/>
      <c r="BF16" s="1975"/>
      <c r="BG16" s="1975"/>
      <c r="BH16" s="1975"/>
      <c r="BI16" s="1975"/>
      <c r="BJ16" s="1975"/>
      <c r="BK16" s="1975"/>
      <c r="BL16" s="1975"/>
      <c r="BM16" s="1975"/>
      <c r="BN16" s="1975"/>
      <c r="BO16" s="1975"/>
      <c r="BP16" s="1975"/>
      <c r="BQ16" s="1975"/>
      <c r="BR16" s="1975"/>
      <c r="BS16" s="1975"/>
      <c r="BT16" s="1975"/>
      <c r="BU16" s="1975"/>
      <c r="BV16" s="1975"/>
      <c r="BW16" s="1975"/>
      <c r="BX16" s="1975"/>
      <c r="BY16" s="1975"/>
      <c r="BZ16" s="1975"/>
      <c r="CA16" s="1975"/>
      <c r="CB16" s="1975"/>
      <c r="CC16" s="1975"/>
      <c r="CD16" s="1975"/>
      <c r="CE16" s="1975"/>
    </row>
    <row r="17" spans="1:83" s="1185" customFormat="1" ht="14.25">
      <c r="A17" s="2283" t="s">
        <v>2548</v>
      </c>
      <c r="B17" s="2286" t="s">
        <v>1891</v>
      </c>
      <c r="C17" s="2287" t="s">
        <v>2548</v>
      </c>
      <c r="D17" s="2288"/>
      <c r="E17" s="2289"/>
      <c r="F17" s="164"/>
      <c r="G17" s="165"/>
      <c r="H17" s="2290"/>
      <c r="I17" s="2290"/>
      <c r="J17" s="2290"/>
      <c r="K17" s="169">
        <f>SUMIF('数据-汇总表'!C$19:C$36,'数据-取费表'!A17,'数据-汇总表'!E$19:E$36)</f>
        <v>331.86</v>
      </c>
      <c r="L17" s="3174">
        <v>2500</v>
      </c>
      <c r="M17" s="167">
        <f t="shared" si="0"/>
        <v>83</v>
      </c>
      <c r="N17" s="177">
        <v>0</v>
      </c>
      <c r="O17" s="167">
        <f t="shared" si="3"/>
        <v>0</v>
      </c>
      <c r="P17" s="168">
        <f t="shared" si="4"/>
        <v>83</v>
      </c>
      <c r="Q17" s="2298"/>
      <c r="R17" s="169">
        <f>SUMIF('数据-汇总表'!C$19:C$36,A17,'数据-汇总表'!R$19:R$36)</f>
        <v>0</v>
      </c>
      <c r="S17" s="127">
        <f>IF('数据-汇总表'!$I$17="按面积比例",SUMIF('数据-汇总表'!C$19:C$36,A17,'数据-汇总表'!K$19:K$36),SUMIF('数据-汇总表'!C$19:C$36,A17,'数据-汇总表'!N$19:N$36))</f>
        <v>0</v>
      </c>
      <c r="T17" s="2213">
        <f t="shared" si="5"/>
        <v>0</v>
      </c>
      <c r="U17" s="953"/>
      <c r="V17" s="2300"/>
      <c r="W17" s="2300"/>
      <c r="X17" s="2301"/>
      <c r="Y17" s="2302"/>
      <c r="Z17" s="130"/>
      <c r="AA17" s="2303"/>
      <c r="AB17" s="2303"/>
      <c r="AC17" s="2304"/>
      <c r="AD17" s="2301"/>
      <c r="AE17" s="951"/>
      <c r="AF17" s="2276"/>
      <c r="AG17" s="1192">
        <f t="shared" si="7"/>
        <v>0</v>
      </c>
      <c r="AH17" s="2276"/>
      <c r="AI17" s="1552"/>
      <c r="AJ17" s="1552"/>
      <c r="AK17" s="2305"/>
      <c r="AL17" s="2306"/>
      <c r="AM17" s="2307"/>
      <c r="AN17" s="1975"/>
      <c r="AO17" s="1975"/>
      <c r="AQ17" s="1975"/>
      <c r="AR17" s="1975"/>
      <c r="AS17" s="1975"/>
      <c r="AT17" s="1975"/>
      <c r="AU17" s="1975"/>
      <c r="AV17" s="1975"/>
      <c r="AW17" s="1975"/>
      <c r="AX17" s="1975"/>
      <c r="AY17" s="1975"/>
      <c r="AZ17" s="1975"/>
      <c r="BA17" s="1975"/>
      <c r="BB17" s="1975"/>
      <c r="BC17" s="1975"/>
      <c r="BD17" s="1975"/>
      <c r="BE17" s="1975"/>
      <c r="BF17" s="1975"/>
      <c r="BG17" s="1975"/>
      <c r="BH17" s="1975"/>
      <c r="BI17" s="1975"/>
      <c r="BJ17" s="1975"/>
      <c r="BK17" s="1975"/>
      <c r="BL17" s="1975"/>
      <c r="BM17" s="1975"/>
      <c r="BN17" s="1975"/>
      <c r="BO17" s="1975"/>
      <c r="BP17" s="1975"/>
      <c r="BQ17" s="1975"/>
      <c r="BR17" s="1975"/>
      <c r="BS17" s="1975"/>
      <c r="BT17" s="1975"/>
      <c r="BU17" s="1975"/>
      <c r="BV17" s="1975"/>
      <c r="BW17" s="1975"/>
      <c r="BX17" s="1975"/>
      <c r="BY17" s="1975"/>
      <c r="BZ17" s="1975"/>
      <c r="CA17" s="1975"/>
      <c r="CB17" s="1975"/>
      <c r="CC17" s="1975"/>
      <c r="CD17" s="1975"/>
      <c r="CE17" s="1975"/>
    </row>
    <row r="18" spans="1:83" s="1185" customFormat="1" ht="27">
      <c r="A18" s="2292" t="s">
        <v>2551</v>
      </c>
      <c r="B18" s="2286" t="s">
        <v>1891</v>
      </c>
      <c r="C18" s="2287" t="s">
        <v>2550</v>
      </c>
      <c r="D18" s="2288"/>
      <c r="E18" s="2289"/>
      <c r="F18" s="164"/>
      <c r="G18" s="165"/>
      <c r="H18" s="2290"/>
      <c r="I18" s="2290"/>
      <c r="J18" s="2290"/>
      <c r="K18" s="169">
        <f>SUMIF('数据-汇总表'!C$19:C$36,'数据-取费表'!A18,'数据-汇总表'!E$19:E$36)</f>
        <v>0</v>
      </c>
      <c r="L18" s="2296"/>
      <c r="M18" s="167"/>
      <c r="N18" s="2299"/>
      <c r="O18" s="167"/>
      <c r="P18" s="168"/>
      <c r="Q18" s="2298"/>
      <c r="R18" s="169"/>
      <c r="S18" s="127"/>
      <c r="T18" s="2297"/>
      <c r="U18" s="953"/>
      <c r="V18" s="2300"/>
      <c r="W18" s="2300"/>
      <c r="X18" s="2301"/>
      <c r="Y18" s="2302"/>
      <c r="Z18" s="130"/>
      <c r="AA18" s="2303"/>
      <c r="AB18" s="2303"/>
      <c r="AC18" s="2304"/>
      <c r="AD18" s="2301"/>
      <c r="AE18" s="951"/>
      <c r="AF18" s="2276"/>
      <c r="AG18" s="1192"/>
      <c r="AH18" s="2276"/>
      <c r="AI18" s="1552"/>
      <c r="AJ18" s="1552"/>
      <c r="AK18" s="2305"/>
      <c r="AL18" s="2306"/>
      <c r="AM18" s="2307"/>
      <c r="AN18" s="1975"/>
      <c r="AO18" s="1975"/>
      <c r="AQ18" s="1975"/>
      <c r="AR18" s="1975"/>
      <c r="AS18" s="1975"/>
      <c r="AT18" s="1975"/>
      <c r="AU18" s="1975"/>
      <c r="AV18" s="1975"/>
      <c r="AW18" s="1975"/>
      <c r="AX18" s="1975"/>
      <c r="AY18" s="1975"/>
      <c r="AZ18" s="1975"/>
      <c r="BA18" s="1975"/>
      <c r="BB18" s="1975"/>
      <c r="BC18" s="1975"/>
      <c r="BD18" s="1975"/>
      <c r="BE18" s="1975"/>
      <c r="BF18" s="1975"/>
      <c r="BG18" s="1975"/>
      <c r="BH18" s="1975"/>
      <c r="BI18" s="1975"/>
      <c r="BJ18" s="1975"/>
      <c r="BK18" s="1975"/>
      <c r="BL18" s="1975"/>
      <c r="BM18" s="1975"/>
      <c r="BN18" s="1975"/>
      <c r="BO18" s="1975"/>
      <c r="BP18" s="1975"/>
      <c r="BQ18" s="1975"/>
      <c r="BR18" s="1975"/>
      <c r="BS18" s="1975"/>
      <c r="BT18" s="1975"/>
      <c r="BU18" s="1975"/>
      <c r="BV18" s="1975"/>
      <c r="BW18" s="1975"/>
      <c r="BX18" s="1975"/>
      <c r="BY18" s="1975"/>
      <c r="BZ18" s="1975"/>
      <c r="CA18" s="1975"/>
      <c r="CB18" s="1975"/>
      <c r="CC18" s="1975"/>
      <c r="CD18" s="1975"/>
      <c r="CE18" s="1975"/>
    </row>
    <row r="19" spans="1:83" s="1185" customFormat="1" ht="15.75" thickBot="1">
      <c r="A19" s="180" t="s">
        <v>239</v>
      </c>
      <c r="B19" s="181"/>
      <c r="C19" s="182"/>
      <c r="D19" s="183"/>
      <c r="E19" s="181"/>
      <c r="F19" s="181"/>
      <c r="G19" s="184">
        <f>ROUND(SUMPRODUCT(G6:G16,K6:K16)/SUMPRODUCT((G6:G16&gt;0)*(K6:K16)),3)</f>
        <v>0.99399999999999999</v>
      </c>
      <c r="H19" s="185">
        <f>ROUND(SUMPRODUCT(H6:H16,K6:K16)/SUMPRODUCT((H6:H16&gt;0)*(K6:K16)),3)</f>
        <v>5.0999999999999997E-2</v>
      </c>
      <c r="I19" s="186"/>
      <c r="J19" s="186"/>
      <c r="K19" s="187">
        <f>SUM(K6:K18)</f>
        <v>507462.25</v>
      </c>
      <c r="L19" s="188">
        <f>ROUND(M19*10000/SUM(K6:K17),0)</f>
        <v>3267</v>
      </c>
      <c r="M19" s="188">
        <f>SUM(M6:M17)</f>
        <v>165803</v>
      </c>
      <c r="N19" s="189">
        <f>ROUND(SUMPRODUCT(M6:M17,N6:N17)/M19,3)</f>
        <v>0</v>
      </c>
      <c r="O19" s="188">
        <f>SUM(O6:O17)</f>
        <v>0</v>
      </c>
      <c r="P19" s="188">
        <f>SUM(P6:P17)</f>
        <v>165803</v>
      </c>
      <c r="Q19" s="190">
        <f>ROUND(SUMPRODUCT(Q6:Q16,K6:K16)/SUMPRODUCT((Q6:Q16&gt;0)*(K6:K16)),2)</f>
        <v>0.15</v>
      </c>
      <c r="R19" s="2291">
        <f>SUM(R6:R16)</f>
        <v>114029.21999999999</v>
      </c>
      <c r="S19" s="191">
        <f>SUM(S6:S16)</f>
        <v>331.88</v>
      </c>
      <c r="T19" s="192" t="str">
        <f>IF(SUMIF(T6:T16,"&lt;9E307")=M17,SUMIF(T6:T16,"&lt;9E307"),"有误，请检查")</f>
        <v>有误，请检查</v>
      </c>
      <c r="U19" s="193"/>
      <c r="V19" s="194"/>
      <c r="W19" s="194"/>
      <c r="X19" s="197"/>
      <c r="Y19" s="195"/>
      <c r="Z19" s="196"/>
      <c r="AA19" s="194"/>
      <c r="AB19" s="194"/>
      <c r="AC19" s="197"/>
      <c r="AD19" s="197"/>
      <c r="AE19" s="193"/>
      <c r="AF19" s="194"/>
      <c r="AG19" s="195"/>
      <c r="AH19" s="194"/>
      <c r="AI19" s="196"/>
      <c r="AJ19" s="196"/>
      <c r="AK19" s="194"/>
      <c r="AL19" s="194"/>
      <c r="AM19" s="195"/>
      <c r="AN19" s="1975"/>
      <c r="AO19" s="1975"/>
      <c r="AP19" s="1183">
        <f>ROUND(SUMPRODUCT(AP6:AP16,K6:K16)/SUMPRODUCT((AP6:AP16&gt;0)*(K6:K16)),3)</f>
        <v>0.92500000000000004</v>
      </c>
      <c r="AQ19" s="1975"/>
      <c r="AR19" s="1975"/>
      <c r="AS19" s="1975"/>
      <c r="AT19" s="1975"/>
      <c r="AU19" s="1975"/>
      <c r="AV19" s="1975"/>
      <c r="AW19" s="1975"/>
      <c r="AX19" s="1975"/>
      <c r="AY19" s="1975"/>
      <c r="AZ19" s="1975"/>
      <c r="BA19" s="1975"/>
      <c r="BB19" s="1975"/>
      <c r="BC19" s="1975"/>
      <c r="BD19" s="1975"/>
      <c r="BE19" s="1975"/>
      <c r="BF19" s="1975"/>
      <c r="BG19" s="1975"/>
      <c r="BH19" s="1975"/>
      <c r="BI19" s="1975"/>
      <c r="BJ19" s="1975"/>
      <c r="BK19" s="1975"/>
      <c r="BL19" s="1975"/>
      <c r="BM19" s="1975"/>
      <c r="BN19" s="1975"/>
      <c r="BO19" s="1975"/>
      <c r="BP19" s="1975"/>
      <c r="BQ19" s="1975"/>
      <c r="BR19" s="1975"/>
      <c r="BS19" s="1975"/>
      <c r="BT19" s="1975"/>
      <c r="BU19" s="1975"/>
      <c r="BV19" s="1975"/>
      <c r="BW19" s="1975"/>
      <c r="BX19" s="1975"/>
      <c r="BY19" s="1975"/>
      <c r="BZ19" s="1975"/>
      <c r="CA19" s="1975"/>
      <c r="CB19" s="1975"/>
      <c r="CC19" s="1975"/>
      <c r="CD19" s="1975"/>
      <c r="CE19" s="1975"/>
    </row>
    <row r="20" spans="1:83" ht="13.5" thickBot="1">
      <c r="A20" s="1193"/>
      <c r="B20" s="1181"/>
      <c r="C20" s="1964"/>
      <c r="D20" s="1965"/>
      <c r="E20" s="1965"/>
      <c r="F20" s="1964"/>
      <c r="G20" s="1964"/>
      <c r="H20" s="1964"/>
      <c r="I20" s="1964"/>
      <c r="J20" s="1964"/>
      <c r="K20" s="1966"/>
      <c r="L20" s="1966"/>
      <c r="M20" s="1964"/>
      <c r="N20" s="1964"/>
      <c r="O20" s="1964"/>
      <c r="P20" s="1964"/>
      <c r="Q20" s="1964"/>
      <c r="R20" s="1964"/>
      <c r="S20" s="1964"/>
      <c r="T20" s="1964"/>
      <c r="U20" s="1964"/>
      <c r="V20" s="1964"/>
      <c r="W20" s="1964"/>
      <c r="X20" s="1964"/>
      <c r="Y20" s="1964"/>
      <c r="Z20" s="1964"/>
      <c r="AA20" s="1964"/>
      <c r="AB20" s="1964"/>
      <c r="AC20" s="1964"/>
      <c r="AD20" s="1964"/>
      <c r="AE20" s="1964"/>
      <c r="AF20" s="1964"/>
      <c r="AG20" s="1964"/>
      <c r="AH20" s="1964"/>
      <c r="AI20" s="1964"/>
      <c r="AJ20" s="1964"/>
      <c r="AK20" s="1964"/>
      <c r="AL20" s="1964"/>
      <c r="AM20" s="1964"/>
    </row>
    <row r="21" spans="1:83" ht="15" thickBot="1">
      <c r="A21" s="141" t="s">
        <v>240</v>
      </c>
      <c r="B21" s="1183"/>
      <c r="C21" s="1967"/>
      <c r="D21" s="1968"/>
      <c r="E21" s="1967"/>
      <c r="F21" s="1967"/>
      <c r="G21" s="1967"/>
      <c r="H21" s="1967"/>
      <c r="I21" s="1967"/>
      <c r="J21" s="1967"/>
      <c r="K21" s="1966"/>
      <c r="L21" s="1966"/>
      <c r="M21" s="1964"/>
      <c r="N21" s="1964"/>
      <c r="O21" s="1964"/>
      <c r="P21" s="1964"/>
      <c r="Q21" s="1964"/>
      <c r="R21" s="1964"/>
      <c r="S21" s="1964"/>
      <c r="T21" s="1964"/>
      <c r="U21" s="1964"/>
      <c r="V21" s="1964"/>
      <c r="W21" s="1964"/>
      <c r="X21" s="1964"/>
      <c r="Y21" s="1964"/>
      <c r="Z21" s="1964"/>
      <c r="AA21" s="1964"/>
      <c r="AB21" s="1964"/>
      <c r="AC21" s="1964"/>
      <c r="AD21" s="1964"/>
      <c r="AE21" s="1964"/>
      <c r="AF21" s="1964"/>
      <c r="AG21" s="1964"/>
      <c r="AH21" s="1964"/>
      <c r="AI21" s="1964"/>
      <c r="AJ21" s="1964"/>
      <c r="AK21" s="1964"/>
      <c r="AL21" s="1964"/>
      <c r="AM21" s="1964"/>
    </row>
    <row r="22" spans="1:83" ht="14.25">
      <c r="A22" s="199" t="s">
        <v>241</v>
      </c>
      <c r="B22" s="3126">
        <v>0</v>
      </c>
      <c r="C22" s="2344" t="s">
        <v>2570</v>
      </c>
      <c r="D22" s="1968"/>
      <c r="E22" s="1967"/>
      <c r="F22" s="1967"/>
      <c r="G22" s="1967"/>
      <c r="H22" s="1967"/>
      <c r="I22" s="1967"/>
      <c r="J22" s="1967"/>
      <c r="K22" s="1966"/>
      <c r="L22" s="1966"/>
      <c r="M22" s="1964"/>
      <c r="N22" s="1964"/>
      <c r="O22" s="1964"/>
      <c r="P22" s="1964"/>
      <c r="Q22" s="1964"/>
      <c r="R22" s="1964"/>
      <c r="S22" s="1964"/>
      <c r="T22" s="1964"/>
      <c r="U22" s="1964"/>
      <c r="V22" s="1964"/>
      <c r="W22" s="1964"/>
      <c r="X22" s="1964"/>
      <c r="Y22" s="1964"/>
      <c r="Z22" s="1964"/>
      <c r="AA22" s="1964"/>
      <c r="AB22" s="1964"/>
      <c r="AC22" s="1964"/>
      <c r="AD22" s="1964"/>
      <c r="AE22" s="1964"/>
      <c r="AF22" s="1964"/>
      <c r="AG22" s="1964"/>
      <c r="AH22" s="1964"/>
      <c r="AI22" s="1964"/>
      <c r="AJ22" s="1964"/>
      <c r="AK22" s="1964"/>
      <c r="AL22" s="1964"/>
      <c r="AM22" s="1964"/>
    </row>
    <row r="23" spans="1:83" ht="14.25">
      <c r="A23" s="200" t="s">
        <v>242</v>
      </c>
      <c r="B23" s="2213">
        <v>2.5</v>
      </c>
      <c r="C23" s="2344" t="s">
        <v>2569</v>
      </c>
      <c r="D23" s="1968"/>
      <c r="E23" s="1967"/>
      <c r="F23" s="1967"/>
      <c r="G23" s="1967"/>
      <c r="H23" s="1967"/>
      <c r="I23" s="1967"/>
      <c r="J23" s="1967"/>
      <c r="K23" s="1966"/>
      <c r="L23" s="1966"/>
      <c r="M23" s="1964"/>
      <c r="N23" s="1964"/>
      <c r="O23" s="1964"/>
      <c r="P23" s="1964"/>
      <c r="Q23" s="1964"/>
      <c r="R23" s="1964"/>
      <c r="S23" s="1964"/>
      <c r="T23" s="1964"/>
      <c r="U23" s="1964"/>
      <c r="V23" s="1964"/>
      <c r="W23" s="1964"/>
      <c r="X23" s="1964"/>
      <c r="Y23" s="1964"/>
      <c r="Z23" s="1964"/>
      <c r="AA23" s="1964"/>
      <c r="AB23" s="1964"/>
      <c r="AC23" s="1964"/>
      <c r="AD23" s="1964"/>
      <c r="AE23" s="1964"/>
      <c r="AF23" s="1964"/>
      <c r="AG23" s="1964"/>
      <c r="AH23" s="1964"/>
      <c r="AI23" s="1964"/>
      <c r="AJ23" s="1964"/>
      <c r="AK23" s="1964"/>
      <c r="AL23" s="1964"/>
      <c r="AM23" s="1964"/>
    </row>
    <row r="24" spans="1:83" ht="14.25">
      <c r="A24" s="201" t="s">
        <v>243</v>
      </c>
      <c r="B24" s="2213">
        <v>0</v>
      </c>
      <c r="C24" s="1967"/>
      <c r="D24" s="1968"/>
      <c r="E24" s="1967"/>
      <c r="F24" s="1967"/>
      <c r="G24" s="1967"/>
      <c r="H24" s="1967"/>
      <c r="I24" s="1967"/>
      <c r="J24" s="1967"/>
      <c r="K24" s="1966"/>
      <c r="L24" s="1966"/>
      <c r="M24" s="1964"/>
      <c r="N24" s="1964"/>
      <c r="O24" s="1964"/>
      <c r="P24" s="1964"/>
      <c r="Q24" s="1964"/>
      <c r="R24" s="1964"/>
      <c r="S24" s="1964"/>
      <c r="T24" s="1964"/>
      <c r="U24" s="1964"/>
      <c r="V24" s="1964"/>
      <c r="W24" s="1964"/>
      <c r="X24" s="1964"/>
      <c r="Y24" s="1964"/>
      <c r="Z24" s="1964"/>
      <c r="AA24" s="1964"/>
      <c r="AB24" s="1964"/>
      <c r="AC24" s="1964"/>
      <c r="AD24" s="1964"/>
      <c r="AE24" s="1964"/>
      <c r="AF24" s="1964"/>
      <c r="AG24" s="1964"/>
      <c r="AH24" s="1964"/>
      <c r="AI24" s="1964"/>
      <c r="AJ24" s="1964"/>
      <c r="AK24" s="1964"/>
      <c r="AL24" s="1964"/>
      <c r="AM24" s="1964"/>
    </row>
    <row r="25" spans="1:83" ht="14.25">
      <c r="A25" s="200" t="s">
        <v>244</v>
      </c>
      <c r="B25" s="202">
        <f>B22+B23</f>
        <v>2.5</v>
      </c>
      <c r="C25" s="1967"/>
      <c r="D25" s="1968"/>
      <c r="E25" s="1967"/>
      <c r="F25" s="1967"/>
      <c r="G25" s="1967"/>
      <c r="H25" s="1967"/>
      <c r="I25" s="1967"/>
      <c r="J25" s="1967"/>
      <c r="K25" s="1966"/>
      <c r="L25" s="1966"/>
      <c r="M25" s="1964"/>
      <c r="N25" s="1964"/>
      <c r="O25" s="1964"/>
      <c r="P25" s="1964"/>
      <c r="Q25" s="1964"/>
      <c r="R25" s="1964"/>
      <c r="S25" s="1964"/>
      <c r="T25" s="1964"/>
      <c r="U25" s="1964"/>
      <c r="V25" s="1964"/>
      <c r="W25" s="1964"/>
      <c r="X25" s="1964"/>
      <c r="Y25" s="1964"/>
      <c r="Z25" s="1964"/>
      <c r="AA25" s="1964"/>
      <c r="AB25" s="1964"/>
      <c r="AC25" s="1964"/>
      <c r="AD25" s="1964"/>
      <c r="AE25" s="1964"/>
      <c r="AF25" s="1964"/>
      <c r="AG25" s="1964"/>
      <c r="AH25" s="1964"/>
      <c r="AI25" s="1964"/>
      <c r="AJ25" s="1964"/>
      <c r="AK25" s="1964"/>
      <c r="AL25" s="1964"/>
      <c r="AM25" s="1964"/>
    </row>
    <row r="26" spans="1:83" ht="14.25">
      <c r="A26" s="201" t="s">
        <v>245</v>
      </c>
      <c r="B26" s="202">
        <f>B22+B24</f>
        <v>0</v>
      </c>
      <c r="C26" s="1967"/>
      <c r="D26" s="1968"/>
      <c r="E26" s="1967"/>
      <c r="F26" s="1967"/>
      <c r="G26" s="1967"/>
      <c r="H26" s="1967"/>
      <c r="I26" s="1967"/>
      <c r="J26" s="1967"/>
      <c r="K26" s="1966"/>
      <c r="L26" s="1966"/>
      <c r="M26" s="1964"/>
      <c r="N26" s="1964"/>
      <c r="O26" s="1964"/>
      <c r="P26" s="1964"/>
      <c r="Q26" s="1964"/>
      <c r="R26" s="1964"/>
      <c r="S26" s="1964"/>
      <c r="T26" s="1964"/>
      <c r="U26" s="1964"/>
      <c r="V26" s="1964"/>
      <c r="W26" s="1964"/>
      <c r="X26" s="1964"/>
      <c r="Y26" s="1964"/>
      <c r="Z26" s="1964"/>
      <c r="AA26" s="1964"/>
      <c r="AB26" s="1964"/>
      <c r="AC26" s="1964"/>
      <c r="AD26" s="1964"/>
      <c r="AE26" s="1964"/>
      <c r="AF26" s="1964"/>
      <c r="AG26" s="1964"/>
      <c r="AH26" s="1964"/>
      <c r="AI26" s="1964"/>
      <c r="AJ26" s="1964"/>
      <c r="AK26" s="1964"/>
      <c r="AL26" s="1964"/>
      <c r="AM26" s="1964"/>
    </row>
    <row r="27" spans="1:83" ht="15" thickBot="1">
      <c r="A27" s="203" t="s">
        <v>246</v>
      </c>
      <c r="B27" s="204">
        <f>B23-B24</f>
        <v>2.5</v>
      </c>
      <c r="C27" s="1967"/>
      <c r="D27" s="1968"/>
      <c r="E27" s="1967"/>
      <c r="F27" s="1967"/>
      <c r="G27" s="1967"/>
      <c r="H27" s="1967"/>
      <c r="I27" s="1967"/>
      <c r="J27" s="1967"/>
      <c r="K27" s="1966"/>
      <c r="L27" s="1966"/>
      <c r="M27" s="1964"/>
      <c r="N27" s="1964"/>
      <c r="O27" s="1964"/>
      <c r="P27" s="1964"/>
      <c r="Q27" s="1964"/>
      <c r="R27" s="1964"/>
      <c r="S27" s="1964"/>
      <c r="T27" s="1964"/>
      <c r="U27" s="1964"/>
      <c r="V27" s="1964"/>
      <c r="W27" s="1964"/>
      <c r="X27" s="1964"/>
      <c r="Y27" s="1964"/>
      <c r="Z27" s="1964"/>
      <c r="AA27" s="1964"/>
      <c r="AB27" s="1964"/>
      <c r="AC27" s="1964"/>
      <c r="AD27" s="1964"/>
      <c r="AE27" s="1964"/>
      <c r="AF27" s="1964"/>
      <c r="AG27" s="1964"/>
      <c r="AH27" s="1964"/>
      <c r="AI27" s="1964"/>
      <c r="AJ27" s="1964"/>
      <c r="AK27" s="1964"/>
      <c r="AL27" s="1964"/>
      <c r="AM27" s="1964"/>
    </row>
    <row r="28" spans="1:83" ht="15" thickBot="1">
      <c r="A28" s="1186"/>
      <c r="B28" s="1183"/>
      <c r="C28" s="1967"/>
      <c r="D28" s="1968"/>
      <c r="E28" s="1967"/>
      <c r="F28" s="1967"/>
      <c r="G28" s="1967"/>
      <c r="H28" s="1967"/>
      <c r="I28" s="1967"/>
      <c r="J28" s="1967"/>
      <c r="K28" s="1966"/>
      <c r="L28" s="1966"/>
      <c r="M28" s="1964"/>
      <c r="N28" s="1964"/>
      <c r="O28" s="1964"/>
      <c r="P28" s="1964"/>
      <c r="Q28" s="1964"/>
      <c r="R28" s="1964"/>
      <c r="S28" s="1964"/>
      <c r="T28" s="1964"/>
      <c r="U28" s="1964"/>
      <c r="V28" s="1964"/>
      <c r="W28" s="1964"/>
      <c r="X28" s="1964"/>
      <c r="Y28" s="1964"/>
      <c r="Z28" s="1964"/>
      <c r="AA28" s="1964"/>
      <c r="AB28" s="1964"/>
      <c r="AC28" s="1964"/>
      <c r="AD28" s="1964"/>
      <c r="AE28" s="1964"/>
      <c r="AF28" s="1964"/>
      <c r="AG28" s="1964"/>
      <c r="AH28" s="1964"/>
      <c r="AI28" s="1964"/>
      <c r="AJ28" s="1964"/>
      <c r="AK28" s="1964"/>
      <c r="AL28" s="1964"/>
      <c r="AM28" s="1964"/>
    </row>
    <row r="29" spans="1:83" ht="15" thickBot="1">
      <c r="A29" s="140" t="s">
        <v>247</v>
      </c>
      <c r="B29" s="205" t="s">
        <v>248</v>
      </c>
      <c r="C29" s="1970" t="s">
        <v>249</v>
      </c>
      <c r="D29" s="1968"/>
      <c r="E29" s="1967"/>
      <c r="F29" s="1967"/>
      <c r="G29" s="1967"/>
      <c r="H29" s="1967"/>
      <c r="I29" s="1967"/>
      <c r="J29" s="1967"/>
      <c r="K29" s="1966"/>
      <c r="L29" s="1966"/>
      <c r="M29" s="1964"/>
      <c r="N29" s="1964"/>
      <c r="O29" s="1964"/>
      <c r="P29" s="1964"/>
      <c r="Q29" s="1964"/>
      <c r="R29" s="1964"/>
      <c r="S29" s="1964"/>
      <c r="T29" s="1964"/>
      <c r="U29" s="1964"/>
      <c r="V29" s="1964"/>
      <c r="W29" s="1964"/>
      <c r="X29" s="1964"/>
      <c r="Y29" s="1964"/>
      <c r="Z29" s="1964"/>
      <c r="AA29" s="1964"/>
      <c r="AB29" s="1964"/>
      <c r="AC29" s="1964"/>
      <c r="AD29" s="1964"/>
      <c r="AE29" s="1964"/>
      <c r="AF29" s="1964"/>
      <c r="AG29" s="1964"/>
      <c r="AH29" s="1964"/>
      <c r="AI29" s="1964"/>
      <c r="AJ29" s="1964"/>
      <c r="AK29" s="1964"/>
      <c r="AL29" s="1964"/>
      <c r="AM29" s="1964"/>
    </row>
    <row r="30" spans="1:83" s="1194" customFormat="1" ht="27.75">
      <c r="A30" s="206" t="s">
        <v>2572</v>
      </c>
      <c r="B30" s="3127">
        <v>150</v>
      </c>
      <c r="C30" s="2347" t="s">
        <v>2580</v>
      </c>
      <c r="D30" s="1971"/>
      <c r="E30" s="1969"/>
      <c r="F30" s="1969"/>
      <c r="G30" s="1967"/>
      <c r="H30" s="1967"/>
      <c r="I30" s="1967"/>
      <c r="J30" s="1967"/>
      <c r="K30" s="1966"/>
      <c r="L30" s="1966"/>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c r="AN30" s="1972"/>
      <c r="AO30" s="1972"/>
      <c r="AP30" s="1972"/>
      <c r="AQ30" s="1972"/>
      <c r="AR30" s="1972"/>
      <c r="AS30" s="1972"/>
      <c r="AT30" s="1972"/>
      <c r="AU30" s="1972"/>
      <c r="AV30" s="1972"/>
      <c r="AW30" s="1972"/>
      <c r="AX30" s="1972"/>
      <c r="AY30" s="1972"/>
      <c r="AZ30" s="1972"/>
      <c r="BA30" s="1972"/>
      <c r="BB30" s="1972"/>
      <c r="BC30" s="1972"/>
      <c r="BD30" s="1972"/>
      <c r="BE30" s="1972"/>
      <c r="BF30" s="1972"/>
      <c r="BG30" s="1972"/>
      <c r="BH30" s="1972"/>
      <c r="BI30" s="1972"/>
      <c r="BJ30" s="1972"/>
      <c r="BK30" s="1972"/>
      <c r="BL30" s="1972"/>
      <c r="BM30" s="1972"/>
      <c r="BN30" s="1972"/>
      <c r="BO30" s="1972"/>
      <c r="BP30" s="1972"/>
      <c r="BQ30" s="1972"/>
      <c r="BR30" s="1972"/>
      <c r="BS30" s="1972"/>
      <c r="BT30" s="1972"/>
      <c r="BU30" s="1972"/>
      <c r="BV30" s="1972"/>
      <c r="BW30" s="1972"/>
      <c r="BX30" s="1972"/>
      <c r="BY30" s="1972"/>
      <c r="BZ30" s="1972"/>
      <c r="CA30" s="1972"/>
      <c r="CB30" s="1972"/>
      <c r="CC30" s="1972"/>
      <c r="CD30" s="1972"/>
      <c r="CE30" s="1972"/>
    </row>
    <row r="31" spans="1:83" s="1194" customFormat="1" ht="27.75">
      <c r="A31" s="207" t="s">
        <v>2573</v>
      </c>
      <c r="B31" s="3128">
        <v>190</v>
      </c>
      <c r="C31" s="2346"/>
      <c r="D31" s="1971"/>
      <c r="E31" s="1969"/>
      <c r="F31" s="1969"/>
      <c r="G31" s="1967"/>
      <c r="H31" s="1967"/>
      <c r="I31" s="1967"/>
      <c r="J31" s="1967"/>
      <c r="K31" s="1966"/>
      <c r="L31" s="1966"/>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c r="AI31" s="1964"/>
      <c r="AJ31" s="1964"/>
      <c r="AK31" s="1964"/>
      <c r="AL31" s="1964"/>
      <c r="AM31" s="1964"/>
      <c r="AN31" s="1972"/>
      <c r="AO31" s="1972"/>
      <c r="AP31" s="1972"/>
      <c r="AQ31" s="1972"/>
      <c r="AR31" s="1972"/>
      <c r="AS31" s="1972"/>
      <c r="AT31" s="1972"/>
      <c r="AU31" s="1972"/>
      <c r="AV31" s="1972"/>
      <c r="AW31" s="1972"/>
      <c r="AX31" s="1972"/>
      <c r="AY31" s="1972"/>
      <c r="AZ31" s="1972"/>
      <c r="BA31" s="1972"/>
      <c r="BB31" s="1972"/>
      <c r="BC31" s="1972"/>
      <c r="BD31" s="1972"/>
      <c r="BE31" s="1972"/>
      <c r="BF31" s="1972"/>
      <c r="BG31" s="1972"/>
      <c r="BH31" s="1972"/>
      <c r="BI31" s="1972"/>
      <c r="BJ31" s="1972"/>
      <c r="BK31" s="1972"/>
      <c r="BL31" s="1972"/>
      <c r="BM31" s="1972"/>
      <c r="BN31" s="1972"/>
      <c r="BO31" s="1972"/>
      <c r="BP31" s="1972"/>
      <c r="BQ31" s="1972"/>
      <c r="BR31" s="1972"/>
      <c r="BS31" s="1972"/>
      <c r="BT31" s="1972"/>
      <c r="BU31" s="1972"/>
      <c r="BV31" s="1972"/>
      <c r="BW31" s="1972"/>
      <c r="BX31" s="1972"/>
      <c r="BY31" s="1972"/>
      <c r="BZ31" s="1972"/>
      <c r="CA31" s="1972"/>
      <c r="CB31" s="1972"/>
      <c r="CC31" s="1972"/>
      <c r="CD31" s="1972"/>
      <c r="CE31" s="1972"/>
    </row>
    <row r="32" spans="1:83" s="1194" customFormat="1" ht="28.5" thickBot="1">
      <c r="A32" s="210" t="s">
        <v>2571</v>
      </c>
      <c r="B32" s="3129">
        <v>2425</v>
      </c>
      <c r="C32" s="1533" t="s">
        <v>2574</v>
      </c>
      <c r="D32" s="1971"/>
      <c r="E32" s="1969"/>
      <c r="F32" s="1969"/>
      <c r="G32" s="1967"/>
      <c r="H32" s="1967"/>
      <c r="I32" s="1967"/>
      <c r="J32" s="1967"/>
      <c r="K32" s="1966"/>
      <c r="L32" s="1966"/>
      <c r="M32" s="1964"/>
      <c r="N32" s="1964"/>
      <c r="O32" s="1964"/>
      <c r="P32" s="1964"/>
      <c r="Q32" s="1964"/>
      <c r="R32" s="1964"/>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72"/>
      <c r="AO32" s="1972"/>
      <c r="AP32" s="1972"/>
      <c r="AQ32" s="1972"/>
      <c r="AR32" s="1972"/>
      <c r="AS32" s="1972"/>
      <c r="AT32" s="1972"/>
      <c r="AU32" s="1972"/>
      <c r="AV32" s="1972"/>
      <c r="AW32" s="1972"/>
      <c r="AX32" s="1972"/>
      <c r="AY32" s="1972"/>
      <c r="AZ32" s="1972"/>
      <c r="BA32" s="1972"/>
      <c r="BB32" s="1972"/>
      <c r="BC32" s="1972"/>
      <c r="BD32" s="1972"/>
      <c r="BE32" s="1972"/>
      <c r="BF32" s="1972"/>
      <c r="BG32" s="1972"/>
      <c r="BH32" s="1972"/>
      <c r="BI32" s="1972"/>
      <c r="BJ32" s="1972"/>
      <c r="BK32" s="1972"/>
      <c r="BL32" s="1972"/>
      <c r="BM32" s="1972"/>
      <c r="BN32" s="1972"/>
      <c r="BO32" s="1972"/>
      <c r="BP32" s="1972"/>
      <c r="BQ32" s="1972"/>
      <c r="BR32" s="1972"/>
      <c r="BS32" s="1972"/>
      <c r="BT32" s="1972"/>
      <c r="BU32" s="1972"/>
      <c r="BV32" s="1972"/>
      <c r="BW32" s="1972"/>
      <c r="BX32" s="1972"/>
      <c r="BY32" s="1972"/>
      <c r="BZ32" s="1972"/>
      <c r="CA32" s="1972"/>
      <c r="CB32" s="1972"/>
      <c r="CC32" s="1972"/>
      <c r="CD32" s="1972"/>
      <c r="CE32" s="1972"/>
    </row>
    <row r="33" spans="1:83" s="1194" customFormat="1" ht="27">
      <c r="A33" s="211" t="s">
        <v>250</v>
      </c>
      <c r="B33" s="957">
        <v>200</v>
      </c>
      <c r="C33" s="2346"/>
      <c r="D33" s="1971"/>
      <c r="E33" s="1969"/>
      <c r="F33" s="1969"/>
      <c r="G33" s="1967"/>
      <c r="H33" s="1967"/>
      <c r="I33" s="1967"/>
      <c r="J33" s="1967"/>
      <c r="K33" s="1966"/>
      <c r="L33" s="1966"/>
      <c r="M33" s="1964"/>
      <c r="N33" s="1964"/>
      <c r="O33" s="1964"/>
      <c r="P33" s="1964"/>
      <c r="Q33" s="1964"/>
      <c r="R33" s="1964"/>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72"/>
      <c r="AO33" s="1972"/>
      <c r="AP33" s="1972"/>
      <c r="AQ33" s="1972"/>
      <c r="AR33" s="1972"/>
      <c r="AS33" s="1972"/>
      <c r="AT33" s="1972"/>
      <c r="AU33" s="1972"/>
      <c r="AV33" s="1972"/>
      <c r="AW33" s="1972"/>
      <c r="AX33" s="1972"/>
      <c r="AY33" s="1972"/>
      <c r="AZ33" s="1972"/>
      <c r="BA33" s="1972"/>
      <c r="BB33" s="1972"/>
      <c r="BC33" s="1972"/>
      <c r="BD33" s="1972"/>
      <c r="BE33" s="1972"/>
      <c r="BF33" s="1972"/>
      <c r="BG33" s="1972"/>
      <c r="BH33" s="1972"/>
      <c r="BI33" s="1972"/>
      <c r="BJ33" s="1972"/>
      <c r="BK33" s="1972"/>
      <c r="BL33" s="1972"/>
      <c r="BM33" s="1972"/>
      <c r="BN33" s="1972"/>
      <c r="BO33" s="1972"/>
      <c r="BP33" s="1972"/>
      <c r="BQ33" s="1972"/>
      <c r="BR33" s="1972"/>
      <c r="BS33" s="1972"/>
      <c r="BT33" s="1972"/>
      <c r="BU33" s="1972"/>
      <c r="BV33" s="1972"/>
      <c r="BW33" s="1972"/>
      <c r="BX33" s="1972"/>
      <c r="BY33" s="1972"/>
      <c r="BZ33" s="1972"/>
      <c r="CA33" s="1972"/>
      <c r="CB33" s="1972"/>
      <c r="CC33" s="1972"/>
      <c r="CD33" s="1972"/>
      <c r="CE33" s="1972"/>
    </row>
    <row r="34" spans="1:83" s="1194" customFormat="1" ht="27">
      <c r="A34" s="207" t="s">
        <v>251</v>
      </c>
      <c r="B34" s="209">
        <f>B33-B35</f>
        <v>200</v>
      </c>
      <c r="C34" s="2347"/>
      <c r="D34" s="1971"/>
      <c r="E34" s="1969"/>
      <c r="F34" s="1969"/>
      <c r="G34" s="1967"/>
      <c r="H34" s="1967"/>
      <c r="I34" s="1967"/>
      <c r="J34" s="1967"/>
      <c r="K34" s="1966"/>
      <c r="L34" s="1966"/>
      <c r="M34" s="1964"/>
      <c r="N34" s="1964"/>
      <c r="O34" s="1964"/>
      <c r="P34" s="1964"/>
      <c r="Q34" s="1964"/>
      <c r="R34" s="1964"/>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c r="AN34" s="1972"/>
      <c r="AO34" s="1972"/>
      <c r="AP34" s="1972"/>
      <c r="AQ34" s="1972"/>
      <c r="AR34" s="1972"/>
      <c r="AS34" s="1972"/>
      <c r="AT34" s="1972"/>
      <c r="AU34" s="1972"/>
      <c r="AV34" s="1972"/>
      <c r="AW34" s="1972"/>
      <c r="AX34" s="1972"/>
      <c r="AY34" s="1972"/>
      <c r="AZ34" s="1972"/>
      <c r="BA34" s="1972"/>
      <c r="BB34" s="1972"/>
      <c r="BC34" s="1972"/>
      <c r="BD34" s="1972"/>
      <c r="BE34" s="1972"/>
      <c r="BF34" s="1972"/>
      <c r="BG34" s="1972"/>
      <c r="BH34" s="1972"/>
      <c r="BI34" s="1972"/>
      <c r="BJ34" s="1972"/>
      <c r="BK34" s="1972"/>
      <c r="BL34" s="1972"/>
      <c r="BM34" s="1972"/>
      <c r="BN34" s="1972"/>
      <c r="BO34" s="1972"/>
      <c r="BP34" s="1972"/>
      <c r="BQ34" s="1972"/>
      <c r="BR34" s="1972"/>
      <c r="BS34" s="1972"/>
      <c r="BT34" s="1972"/>
      <c r="BU34" s="1972"/>
      <c r="BV34" s="1972"/>
      <c r="BW34" s="1972"/>
      <c r="BX34" s="1972"/>
      <c r="BY34" s="1972"/>
      <c r="BZ34" s="1972"/>
      <c r="CA34" s="1972"/>
      <c r="CB34" s="1972"/>
      <c r="CC34" s="1972"/>
      <c r="CD34" s="1972"/>
      <c r="CE34" s="1972"/>
    </row>
    <row r="35" spans="1:83" s="1194" customFormat="1" ht="27.75" thickBot="1">
      <c r="A35" s="212" t="s">
        <v>252</v>
      </c>
      <c r="B35" s="1359">
        <v>0</v>
      </c>
      <c r="C35" s="2346"/>
      <c r="D35" s="1968"/>
      <c r="E35" s="1967"/>
      <c r="F35" s="1967"/>
      <c r="G35" s="1967"/>
      <c r="H35" s="1967"/>
      <c r="I35" s="1967"/>
      <c r="J35" s="1967"/>
      <c r="K35" s="1966"/>
      <c r="L35" s="1966"/>
      <c r="M35" s="1964"/>
      <c r="N35" s="1964"/>
      <c r="O35" s="1964"/>
      <c r="P35" s="1964"/>
      <c r="Q35" s="1964"/>
      <c r="R35" s="1964"/>
      <c r="S35" s="1964"/>
      <c r="T35" s="1964"/>
      <c r="U35" s="1964"/>
      <c r="V35" s="1964"/>
      <c r="W35" s="1964"/>
      <c r="X35" s="1964"/>
      <c r="Y35" s="1964"/>
      <c r="Z35" s="1964"/>
      <c r="AA35" s="1964"/>
      <c r="AB35" s="1964"/>
      <c r="AC35" s="1964"/>
      <c r="AD35" s="1964"/>
      <c r="AE35" s="1964"/>
      <c r="AF35" s="1964"/>
      <c r="AG35" s="1964"/>
      <c r="AH35" s="1964"/>
      <c r="AI35" s="1964"/>
      <c r="AJ35" s="1964"/>
      <c r="AK35" s="1964"/>
      <c r="AL35" s="1964"/>
      <c r="AM35" s="1964"/>
      <c r="AN35" s="1972"/>
      <c r="AO35" s="1972"/>
      <c r="AP35" s="1972"/>
      <c r="AQ35" s="1972"/>
      <c r="AR35" s="1972"/>
      <c r="AS35" s="1972"/>
      <c r="AT35" s="1972"/>
      <c r="AU35" s="1972"/>
      <c r="AV35" s="1972"/>
      <c r="AW35" s="1972"/>
      <c r="AX35" s="1972"/>
      <c r="AY35" s="1972"/>
      <c r="AZ35" s="1972"/>
      <c r="BA35" s="1972"/>
      <c r="BB35" s="1972"/>
      <c r="BC35" s="1972"/>
      <c r="BD35" s="1972"/>
      <c r="BE35" s="1972"/>
      <c r="BF35" s="1972"/>
      <c r="BG35" s="1972"/>
      <c r="BH35" s="1972"/>
      <c r="BI35" s="1972"/>
      <c r="BJ35" s="1972"/>
      <c r="BK35" s="1972"/>
      <c r="BL35" s="1972"/>
      <c r="BM35" s="1972"/>
      <c r="BN35" s="1972"/>
      <c r="BO35" s="1972"/>
      <c r="BP35" s="1972"/>
      <c r="BQ35" s="1972"/>
      <c r="BR35" s="1972"/>
      <c r="BS35" s="1972"/>
      <c r="BT35" s="1972"/>
      <c r="BU35" s="1972"/>
      <c r="BV35" s="1972"/>
      <c r="BW35" s="1972"/>
      <c r="BX35" s="1972"/>
      <c r="BY35" s="1972"/>
      <c r="BZ35" s="1972"/>
      <c r="CA35" s="1972"/>
      <c r="CB35" s="1972"/>
      <c r="CC35" s="1972"/>
      <c r="CD35" s="1972"/>
      <c r="CE35" s="1972"/>
    </row>
    <row r="36" spans="1:83" s="1194" customFormat="1" ht="14.25">
      <c r="A36" s="206" t="s">
        <v>255</v>
      </c>
      <c r="B36" s="3130">
        <v>0.03</v>
      </c>
      <c r="C36" s="2345" t="s">
        <v>2581</v>
      </c>
      <c r="D36" s="1971"/>
      <c r="E36" s="1969"/>
      <c r="F36" s="1969"/>
      <c r="G36" s="1967"/>
      <c r="H36" s="1967"/>
      <c r="I36" s="1967"/>
      <c r="J36" s="1967"/>
      <c r="K36" s="1966"/>
      <c r="L36" s="1966"/>
      <c r="M36" s="1964"/>
      <c r="N36" s="1964"/>
      <c r="O36" s="1964"/>
      <c r="P36" s="1964"/>
      <c r="Q36" s="1964"/>
      <c r="R36" s="1964"/>
      <c r="S36" s="1964"/>
      <c r="T36" s="1964"/>
      <c r="U36" s="1964"/>
      <c r="V36" s="1964"/>
      <c r="W36" s="1964"/>
      <c r="X36" s="1964"/>
      <c r="Y36" s="1964"/>
      <c r="Z36" s="1964"/>
      <c r="AA36" s="1964"/>
      <c r="AB36" s="1964"/>
      <c r="AC36" s="1964"/>
      <c r="AD36" s="1964"/>
      <c r="AE36" s="1964"/>
      <c r="AF36" s="1964"/>
      <c r="AG36" s="1964"/>
      <c r="AH36" s="1964"/>
      <c r="AI36" s="1964"/>
      <c r="AJ36" s="1964"/>
      <c r="AK36" s="1964"/>
      <c r="AL36" s="1964"/>
      <c r="AM36" s="1964"/>
      <c r="AN36" s="1972"/>
      <c r="AO36" s="1972"/>
      <c r="AP36" s="1972"/>
      <c r="AQ36" s="1972"/>
      <c r="AR36" s="1972"/>
      <c r="AS36" s="1972"/>
      <c r="AT36" s="1972"/>
      <c r="AU36" s="1972"/>
      <c r="AV36" s="1972"/>
      <c r="AW36" s="1972"/>
      <c r="AX36" s="1972"/>
      <c r="AY36" s="1972"/>
      <c r="AZ36" s="1972"/>
      <c r="BA36" s="1972"/>
      <c r="BB36" s="1972"/>
      <c r="BC36" s="1972"/>
      <c r="BD36" s="1972"/>
      <c r="BE36" s="1972"/>
      <c r="BF36" s="1972"/>
      <c r="BG36" s="1972"/>
      <c r="BH36" s="1972"/>
      <c r="BI36" s="1972"/>
      <c r="BJ36" s="1972"/>
      <c r="BK36" s="1972"/>
      <c r="BL36" s="1972"/>
      <c r="BM36" s="1972"/>
      <c r="BN36" s="1972"/>
      <c r="BO36" s="1972"/>
      <c r="BP36" s="1972"/>
      <c r="BQ36" s="1972"/>
      <c r="BR36" s="1972"/>
      <c r="BS36" s="1972"/>
      <c r="BT36" s="1972"/>
      <c r="BU36" s="1972"/>
      <c r="BV36" s="1972"/>
      <c r="BW36" s="1972"/>
      <c r="BX36" s="1972"/>
      <c r="BY36" s="1972"/>
      <c r="BZ36" s="1972"/>
      <c r="CA36" s="1972"/>
      <c r="CB36" s="1972"/>
      <c r="CC36" s="1972"/>
      <c r="CD36" s="1972"/>
      <c r="CE36" s="1972"/>
    </row>
    <row r="37" spans="1:83" ht="14.25">
      <c r="A37" s="207" t="s">
        <v>256</v>
      </c>
      <c r="B37" s="3131">
        <v>0.05</v>
      </c>
      <c r="C37" s="2345" t="s">
        <v>2575</v>
      </c>
      <c r="D37" s="1968" t="s">
        <v>1059</v>
      </c>
      <c r="E37" s="1964"/>
      <c r="F37" s="1967"/>
      <c r="G37" s="1967"/>
      <c r="H37" s="1967"/>
      <c r="I37" s="1967"/>
      <c r="J37" s="1967"/>
      <c r="K37" s="1966"/>
      <c r="L37" s="1966"/>
      <c r="M37" s="1964"/>
      <c r="N37" s="1964"/>
      <c r="O37" s="1964"/>
      <c r="P37" s="1964"/>
      <c r="Q37" s="1964"/>
      <c r="R37" s="1964"/>
      <c r="S37" s="1964"/>
      <c r="T37" s="1964"/>
      <c r="U37" s="1964"/>
      <c r="V37" s="1964"/>
      <c r="W37" s="1964"/>
      <c r="X37" s="1964"/>
      <c r="Y37" s="1964"/>
      <c r="Z37" s="1964"/>
      <c r="AA37" s="1964"/>
      <c r="AB37" s="1964"/>
      <c r="AC37" s="1964"/>
      <c r="AD37" s="1964"/>
      <c r="AE37" s="1964"/>
      <c r="AF37" s="1964"/>
      <c r="AG37" s="1964"/>
      <c r="AH37" s="1964"/>
      <c r="AI37" s="1964"/>
      <c r="AJ37" s="1964"/>
      <c r="AK37" s="1964"/>
      <c r="AL37" s="1964"/>
      <c r="AM37" s="1964"/>
    </row>
    <row r="38" spans="1:83" ht="14.25">
      <c r="A38" s="207" t="s">
        <v>253</v>
      </c>
      <c r="B38" s="208">
        <v>200</v>
      </c>
      <c r="C38" s="2345" t="s">
        <v>2576</v>
      </c>
      <c r="D38" s="1968"/>
      <c r="E38" s="1967"/>
      <c r="F38" s="1967"/>
      <c r="G38" s="1967"/>
      <c r="H38" s="1967"/>
      <c r="I38" s="1967"/>
      <c r="J38" s="1967"/>
      <c r="K38" s="1966"/>
      <c r="L38" s="1966"/>
      <c r="M38" s="1964"/>
      <c r="N38" s="1964"/>
      <c r="O38" s="1964"/>
      <c r="P38" s="1964"/>
      <c r="Q38" s="1964"/>
      <c r="R38" s="1964"/>
      <c r="S38" s="1964"/>
      <c r="T38" s="1964"/>
      <c r="U38" s="1964"/>
      <c r="V38" s="1964"/>
      <c r="W38" s="1964"/>
      <c r="X38" s="1964"/>
      <c r="Y38" s="1964"/>
      <c r="Z38" s="1964"/>
      <c r="AA38" s="1964"/>
      <c r="AB38" s="1964"/>
      <c r="AC38" s="1964"/>
      <c r="AD38" s="1964"/>
      <c r="AE38" s="1964"/>
      <c r="AF38" s="1964"/>
      <c r="AG38" s="1964"/>
      <c r="AH38" s="1964"/>
      <c r="AI38" s="1964"/>
      <c r="AJ38" s="1964"/>
      <c r="AK38" s="1964"/>
      <c r="AL38" s="1964"/>
      <c r="AM38" s="1964"/>
    </row>
    <row r="39" spans="1:83" ht="15" thickBot="1">
      <c r="A39" s="210" t="s">
        <v>254</v>
      </c>
      <c r="B39" s="3132">
        <v>1.4999999999999999E-2</v>
      </c>
      <c r="C39" s="2345" t="s">
        <v>2577</v>
      </c>
      <c r="D39" s="1965"/>
      <c r="E39" s="1181"/>
      <c r="F39" s="1967"/>
      <c r="G39" s="1967"/>
      <c r="H39" s="1967"/>
      <c r="I39" s="1967"/>
      <c r="J39" s="1967"/>
      <c r="K39" s="1966"/>
      <c r="L39" s="1966"/>
      <c r="M39" s="1964"/>
      <c r="N39" s="1964"/>
      <c r="O39" s="1964"/>
      <c r="P39" s="1964"/>
      <c r="Q39" s="1964"/>
      <c r="R39" s="1964"/>
      <c r="S39" s="1964"/>
      <c r="T39" s="1964"/>
      <c r="U39" s="1964"/>
      <c r="V39" s="1964"/>
      <c r="W39" s="1964"/>
      <c r="X39" s="1964"/>
      <c r="Y39" s="1964"/>
      <c r="Z39" s="1964"/>
      <c r="AA39" s="1964"/>
      <c r="AB39" s="1964"/>
      <c r="AC39" s="1964"/>
      <c r="AD39" s="1964"/>
      <c r="AE39" s="1964"/>
      <c r="AF39" s="1964"/>
      <c r="AG39" s="1964"/>
      <c r="AH39" s="1964"/>
      <c r="AI39" s="1964"/>
      <c r="AJ39" s="1964"/>
      <c r="AK39" s="1964"/>
      <c r="AL39" s="1964"/>
      <c r="AM39" s="1964"/>
    </row>
    <row r="40" spans="1:83" ht="14.25">
      <c r="A40" s="211" t="s">
        <v>257</v>
      </c>
      <c r="B40" s="3133">
        <v>0.01</v>
      </c>
      <c r="C40" s="2345" t="s">
        <v>2578</v>
      </c>
      <c r="D40" s="1968"/>
      <c r="E40" s="1967"/>
      <c r="F40" s="1967"/>
      <c r="G40" s="1967"/>
      <c r="H40" s="1967"/>
      <c r="I40" s="1967"/>
      <c r="J40" s="1967"/>
      <c r="K40" s="1966"/>
      <c r="L40" s="1966"/>
      <c r="M40" s="1964"/>
      <c r="N40" s="1964"/>
      <c r="O40" s="1964"/>
      <c r="P40" s="1964"/>
      <c r="Q40" s="1964"/>
      <c r="R40" s="1964"/>
      <c r="S40" s="1964"/>
      <c r="T40" s="1964"/>
      <c r="U40" s="1964"/>
      <c r="V40" s="1964"/>
      <c r="W40" s="1964"/>
      <c r="X40" s="1964"/>
      <c r="Y40" s="1964"/>
      <c r="Z40" s="1964"/>
      <c r="AA40" s="1964"/>
      <c r="AB40" s="1964"/>
      <c r="AC40" s="1964"/>
      <c r="AD40" s="1964"/>
      <c r="AE40" s="1964"/>
      <c r="AF40" s="1964"/>
      <c r="AG40" s="1964"/>
      <c r="AH40" s="1964"/>
      <c r="AI40" s="1964"/>
      <c r="AJ40" s="1964"/>
      <c r="AK40" s="1964"/>
      <c r="AL40" s="1964"/>
      <c r="AM40" s="1964"/>
    </row>
    <row r="41" spans="1:83" ht="14.25">
      <c r="A41" s="207" t="s">
        <v>258</v>
      </c>
      <c r="B41" s="3131">
        <v>0.01</v>
      </c>
      <c r="C41" s="2345" t="s">
        <v>2578</v>
      </c>
      <c r="D41" s="1968"/>
      <c r="E41" s="1967"/>
      <c r="F41" s="1967"/>
      <c r="G41" s="1967"/>
      <c r="H41" s="1967"/>
      <c r="I41" s="1967"/>
      <c r="J41" s="1967"/>
      <c r="K41" s="1966"/>
      <c r="L41" s="1966"/>
      <c r="M41" s="1964"/>
      <c r="N41" s="1964"/>
      <c r="O41" s="1964"/>
      <c r="P41" s="1964"/>
      <c r="Q41" s="1964"/>
      <c r="R41" s="1964"/>
      <c r="S41" s="1964"/>
      <c r="T41" s="1964"/>
      <c r="U41" s="1964"/>
      <c r="V41" s="1964"/>
      <c r="W41" s="1964"/>
      <c r="X41" s="1964"/>
      <c r="Y41" s="1964"/>
      <c r="Z41" s="1964"/>
      <c r="AA41" s="1964"/>
      <c r="AB41" s="1964"/>
      <c r="AC41" s="1964"/>
      <c r="AD41" s="1964"/>
      <c r="AE41" s="1964"/>
      <c r="AF41" s="1964"/>
      <c r="AG41" s="1964"/>
      <c r="AH41" s="1964"/>
      <c r="AI41" s="1964"/>
      <c r="AJ41" s="1964"/>
      <c r="AK41" s="1964"/>
      <c r="AL41" s="1964"/>
      <c r="AM41" s="1964"/>
    </row>
    <row r="42" spans="1:83" ht="14.25">
      <c r="A42" s="2500" t="s">
        <v>2719</v>
      </c>
      <c r="B42" s="780">
        <f ca="1">存贷款利率!C4</f>
        <v>1.4999999999999999E-2</v>
      </c>
      <c r="C42" s="2345"/>
      <c r="D42" s="1968"/>
      <c r="E42" s="1967"/>
      <c r="F42" s="1967"/>
      <c r="G42" s="1967"/>
      <c r="H42" s="1967"/>
      <c r="I42" s="1967"/>
      <c r="J42" s="1967"/>
      <c r="K42" s="1966"/>
      <c r="L42" s="1966"/>
      <c r="M42" s="1964"/>
      <c r="N42" s="1964"/>
      <c r="O42" s="1964"/>
      <c r="P42" s="1964"/>
      <c r="Q42" s="1964"/>
      <c r="R42" s="1964"/>
      <c r="S42" s="1964"/>
      <c r="T42" s="1964"/>
      <c r="U42" s="1964"/>
      <c r="V42" s="1964"/>
      <c r="W42" s="1964"/>
      <c r="X42" s="1964"/>
      <c r="Y42" s="1964"/>
      <c r="Z42" s="1964"/>
      <c r="AA42" s="1964"/>
      <c r="AB42" s="1964"/>
      <c r="AC42" s="1964"/>
      <c r="AD42" s="1964"/>
      <c r="AE42" s="1964"/>
      <c r="AF42" s="1964"/>
      <c r="AG42" s="1964"/>
      <c r="AH42" s="1964"/>
      <c r="AI42" s="1964"/>
      <c r="AJ42" s="1964"/>
      <c r="AK42" s="1964"/>
      <c r="AL42" s="1964"/>
      <c r="AM42" s="1964"/>
    </row>
    <row r="43" spans="1:83" ht="15" thickBot="1">
      <c r="A43" s="2500" t="s">
        <v>2720</v>
      </c>
      <c r="B43" s="2492">
        <f ca="1">存贷款利率!E2</f>
        <v>4.7500000000000001E-2</v>
      </c>
      <c r="C43" s="2345" t="s">
        <v>2579</v>
      </c>
      <c r="D43" s="1968"/>
      <c r="E43" s="1967"/>
      <c r="F43" s="1967"/>
      <c r="G43" s="1967"/>
      <c r="H43" s="1967"/>
      <c r="I43" s="1967"/>
      <c r="J43" s="1967"/>
      <c r="K43" s="1966"/>
      <c r="L43" s="1966"/>
      <c r="M43" s="1964"/>
      <c r="N43" s="1964"/>
      <c r="O43" s="1964"/>
      <c r="P43" s="1964"/>
      <c r="Q43" s="1964"/>
      <c r="R43" s="1964"/>
      <c r="S43" s="1964"/>
      <c r="T43" s="1964"/>
      <c r="U43" s="1964"/>
      <c r="V43" s="1964"/>
      <c r="W43" s="1964"/>
      <c r="X43" s="1964"/>
      <c r="Y43" s="1964"/>
      <c r="Z43" s="1964"/>
      <c r="AA43" s="1964"/>
      <c r="AB43" s="1964"/>
      <c r="AC43" s="1964"/>
      <c r="AD43" s="1964"/>
      <c r="AE43" s="1964"/>
      <c r="AF43" s="1964"/>
      <c r="AG43" s="1964"/>
      <c r="AH43" s="1964"/>
      <c r="AI43" s="1964"/>
      <c r="AJ43" s="1964"/>
      <c r="AK43" s="1964"/>
      <c r="AL43" s="1964"/>
      <c r="AM43" s="1964"/>
    </row>
    <row r="44" spans="1:83" ht="14.25">
      <c r="A44" s="206" t="s">
        <v>259</v>
      </c>
      <c r="B44" s="213">
        <f>B45+B46</f>
        <v>5.5000000000000007E-2</v>
      </c>
      <c r="C44" s="2347"/>
      <c r="D44" s="1968"/>
      <c r="E44" s="1967"/>
      <c r="F44" s="1967"/>
      <c r="G44" s="1967"/>
      <c r="H44" s="1967"/>
      <c r="I44" s="1967"/>
      <c r="J44" s="1967"/>
      <c r="K44" s="1966"/>
      <c r="L44" s="1966"/>
      <c r="M44" s="1964"/>
      <c r="N44" s="1964"/>
      <c r="O44" s="1964"/>
      <c r="P44" s="1964"/>
      <c r="Q44" s="1964"/>
      <c r="R44" s="1964"/>
      <c r="S44" s="1964"/>
      <c r="T44" s="1964"/>
      <c r="U44" s="1964"/>
      <c r="V44" s="1964"/>
      <c r="W44" s="1964"/>
      <c r="X44" s="1964"/>
      <c r="Y44" s="1964"/>
      <c r="Z44" s="1964"/>
      <c r="AA44" s="1964"/>
      <c r="AB44" s="1964"/>
      <c r="AC44" s="1964"/>
      <c r="AD44" s="1964"/>
      <c r="AE44" s="1964"/>
      <c r="AF44" s="1964"/>
      <c r="AG44" s="1964"/>
      <c r="AH44" s="1964"/>
      <c r="AI44" s="1964"/>
      <c r="AJ44" s="1964"/>
      <c r="AK44" s="1964"/>
      <c r="AL44" s="1964"/>
      <c r="AM44" s="1964"/>
    </row>
    <row r="45" spans="1:83" ht="14.25">
      <c r="A45" s="958" t="s">
        <v>260</v>
      </c>
      <c r="B45" s="215">
        <v>0.05</v>
      </c>
      <c r="C45" s="2347"/>
      <c r="D45" s="1968"/>
      <c r="E45" s="1967"/>
      <c r="F45" s="1967"/>
      <c r="G45" s="1967"/>
      <c r="H45" s="1967"/>
      <c r="I45" s="1967"/>
      <c r="J45" s="1967"/>
      <c r="K45" s="1966"/>
      <c r="L45" s="1966"/>
      <c r="M45" s="1964"/>
      <c r="N45" s="1964"/>
      <c r="O45" s="1964"/>
      <c r="P45" s="1964"/>
      <c r="Q45" s="1964"/>
      <c r="R45" s="1964"/>
      <c r="S45" s="1964"/>
      <c r="T45" s="1964"/>
      <c r="U45" s="1964"/>
      <c r="V45" s="1964"/>
      <c r="W45" s="1964"/>
      <c r="X45" s="1964"/>
      <c r="Y45" s="1964"/>
      <c r="Z45" s="1964"/>
      <c r="AA45" s="1964"/>
      <c r="AB45" s="1964"/>
      <c r="AC45" s="1964"/>
      <c r="AD45" s="1964"/>
      <c r="AE45" s="1964"/>
      <c r="AF45" s="1964"/>
      <c r="AG45" s="1964"/>
      <c r="AH45" s="1964"/>
      <c r="AI45" s="1964"/>
      <c r="AJ45" s="1964"/>
      <c r="AK45" s="1964"/>
      <c r="AL45" s="1964"/>
      <c r="AM45" s="1964"/>
    </row>
    <row r="46" spans="1:83" ht="14.25">
      <c r="A46" s="958" t="s">
        <v>261</v>
      </c>
      <c r="B46" s="216">
        <f>B45*(B47+B48+B49)+B50</f>
        <v>5.000000000000001E-3</v>
      </c>
      <c r="C46" s="2347"/>
      <c r="D46" s="1968"/>
      <c r="E46" s="1967"/>
      <c r="F46" s="1967"/>
      <c r="G46" s="1967"/>
      <c r="H46" s="1967"/>
      <c r="I46" s="1967"/>
      <c r="J46" s="1967"/>
      <c r="K46" s="1966"/>
      <c r="L46" s="1966"/>
      <c r="M46" s="1964"/>
      <c r="N46" s="1964"/>
      <c r="O46" s="1964"/>
      <c r="P46" s="1964"/>
      <c r="Q46" s="1964"/>
      <c r="R46" s="1964"/>
      <c r="S46" s="1964"/>
      <c r="T46" s="1964"/>
      <c r="U46" s="1964"/>
      <c r="V46" s="1964"/>
      <c r="W46" s="1964"/>
      <c r="X46" s="1964"/>
      <c r="Y46" s="1964"/>
      <c r="Z46" s="1964"/>
      <c r="AA46" s="1964"/>
      <c r="AB46" s="1964"/>
      <c r="AC46" s="1964"/>
      <c r="AD46" s="1964"/>
      <c r="AE46" s="1964"/>
      <c r="AF46" s="1964"/>
      <c r="AG46" s="1964"/>
      <c r="AH46" s="1964"/>
      <c r="AI46" s="1964"/>
      <c r="AJ46" s="1964"/>
      <c r="AK46" s="1964"/>
      <c r="AL46" s="1964"/>
      <c r="AM46" s="1964"/>
    </row>
    <row r="47" spans="1:83" ht="14.25">
      <c r="A47" s="214" t="s">
        <v>262</v>
      </c>
      <c r="B47" s="217">
        <v>0.05</v>
      </c>
      <c r="C47" s="2348" t="s">
        <v>1060</v>
      </c>
      <c r="D47" s="1968"/>
      <c r="E47" s="1967"/>
      <c r="F47" s="1967"/>
      <c r="G47" s="1967"/>
      <c r="H47" s="1967"/>
      <c r="I47" s="1967"/>
      <c r="J47" s="1967"/>
      <c r="K47" s="1966"/>
      <c r="L47" s="1966"/>
      <c r="M47" s="1964"/>
      <c r="N47" s="1964"/>
      <c r="O47" s="1964"/>
      <c r="P47" s="1964"/>
      <c r="Q47" s="1964"/>
      <c r="R47" s="1964"/>
      <c r="S47" s="1964"/>
      <c r="T47" s="1964"/>
      <c r="U47" s="1964"/>
      <c r="V47" s="1964"/>
      <c r="W47" s="1964"/>
      <c r="X47" s="1964"/>
      <c r="Y47" s="1964"/>
      <c r="Z47" s="1964"/>
      <c r="AA47" s="1964"/>
      <c r="AB47" s="1964"/>
      <c r="AC47" s="1964"/>
      <c r="AD47" s="1964"/>
      <c r="AE47" s="1964"/>
      <c r="AF47" s="1964"/>
      <c r="AG47" s="1964"/>
      <c r="AH47" s="1964"/>
      <c r="AI47" s="1964"/>
      <c r="AJ47" s="1964"/>
      <c r="AK47" s="1964"/>
      <c r="AL47" s="1964"/>
      <c r="AM47" s="1964"/>
    </row>
    <row r="48" spans="1:83" ht="14.25">
      <c r="A48" s="214" t="s">
        <v>263</v>
      </c>
      <c r="B48" s="215">
        <v>0.03</v>
      </c>
      <c r="C48" s="2347"/>
      <c r="D48" s="1968"/>
      <c r="E48" s="1967"/>
      <c r="F48" s="1967"/>
      <c r="G48" s="1967"/>
      <c r="H48" s="1967"/>
      <c r="I48" s="1967"/>
      <c r="J48" s="1967"/>
      <c r="K48" s="1966"/>
      <c r="L48" s="1966"/>
      <c r="M48" s="1964"/>
      <c r="N48" s="1964"/>
      <c r="O48" s="1964"/>
      <c r="P48" s="1964"/>
      <c r="Q48" s="1964"/>
      <c r="R48" s="1964"/>
      <c r="S48" s="1964"/>
      <c r="T48" s="1964"/>
      <c r="U48" s="1964"/>
      <c r="V48" s="1964"/>
      <c r="W48" s="1964"/>
      <c r="X48" s="1964"/>
      <c r="Y48" s="1964"/>
      <c r="Z48" s="1964"/>
      <c r="AA48" s="1964"/>
      <c r="AB48" s="1964"/>
      <c r="AC48" s="1964"/>
      <c r="AD48" s="1964"/>
      <c r="AE48" s="1964"/>
      <c r="AF48" s="1964"/>
      <c r="AG48" s="1964"/>
      <c r="AH48" s="1964"/>
      <c r="AI48" s="1964"/>
      <c r="AJ48" s="1964"/>
      <c r="AK48" s="1964"/>
      <c r="AL48" s="1964"/>
      <c r="AM48" s="1964"/>
    </row>
    <row r="49" spans="1:39" ht="14.25">
      <c r="A49" s="214" t="s">
        <v>264</v>
      </c>
      <c r="B49" s="215">
        <v>0.02</v>
      </c>
      <c r="C49" s="2347"/>
      <c r="D49" s="1968"/>
      <c r="E49" s="1967"/>
      <c r="F49" s="1967"/>
      <c r="G49" s="1967"/>
      <c r="H49" s="1967"/>
      <c r="I49" s="1967"/>
      <c r="J49" s="1967"/>
      <c r="K49" s="1966"/>
      <c r="L49" s="1966"/>
      <c r="M49" s="1964"/>
      <c r="N49" s="1964"/>
      <c r="O49" s="1964"/>
      <c r="P49" s="1964"/>
      <c r="Q49" s="1964"/>
      <c r="R49" s="1964"/>
      <c r="S49" s="1964"/>
      <c r="T49" s="1964"/>
      <c r="U49" s="1964"/>
      <c r="V49" s="1964"/>
      <c r="W49" s="1964"/>
      <c r="X49" s="1964"/>
      <c r="Y49" s="1964"/>
      <c r="Z49" s="1964"/>
      <c r="AA49" s="1964"/>
      <c r="AB49" s="1964"/>
      <c r="AC49" s="1964"/>
      <c r="AD49" s="1964"/>
      <c r="AE49" s="1964"/>
      <c r="AF49" s="1964"/>
      <c r="AG49" s="1964"/>
      <c r="AH49" s="1964"/>
      <c r="AI49" s="1964"/>
      <c r="AJ49" s="1964"/>
      <c r="AK49" s="1964"/>
      <c r="AL49" s="1964"/>
      <c r="AM49" s="1964"/>
    </row>
    <row r="50" spans="1:39" ht="15" thickBot="1">
      <c r="A50" s="218" t="s">
        <v>265</v>
      </c>
      <c r="B50" s="219">
        <v>0</v>
      </c>
      <c r="C50" s="2347" t="s">
        <v>2580</v>
      </c>
      <c r="D50" s="1968"/>
      <c r="E50" s="1967"/>
      <c r="F50" s="1967"/>
      <c r="G50" s="1967"/>
      <c r="H50" s="1967"/>
      <c r="I50" s="1967"/>
      <c r="J50" s="1967"/>
      <c r="K50" s="1966"/>
      <c r="L50" s="1966"/>
      <c r="M50" s="1964"/>
      <c r="N50" s="1964"/>
      <c r="O50" s="1964"/>
      <c r="P50" s="1964"/>
      <c r="Q50" s="1964"/>
      <c r="R50" s="1964"/>
      <c r="S50" s="1964"/>
      <c r="T50" s="1964"/>
      <c r="U50" s="1964"/>
      <c r="V50" s="1964"/>
      <c r="W50" s="1964"/>
      <c r="X50" s="1964"/>
      <c r="Y50" s="1964"/>
      <c r="Z50" s="1964"/>
      <c r="AA50" s="1964"/>
      <c r="AB50" s="1964"/>
      <c r="AC50" s="1964"/>
      <c r="AD50" s="1964"/>
      <c r="AE50" s="1964"/>
      <c r="AF50" s="1964"/>
      <c r="AG50" s="1964"/>
      <c r="AH50" s="1964"/>
      <c r="AI50" s="1964"/>
      <c r="AJ50" s="1964"/>
      <c r="AK50" s="1964"/>
      <c r="AL50" s="1964"/>
      <c r="AM50" s="1964"/>
    </row>
    <row r="51" spans="1:39" ht="14.25">
      <c r="A51" s="220" t="s">
        <v>266</v>
      </c>
      <c r="B51" s="221">
        <v>0.03</v>
      </c>
      <c r="C51" s="2346"/>
      <c r="D51" s="1968"/>
      <c r="E51" s="1967"/>
      <c r="F51" s="1967"/>
      <c r="G51" s="1967"/>
      <c r="H51" s="1967"/>
      <c r="I51" s="1967"/>
      <c r="J51" s="1967"/>
      <c r="K51" s="1966"/>
      <c r="L51" s="1966"/>
      <c r="M51" s="1964"/>
      <c r="N51" s="1964"/>
      <c r="O51" s="1964"/>
      <c r="P51" s="1964"/>
      <c r="Q51" s="1964"/>
      <c r="R51" s="1964"/>
      <c r="S51" s="1964"/>
      <c r="T51" s="1964"/>
      <c r="U51" s="1964"/>
      <c r="V51" s="1964"/>
      <c r="W51" s="1964"/>
      <c r="X51" s="1964"/>
      <c r="Y51" s="1964"/>
      <c r="Z51" s="1964"/>
      <c r="AA51" s="1964"/>
      <c r="AB51" s="1964"/>
      <c r="AC51" s="1964"/>
      <c r="AD51" s="1964"/>
      <c r="AE51" s="1964"/>
      <c r="AF51" s="1964"/>
      <c r="AG51" s="1964"/>
      <c r="AH51" s="1964"/>
      <c r="AI51" s="1964"/>
      <c r="AJ51" s="1964"/>
      <c r="AK51" s="1964"/>
      <c r="AL51" s="1964"/>
      <c r="AM51" s="1964"/>
    </row>
    <row r="52" spans="1:39" ht="15" thickBot="1">
      <c r="A52" s="212" t="s">
        <v>267</v>
      </c>
      <c r="B52" s="215">
        <v>5.0000000000000001E-4</v>
      </c>
      <c r="C52" s="2346"/>
      <c r="D52" s="1968"/>
      <c r="E52" s="1967"/>
      <c r="F52" s="1967"/>
      <c r="G52" s="1967"/>
      <c r="H52" s="1967"/>
      <c r="I52" s="1967"/>
      <c r="J52" s="1967"/>
      <c r="K52" s="1966"/>
      <c r="L52" s="1966"/>
      <c r="M52" s="1964"/>
      <c r="N52" s="1964"/>
      <c r="O52" s="1964"/>
      <c r="P52" s="1964"/>
      <c r="Q52" s="1964"/>
      <c r="R52" s="1964"/>
      <c r="S52" s="1964"/>
      <c r="T52" s="1964"/>
      <c r="U52" s="1964"/>
      <c r="V52" s="1964"/>
      <c r="W52" s="1964"/>
      <c r="X52" s="1964"/>
      <c r="Y52" s="1964"/>
      <c r="Z52" s="1964"/>
      <c r="AA52" s="1964"/>
      <c r="AB52" s="1964"/>
      <c r="AC52" s="1964"/>
      <c r="AD52" s="1964"/>
      <c r="AE52" s="1964"/>
      <c r="AF52" s="1964"/>
      <c r="AG52" s="1964"/>
      <c r="AH52" s="1964"/>
      <c r="AI52" s="1964"/>
      <c r="AJ52" s="1964"/>
      <c r="AK52" s="1964"/>
      <c r="AL52" s="1964"/>
      <c r="AM52" s="1964"/>
    </row>
    <row r="53" spans="1:39" ht="14.25">
      <c r="A53" s="222" t="s">
        <v>268</v>
      </c>
      <c r="B53" s="223">
        <v>1.2E-2</v>
      </c>
      <c r="C53" s="2346"/>
      <c r="D53" s="1968"/>
      <c r="E53" s="1967"/>
      <c r="F53" s="1967"/>
      <c r="G53" s="1967"/>
      <c r="H53" s="1967"/>
      <c r="I53" s="1967"/>
      <c r="J53" s="1967"/>
      <c r="K53" s="1966"/>
      <c r="L53" s="1966"/>
      <c r="M53" s="1964"/>
      <c r="N53" s="1964"/>
      <c r="O53" s="1964"/>
      <c r="P53" s="1964"/>
      <c r="Q53" s="1964"/>
      <c r="R53" s="1964"/>
      <c r="S53" s="1964"/>
      <c r="T53" s="1964"/>
      <c r="U53" s="1964"/>
      <c r="V53" s="1964"/>
      <c r="W53" s="1964"/>
      <c r="X53" s="1964"/>
      <c r="Y53" s="1964"/>
      <c r="Z53" s="1964"/>
      <c r="AA53" s="1964"/>
      <c r="AB53" s="1964"/>
      <c r="AC53" s="1964"/>
      <c r="AD53" s="1964"/>
      <c r="AE53" s="1964"/>
      <c r="AF53" s="1964"/>
      <c r="AG53" s="1964"/>
      <c r="AH53" s="1964"/>
      <c r="AI53" s="1964"/>
      <c r="AJ53" s="1964"/>
      <c r="AK53" s="1964"/>
      <c r="AL53" s="1964"/>
      <c r="AM53" s="1964"/>
    </row>
    <row r="54" spans="1:39" ht="15" thickBot="1">
      <c r="A54" s="210" t="s">
        <v>269</v>
      </c>
      <c r="B54" s="224">
        <v>0.12</v>
      </c>
      <c r="C54" s="2346"/>
      <c r="D54" s="1968"/>
      <c r="E54" s="1967"/>
      <c r="F54" s="1967"/>
      <c r="G54" s="1967"/>
      <c r="H54" s="1967"/>
      <c r="I54" s="1967"/>
      <c r="J54" s="1967"/>
      <c r="K54" s="1966"/>
      <c r="L54" s="1966"/>
      <c r="M54" s="1964"/>
      <c r="N54" s="1964"/>
      <c r="O54" s="1964"/>
      <c r="P54" s="1964"/>
      <c r="Q54" s="1964"/>
      <c r="R54" s="1964"/>
      <c r="S54" s="1964"/>
      <c r="T54" s="1964"/>
      <c r="U54" s="1964"/>
      <c r="V54" s="1964"/>
      <c r="W54" s="1964"/>
      <c r="X54" s="1964"/>
      <c r="Y54" s="1964"/>
      <c r="Z54" s="1964"/>
      <c r="AA54" s="1964"/>
      <c r="AB54" s="1964"/>
      <c r="AC54" s="1964"/>
      <c r="AD54" s="1964"/>
      <c r="AE54" s="1964"/>
      <c r="AF54" s="1964"/>
      <c r="AG54" s="1964"/>
      <c r="AH54" s="1964"/>
      <c r="AI54" s="1964"/>
      <c r="AJ54" s="1964"/>
      <c r="AK54" s="1964"/>
      <c r="AL54" s="1964"/>
      <c r="AM54" s="1964"/>
    </row>
    <row r="55" spans="1:39" ht="14.25">
      <c r="A55" s="222" t="s">
        <v>270</v>
      </c>
      <c r="B55" s="225">
        <f>SUMIF(A57:A66,B56,B57:B66)</f>
        <v>1.5</v>
      </c>
      <c r="C55" s="2346"/>
      <c r="D55" s="1968"/>
      <c r="E55" s="1967"/>
      <c r="F55" s="1967"/>
      <c r="G55" s="1967"/>
      <c r="H55" s="1967"/>
      <c r="I55" s="1967"/>
      <c r="J55" s="1967"/>
      <c r="K55" s="1966"/>
      <c r="L55" s="1966"/>
      <c r="M55" s="1964"/>
      <c r="N55" s="1964"/>
      <c r="O55" s="1964"/>
      <c r="P55" s="1964"/>
      <c r="Q55" s="1964"/>
      <c r="R55" s="1964"/>
      <c r="S55" s="1964"/>
      <c r="T55" s="1964"/>
      <c r="U55" s="1964"/>
      <c r="V55" s="1964"/>
      <c r="W55" s="1964"/>
      <c r="X55" s="1964"/>
      <c r="Y55" s="1964"/>
      <c r="Z55" s="1964"/>
      <c r="AA55" s="1964"/>
      <c r="AB55" s="1964"/>
      <c r="AC55" s="1964"/>
      <c r="AD55" s="1964"/>
      <c r="AE55" s="1964"/>
      <c r="AF55" s="1964"/>
      <c r="AG55" s="1964"/>
      <c r="AH55" s="1964"/>
      <c r="AI55" s="1964"/>
      <c r="AJ55" s="1964"/>
      <c r="AK55" s="1964"/>
      <c r="AL55" s="1964"/>
      <c r="AM55" s="1964"/>
    </row>
    <row r="56" spans="1:39" ht="27">
      <c r="A56" s="207" t="s">
        <v>271</v>
      </c>
      <c r="B56" s="226" t="s">
        <v>1611</v>
      </c>
      <c r="C56" s="2349" t="s">
        <v>2582</v>
      </c>
      <c r="D56" s="1968"/>
      <c r="E56" s="1967"/>
      <c r="F56" s="1967"/>
      <c r="G56" s="1967"/>
      <c r="H56" s="1967"/>
      <c r="I56" s="1967"/>
      <c r="J56" s="1967"/>
      <c r="K56" s="1966"/>
      <c r="L56" s="1966"/>
      <c r="M56" s="1964"/>
      <c r="N56" s="1964"/>
      <c r="O56" s="1964"/>
      <c r="P56" s="1964"/>
      <c r="Q56" s="1964"/>
      <c r="R56" s="1964"/>
      <c r="S56" s="1964"/>
      <c r="T56" s="1964"/>
      <c r="U56" s="1964"/>
      <c r="V56" s="1964"/>
      <c r="W56" s="1964"/>
      <c r="X56" s="1964"/>
      <c r="Y56" s="1964"/>
      <c r="Z56" s="1964"/>
      <c r="AA56" s="1964"/>
      <c r="AB56" s="1964"/>
      <c r="AC56" s="1964"/>
      <c r="AD56" s="1964"/>
      <c r="AE56" s="1964"/>
      <c r="AF56" s="1964"/>
      <c r="AG56" s="1964"/>
      <c r="AH56" s="1964"/>
      <c r="AI56" s="1964"/>
      <c r="AJ56" s="1964"/>
      <c r="AK56" s="1964"/>
      <c r="AL56" s="1964"/>
      <c r="AM56" s="1964"/>
    </row>
    <row r="57" spans="1:39" ht="14.25">
      <c r="A57" s="227" t="s">
        <v>272</v>
      </c>
      <c r="B57" s="173">
        <v>30</v>
      </c>
      <c r="C57" s="2349"/>
      <c r="D57" s="1968"/>
      <c r="E57" s="1967"/>
      <c r="F57" s="1967"/>
      <c r="G57" s="1967"/>
      <c r="H57" s="1967"/>
      <c r="I57" s="1967"/>
      <c r="J57" s="1967"/>
      <c r="K57" s="1966"/>
      <c r="L57" s="1966"/>
      <c r="M57" s="1964"/>
      <c r="N57" s="1964"/>
      <c r="O57" s="1964"/>
      <c r="P57" s="1964"/>
      <c r="Q57" s="1964"/>
      <c r="R57" s="1964"/>
      <c r="S57" s="1964"/>
      <c r="T57" s="1964"/>
      <c r="U57" s="1964"/>
      <c r="V57" s="1964"/>
      <c r="W57" s="1964"/>
      <c r="X57" s="1964"/>
      <c r="Y57" s="1964"/>
      <c r="Z57" s="1964"/>
      <c r="AA57" s="1964"/>
      <c r="AB57" s="1964"/>
      <c r="AC57" s="1964"/>
      <c r="AD57" s="1964"/>
      <c r="AE57" s="1964"/>
      <c r="AF57" s="1964"/>
      <c r="AG57" s="1964"/>
      <c r="AH57" s="1964"/>
      <c r="AI57" s="1964"/>
      <c r="AJ57" s="1964"/>
      <c r="AK57" s="1964"/>
      <c r="AL57" s="1964"/>
      <c r="AM57" s="1964"/>
    </row>
    <row r="58" spans="1:39" ht="14.25">
      <c r="A58" s="227" t="s">
        <v>273</v>
      </c>
      <c r="B58" s="173">
        <v>24</v>
      </c>
      <c r="C58" s="1967"/>
      <c r="D58" s="1968"/>
      <c r="E58" s="1967"/>
      <c r="F58" s="1967"/>
      <c r="G58" s="1967"/>
      <c r="H58" s="1967"/>
      <c r="I58" s="1962"/>
      <c r="J58" s="1967"/>
      <c r="K58" s="1966"/>
      <c r="L58" s="1966"/>
      <c r="M58" s="1964"/>
      <c r="N58" s="1964"/>
      <c r="O58" s="1964"/>
      <c r="P58" s="1964"/>
      <c r="Q58" s="1964"/>
      <c r="R58" s="1964"/>
      <c r="S58" s="1964"/>
      <c r="T58" s="1964"/>
      <c r="U58" s="1964"/>
      <c r="V58" s="1964"/>
      <c r="W58" s="1964"/>
      <c r="X58" s="1964"/>
      <c r="Y58" s="1964"/>
      <c r="Z58" s="1964"/>
      <c r="AA58" s="1964"/>
      <c r="AB58" s="1964"/>
      <c r="AC58" s="1964"/>
      <c r="AD58" s="1964"/>
      <c r="AE58" s="1964"/>
      <c r="AF58" s="1964"/>
      <c r="AG58" s="1964"/>
      <c r="AH58" s="1964"/>
      <c r="AI58" s="1964"/>
      <c r="AJ58" s="1964"/>
      <c r="AK58" s="1964"/>
      <c r="AL58" s="1964"/>
      <c r="AM58" s="1964"/>
    </row>
    <row r="59" spans="1:39" ht="14.25">
      <c r="A59" s="227" t="s">
        <v>274</v>
      </c>
      <c r="B59" s="173">
        <v>18</v>
      </c>
      <c r="C59" s="1967"/>
      <c r="D59" s="1968"/>
      <c r="E59" s="1967"/>
      <c r="F59" s="1967"/>
      <c r="G59" s="1967"/>
      <c r="H59" s="1967"/>
      <c r="I59" s="1967"/>
      <c r="J59" s="1967"/>
      <c r="K59" s="1966"/>
      <c r="L59" s="1966"/>
      <c r="M59" s="1964"/>
      <c r="N59" s="1964"/>
      <c r="O59" s="1964"/>
      <c r="P59" s="1964"/>
      <c r="Q59" s="1964"/>
      <c r="R59" s="1964"/>
      <c r="S59" s="1964"/>
      <c r="T59" s="1964"/>
      <c r="U59" s="1964"/>
      <c r="V59" s="1964"/>
      <c r="W59" s="1964"/>
      <c r="X59" s="1964"/>
      <c r="Y59" s="1964"/>
      <c r="Z59" s="1964"/>
      <c r="AA59" s="1964"/>
      <c r="AB59" s="1964"/>
      <c r="AC59" s="1964"/>
      <c r="AD59" s="1964"/>
      <c r="AE59" s="1964"/>
      <c r="AF59" s="1964"/>
      <c r="AG59" s="1964"/>
      <c r="AH59" s="1964"/>
      <c r="AI59" s="1964"/>
      <c r="AJ59" s="1964"/>
      <c r="AK59" s="1964"/>
      <c r="AL59" s="1964"/>
      <c r="AM59" s="1964"/>
    </row>
    <row r="60" spans="1:39" ht="14.25">
      <c r="A60" s="227" t="s">
        <v>275</v>
      </c>
      <c r="B60" s="173">
        <v>12</v>
      </c>
      <c r="C60" s="1967"/>
      <c r="D60" s="1968"/>
      <c r="E60" s="1967"/>
      <c r="F60" s="1967"/>
      <c r="G60" s="1967"/>
      <c r="H60" s="1967"/>
      <c r="I60" s="1967"/>
      <c r="J60" s="1967"/>
      <c r="K60" s="1966"/>
      <c r="L60" s="1966"/>
      <c r="M60" s="1964"/>
      <c r="N60" s="1964"/>
      <c r="O60" s="1964"/>
      <c r="P60" s="1964"/>
      <c r="Q60" s="1964"/>
      <c r="R60" s="1964"/>
      <c r="S60" s="1964"/>
      <c r="T60" s="1964"/>
      <c r="U60" s="1964"/>
      <c r="V60" s="1964"/>
      <c r="W60" s="1964"/>
      <c r="X60" s="1964"/>
      <c r="Y60" s="1964"/>
      <c r="Z60" s="1964"/>
      <c r="AA60" s="1964"/>
      <c r="AB60" s="1964"/>
      <c r="AC60" s="1964"/>
      <c r="AD60" s="1964"/>
      <c r="AE60" s="1964"/>
      <c r="AF60" s="1964"/>
      <c r="AG60" s="1964"/>
      <c r="AH60" s="1964"/>
      <c r="AI60" s="1964"/>
      <c r="AJ60" s="1964"/>
      <c r="AK60" s="1964"/>
      <c r="AL60" s="1964"/>
      <c r="AM60" s="1964"/>
    </row>
    <row r="61" spans="1:39" ht="14.25">
      <c r="A61" s="227" t="s">
        <v>276</v>
      </c>
      <c r="B61" s="173">
        <v>3</v>
      </c>
      <c r="C61" s="1967"/>
      <c r="D61" s="1968"/>
      <c r="E61" s="1967"/>
      <c r="F61" s="1967"/>
      <c r="G61" s="1967"/>
      <c r="H61" s="1967"/>
      <c r="I61" s="1967"/>
      <c r="J61" s="1967"/>
      <c r="K61" s="1966"/>
      <c r="L61" s="1966"/>
      <c r="M61" s="1964"/>
      <c r="N61" s="1964"/>
      <c r="O61" s="1964"/>
      <c r="P61" s="1964"/>
      <c r="Q61" s="1964"/>
      <c r="R61" s="1964"/>
      <c r="S61" s="1964"/>
      <c r="T61" s="1964"/>
      <c r="U61" s="1964"/>
      <c r="V61" s="1964"/>
      <c r="W61" s="1964"/>
      <c r="X61" s="1964"/>
      <c r="Y61" s="1964"/>
      <c r="Z61" s="1964"/>
      <c r="AA61" s="1964"/>
      <c r="AB61" s="1964"/>
      <c r="AC61" s="1964"/>
      <c r="AD61" s="1964"/>
      <c r="AE61" s="1964"/>
      <c r="AF61" s="1964"/>
      <c r="AG61" s="1964"/>
      <c r="AH61" s="1964"/>
      <c r="AI61" s="1964"/>
      <c r="AJ61" s="1964"/>
      <c r="AK61" s="1964"/>
      <c r="AL61" s="1964"/>
      <c r="AM61" s="1964"/>
    </row>
    <row r="62" spans="1:39" ht="14.25">
      <c r="A62" s="227" t="s">
        <v>277</v>
      </c>
      <c r="B62" s="173">
        <v>1.5</v>
      </c>
      <c r="C62" s="1967"/>
      <c r="D62" s="1968"/>
      <c r="E62" s="1967"/>
      <c r="F62" s="1967"/>
      <c r="G62" s="1967"/>
      <c r="H62" s="1967"/>
      <c r="I62" s="1967"/>
      <c r="J62" s="1967"/>
      <c r="K62" s="1966"/>
      <c r="L62" s="1966"/>
      <c r="M62" s="1964"/>
      <c r="N62" s="1964"/>
      <c r="O62" s="1964"/>
      <c r="P62" s="1964"/>
      <c r="Q62" s="1964"/>
      <c r="R62" s="1964"/>
      <c r="S62" s="1964"/>
      <c r="T62" s="1964"/>
      <c r="U62" s="1964"/>
      <c r="V62" s="1964"/>
      <c r="W62" s="1964"/>
      <c r="X62" s="1964"/>
      <c r="Y62" s="1964"/>
      <c r="Z62" s="1964"/>
      <c r="AA62" s="1964"/>
      <c r="AB62" s="1964"/>
      <c r="AC62" s="1964"/>
      <c r="AD62" s="1964"/>
      <c r="AE62" s="1964"/>
      <c r="AF62" s="1964"/>
      <c r="AG62" s="1964"/>
      <c r="AH62" s="1964"/>
      <c r="AI62" s="1964"/>
      <c r="AJ62" s="1964"/>
      <c r="AK62" s="1964"/>
      <c r="AL62" s="1964"/>
      <c r="AM62" s="1964"/>
    </row>
    <row r="63" spans="1:39" ht="14.25">
      <c r="A63" s="227"/>
      <c r="B63" s="173"/>
      <c r="C63" s="1967"/>
      <c r="D63" s="1968"/>
      <c r="E63" s="1967"/>
      <c r="F63" s="1967"/>
      <c r="G63" s="1967"/>
      <c r="H63" s="1967"/>
      <c r="I63" s="1967"/>
      <c r="J63" s="1967"/>
      <c r="K63" s="1966"/>
      <c r="L63" s="1966"/>
      <c r="M63" s="1964"/>
      <c r="N63" s="1964"/>
      <c r="O63" s="1964"/>
      <c r="P63" s="1964"/>
      <c r="Q63" s="1964"/>
      <c r="R63" s="1964"/>
      <c r="S63" s="1964"/>
      <c r="T63" s="1964"/>
      <c r="U63" s="1964"/>
      <c r="V63" s="1964"/>
      <c r="W63" s="1964"/>
      <c r="X63" s="1964"/>
      <c r="Y63" s="1964"/>
      <c r="Z63" s="1964"/>
      <c r="AA63" s="1964"/>
      <c r="AB63" s="1964"/>
      <c r="AC63" s="1964"/>
      <c r="AD63" s="1964"/>
      <c r="AE63" s="1964"/>
      <c r="AF63" s="1964"/>
      <c r="AG63" s="1964"/>
      <c r="AH63" s="1964"/>
      <c r="AI63" s="1964"/>
      <c r="AJ63" s="1964"/>
      <c r="AK63" s="1964"/>
      <c r="AL63" s="1964"/>
      <c r="AM63" s="1964"/>
    </row>
    <row r="64" spans="1:39" ht="14.25">
      <c r="A64" s="227"/>
      <c r="B64" s="173"/>
      <c r="C64" s="1967"/>
      <c r="D64" s="1968"/>
      <c r="E64" s="1967"/>
      <c r="F64" s="1967"/>
      <c r="G64" s="1967"/>
      <c r="H64" s="1967"/>
      <c r="I64" s="1967"/>
      <c r="J64" s="1967"/>
      <c r="K64" s="1966"/>
      <c r="L64" s="1966"/>
      <c r="M64" s="1964"/>
      <c r="N64" s="1964"/>
      <c r="O64" s="1964"/>
      <c r="P64" s="1964"/>
      <c r="Q64" s="1964"/>
      <c r="R64" s="1964"/>
      <c r="S64" s="1964"/>
      <c r="T64" s="1964"/>
      <c r="U64" s="1964"/>
      <c r="V64" s="1964"/>
      <c r="W64" s="1964"/>
      <c r="X64" s="1964"/>
      <c r="Y64" s="1964"/>
      <c r="Z64" s="1964"/>
      <c r="AA64" s="1964"/>
      <c r="AB64" s="1964"/>
      <c r="AC64" s="1964"/>
      <c r="AD64" s="1964"/>
      <c r="AE64" s="1964"/>
      <c r="AF64" s="1964"/>
      <c r="AG64" s="1964"/>
      <c r="AH64" s="1964"/>
      <c r="AI64" s="1964"/>
      <c r="AJ64" s="1964"/>
      <c r="AK64" s="1964"/>
      <c r="AL64" s="1964"/>
      <c r="AM64" s="1964"/>
    </row>
    <row r="65" spans="1:39" ht="14.25">
      <c r="A65" s="227"/>
      <c r="B65" s="173"/>
      <c r="C65" s="1967"/>
      <c r="D65" s="1968"/>
      <c r="E65" s="1967"/>
      <c r="F65" s="1967"/>
      <c r="G65" s="1967"/>
      <c r="H65" s="1967"/>
      <c r="I65" s="1967"/>
      <c r="J65" s="1967"/>
      <c r="K65" s="1966"/>
      <c r="L65" s="1966"/>
      <c r="M65" s="1964"/>
      <c r="N65" s="1964"/>
      <c r="O65" s="1964"/>
      <c r="P65" s="1964"/>
      <c r="Q65" s="1964"/>
      <c r="R65" s="1964"/>
      <c r="S65" s="1964"/>
      <c r="T65" s="1964"/>
      <c r="U65" s="1964"/>
      <c r="V65" s="1964"/>
      <c r="W65" s="1964"/>
      <c r="X65" s="1964"/>
      <c r="Y65" s="1964"/>
      <c r="Z65" s="1964"/>
      <c r="AA65" s="1964"/>
      <c r="AB65" s="1964"/>
      <c r="AC65" s="1964"/>
      <c r="AD65" s="1964"/>
      <c r="AE65" s="1964"/>
      <c r="AF65" s="1964"/>
      <c r="AG65" s="1964"/>
      <c r="AH65" s="1964"/>
      <c r="AI65" s="1964"/>
      <c r="AJ65" s="1964"/>
      <c r="AK65" s="1964"/>
      <c r="AL65" s="1964"/>
      <c r="AM65" s="1964"/>
    </row>
    <row r="66" spans="1:39" ht="15" thickBot="1">
      <c r="A66" s="228"/>
      <c r="B66" s="229"/>
      <c r="C66" s="1967"/>
      <c r="D66" s="1968"/>
      <c r="E66" s="1967"/>
      <c r="F66" s="1967"/>
      <c r="G66" s="1967"/>
      <c r="H66" s="1967"/>
      <c r="I66" s="1967"/>
      <c r="J66" s="1967"/>
      <c r="K66" s="1966"/>
      <c r="L66" s="1966"/>
      <c r="M66" s="1964"/>
      <c r="N66" s="1964"/>
      <c r="O66" s="1964"/>
      <c r="P66" s="1964"/>
      <c r="Q66" s="1964"/>
      <c r="R66" s="1964"/>
      <c r="S66" s="1964"/>
      <c r="T66" s="1964"/>
      <c r="U66" s="1964"/>
      <c r="V66" s="1964"/>
      <c r="W66" s="1964"/>
      <c r="X66" s="1964"/>
      <c r="Y66" s="1964"/>
      <c r="Z66" s="1964"/>
      <c r="AA66" s="1964"/>
      <c r="AB66" s="1964"/>
      <c r="AC66" s="1964"/>
      <c r="AD66" s="1964"/>
      <c r="AE66" s="1964"/>
      <c r="AF66" s="1964"/>
      <c r="AG66" s="1964"/>
      <c r="AH66" s="1964"/>
      <c r="AI66" s="1964"/>
      <c r="AJ66" s="1964"/>
      <c r="AK66" s="1964"/>
      <c r="AL66" s="1964"/>
      <c r="AM66" s="1964"/>
    </row>
    <row r="67" spans="1:39" s="1973" customFormat="1">
      <c r="A67" s="230"/>
      <c r="D67" s="1974"/>
      <c r="K67" s="56"/>
      <c r="L67" s="56"/>
    </row>
    <row r="68" spans="1:39" s="1973" customFormat="1">
      <c r="A68" s="230"/>
      <c r="D68" s="1974"/>
      <c r="K68" s="56"/>
      <c r="L68" s="56"/>
    </row>
    <row r="69" spans="1:39" s="1973" customFormat="1">
      <c r="A69" s="230"/>
      <c r="D69" s="1974"/>
      <c r="K69" s="56"/>
      <c r="L69" s="56"/>
    </row>
    <row r="70" spans="1:39" s="1973" customFormat="1">
      <c r="A70" s="230"/>
      <c r="D70" s="1974"/>
      <c r="K70" s="56"/>
      <c r="L70" s="56"/>
    </row>
    <row r="71" spans="1:39" s="1973" customFormat="1">
      <c r="A71" s="230"/>
      <c r="D71" s="1974"/>
      <c r="K71" s="56"/>
      <c r="L71" s="56"/>
    </row>
    <row r="72" spans="1:39" s="1973" customFormat="1">
      <c r="A72" s="230"/>
      <c r="D72" s="1974"/>
      <c r="K72" s="56"/>
      <c r="L72" s="56"/>
    </row>
    <row r="73" spans="1:39" s="1973" customFormat="1">
      <c r="A73" s="230"/>
      <c r="D73" s="1974"/>
      <c r="K73" s="56"/>
      <c r="L73" s="56"/>
    </row>
    <row r="74" spans="1:39" s="1973" customFormat="1">
      <c r="A74" s="230"/>
      <c r="D74" s="1974"/>
      <c r="K74" s="56"/>
      <c r="L74" s="56"/>
    </row>
    <row r="75" spans="1:39" s="1973" customFormat="1">
      <c r="A75" s="230"/>
      <c r="D75" s="1974"/>
      <c r="K75" s="56"/>
      <c r="L75" s="56"/>
    </row>
    <row r="76" spans="1:39" s="1973" customFormat="1">
      <c r="A76" s="230"/>
      <c r="D76" s="1974"/>
      <c r="K76" s="56"/>
      <c r="L76" s="56"/>
    </row>
    <row r="77" spans="1:39" s="1973" customFormat="1">
      <c r="A77" s="230"/>
      <c r="D77" s="1974"/>
      <c r="K77" s="56"/>
      <c r="L77" s="56"/>
    </row>
    <row r="78" spans="1:39" s="1973" customFormat="1">
      <c r="A78" s="230"/>
      <c r="D78" s="1974"/>
      <c r="K78" s="56"/>
      <c r="L78" s="56"/>
    </row>
    <row r="79" spans="1:39" s="1973" customFormat="1">
      <c r="A79" s="230"/>
      <c r="D79" s="1974"/>
      <c r="K79" s="56"/>
      <c r="L79" s="56"/>
    </row>
    <row r="80" spans="1:39" s="1973" customFormat="1">
      <c r="A80" s="230"/>
      <c r="D80" s="1974"/>
      <c r="K80" s="56"/>
      <c r="L80" s="56"/>
    </row>
    <row r="81" spans="1:12" s="1973" customFormat="1">
      <c r="A81" s="230"/>
      <c r="D81" s="1974"/>
      <c r="K81" s="56"/>
      <c r="L81" s="56"/>
    </row>
    <row r="82" spans="1:12" s="1973" customFormat="1">
      <c r="A82" s="230"/>
      <c r="D82" s="1974"/>
      <c r="K82" s="56"/>
      <c r="L82" s="56"/>
    </row>
    <row r="83" spans="1:12" s="1973" customFormat="1">
      <c r="A83" s="230"/>
      <c r="D83" s="1974"/>
      <c r="K83" s="56"/>
      <c r="L83" s="56"/>
    </row>
    <row r="84" spans="1:12" s="1973" customFormat="1">
      <c r="A84" s="230"/>
      <c r="D84" s="1974"/>
      <c r="K84" s="56"/>
      <c r="L84" s="56"/>
    </row>
    <row r="85" spans="1:12" s="1973" customFormat="1">
      <c r="A85" s="230"/>
      <c r="D85" s="1974"/>
      <c r="K85" s="56"/>
      <c r="L85" s="56"/>
    </row>
    <row r="86" spans="1:12" s="1973" customFormat="1">
      <c r="A86" s="230"/>
      <c r="D86" s="1974"/>
      <c r="K86" s="56"/>
      <c r="L86" s="56"/>
    </row>
    <row r="87" spans="1:12" s="1973" customFormat="1">
      <c r="A87" s="230"/>
      <c r="D87" s="1974"/>
      <c r="K87" s="56"/>
      <c r="L87" s="56"/>
    </row>
    <row r="88" spans="1:12" s="1973" customFormat="1">
      <c r="A88" s="230"/>
      <c r="D88" s="1974"/>
      <c r="K88" s="56"/>
      <c r="L88" s="56"/>
    </row>
    <row r="89" spans="1:12" s="1973" customFormat="1">
      <c r="A89" s="230"/>
      <c r="D89" s="1974"/>
      <c r="K89" s="56"/>
      <c r="L89" s="56"/>
    </row>
    <row r="90" spans="1:12" s="1973" customFormat="1">
      <c r="A90" s="230"/>
      <c r="D90" s="1974"/>
      <c r="K90" s="56"/>
      <c r="L90" s="56"/>
    </row>
    <row r="91" spans="1:12" s="1973" customFormat="1">
      <c r="A91" s="230"/>
      <c r="D91" s="1974"/>
      <c r="K91" s="56"/>
      <c r="L91" s="56"/>
    </row>
    <row r="92" spans="1:12" s="1973" customFormat="1">
      <c r="A92" s="230"/>
      <c r="D92" s="1974"/>
      <c r="K92" s="56"/>
      <c r="L92" s="56"/>
    </row>
    <row r="93" spans="1:12" s="1973" customFormat="1">
      <c r="A93" s="230"/>
      <c r="D93" s="1974"/>
      <c r="K93" s="56"/>
      <c r="L93" s="56"/>
    </row>
    <row r="94" spans="1:12" s="1973" customFormat="1">
      <c r="A94" s="230"/>
      <c r="D94" s="1974"/>
      <c r="K94" s="56"/>
      <c r="L94" s="56"/>
    </row>
    <row r="95" spans="1:12" s="1973" customFormat="1">
      <c r="A95" s="230"/>
      <c r="D95" s="1974"/>
      <c r="K95" s="56"/>
      <c r="L95" s="56"/>
    </row>
    <row r="96" spans="1:12" s="1973" customFormat="1">
      <c r="A96" s="230"/>
      <c r="D96" s="1974"/>
      <c r="K96" s="56"/>
      <c r="L96" s="56"/>
    </row>
    <row r="97" spans="1:12" s="1973" customFormat="1">
      <c r="A97" s="230"/>
      <c r="D97" s="1974"/>
      <c r="K97" s="56"/>
      <c r="L97" s="56"/>
    </row>
    <row r="98" spans="1:12" s="1973" customFormat="1">
      <c r="A98" s="230"/>
      <c r="D98" s="1974"/>
      <c r="K98" s="56"/>
      <c r="L98" s="56"/>
    </row>
    <row r="99" spans="1:12" s="1973" customFormat="1">
      <c r="A99" s="230"/>
      <c r="D99" s="1974"/>
      <c r="K99" s="56"/>
      <c r="L99" s="56"/>
    </row>
    <row r="100" spans="1:12" s="1973" customFormat="1">
      <c r="A100" s="230"/>
      <c r="D100" s="1974"/>
      <c r="K100" s="56"/>
      <c r="L100" s="56"/>
    </row>
    <row r="101" spans="1:12" s="1973" customFormat="1">
      <c r="A101" s="230"/>
      <c r="D101" s="1974"/>
      <c r="K101" s="56"/>
      <c r="L101" s="56"/>
    </row>
    <row r="102" spans="1:12" s="1973" customFormat="1">
      <c r="A102" s="230"/>
      <c r="D102" s="1974"/>
      <c r="K102" s="56"/>
      <c r="L102" s="56"/>
    </row>
    <row r="103" spans="1:12" s="1973" customFormat="1">
      <c r="A103" s="230"/>
      <c r="D103" s="1974"/>
      <c r="K103" s="56"/>
      <c r="L103" s="56"/>
    </row>
    <row r="104" spans="1:12" s="1973" customFormat="1">
      <c r="A104" s="230"/>
      <c r="D104" s="1974"/>
      <c r="K104" s="56"/>
      <c r="L104" s="56"/>
    </row>
    <row r="105" spans="1:12" s="1973" customFormat="1">
      <c r="A105" s="230"/>
      <c r="D105" s="1974"/>
      <c r="K105" s="56"/>
      <c r="L105" s="56"/>
    </row>
    <row r="106" spans="1:12" s="1973" customFormat="1">
      <c r="A106" s="230"/>
      <c r="D106" s="1974"/>
      <c r="K106" s="56"/>
      <c r="L106" s="56"/>
    </row>
    <row r="107" spans="1:12" s="1973" customFormat="1">
      <c r="A107" s="230"/>
      <c r="D107" s="1974"/>
      <c r="K107" s="56"/>
      <c r="L107" s="56"/>
    </row>
    <row r="108" spans="1:12" s="1973" customFormat="1">
      <c r="A108" s="230"/>
      <c r="D108" s="1974"/>
      <c r="K108" s="56"/>
      <c r="L108" s="56"/>
    </row>
    <row r="109" spans="1:12" s="1973" customFormat="1">
      <c r="A109" s="230"/>
      <c r="D109" s="1974"/>
      <c r="K109" s="56"/>
      <c r="L109" s="56"/>
    </row>
    <row r="110" spans="1:12" s="1973" customFormat="1">
      <c r="A110" s="230"/>
      <c r="D110" s="1974"/>
      <c r="K110" s="56"/>
      <c r="L110" s="56"/>
    </row>
    <row r="111" spans="1:12" s="1973" customFormat="1">
      <c r="A111" s="230"/>
      <c r="D111" s="1974"/>
      <c r="K111" s="56"/>
      <c r="L111" s="56"/>
    </row>
    <row r="112" spans="1:12" s="1973" customFormat="1">
      <c r="A112" s="230"/>
      <c r="D112" s="1974"/>
      <c r="K112" s="56"/>
      <c r="L112" s="56"/>
    </row>
    <row r="113" spans="1:12" s="1973" customFormat="1">
      <c r="A113" s="230"/>
      <c r="D113" s="1974"/>
      <c r="K113" s="56"/>
      <c r="L113" s="56"/>
    </row>
    <row r="114" spans="1:12" s="1973" customFormat="1">
      <c r="A114" s="230"/>
      <c r="D114" s="1974"/>
      <c r="K114" s="56"/>
      <c r="L114" s="56"/>
    </row>
    <row r="115" spans="1:12" s="1973" customFormat="1">
      <c r="A115" s="230"/>
      <c r="D115" s="1974"/>
      <c r="K115" s="56"/>
      <c r="L115" s="56"/>
    </row>
    <row r="116" spans="1:12" s="1973" customFormat="1">
      <c r="A116" s="230"/>
      <c r="D116" s="1974"/>
      <c r="K116" s="56"/>
      <c r="L116" s="56"/>
    </row>
    <row r="117" spans="1:12" s="1973" customFormat="1">
      <c r="A117" s="230"/>
      <c r="D117" s="1974"/>
      <c r="K117" s="56"/>
      <c r="L117" s="56"/>
    </row>
    <row r="118" spans="1:12" s="1973" customFormat="1">
      <c r="A118" s="230"/>
      <c r="D118" s="1974"/>
      <c r="K118" s="56"/>
      <c r="L118" s="56"/>
    </row>
    <row r="119" spans="1:12" s="1973" customFormat="1">
      <c r="A119" s="230"/>
      <c r="D119" s="1974"/>
      <c r="K119" s="56"/>
      <c r="L119" s="56"/>
    </row>
    <row r="120" spans="1:12" s="1973" customFormat="1">
      <c r="A120" s="230"/>
      <c r="D120" s="1974"/>
      <c r="K120" s="56"/>
      <c r="L120" s="56"/>
    </row>
    <row r="121" spans="1:12" s="1973" customFormat="1">
      <c r="A121" s="230"/>
      <c r="D121" s="1974"/>
      <c r="K121" s="56"/>
      <c r="L121" s="56"/>
    </row>
    <row r="122" spans="1:12" s="1973" customFormat="1">
      <c r="A122" s="230"/>
      <c r="D122" s="1974"/>
      <c r="K122" s="56"/>
      <c r="L122" s="56"/>
    </row>
    <row r="123" spans="1:12" s="1973" customFormat="1">
      <c r="A123" s="230"/>
      <c r="D123" s="1974"/>
      <c r="K123" s="56"/>
      <c r="L123" s="56"/>
    </row>
    <row r="124" spans="1:12" s="1973" customFormat="1">
      <c r="A124" s="230"/>
      <c r="D124" s="1974"/>
      <c r="K124" s="56"/>
      <c r="L124" s="56"/>
    </row>
    <row r="125" spans="1:12" s="1973" customFormat="1">
      <c r="A125" s="230"/>
      <c r="D125" s="1974"/>
      <c r="K125" s="56"/>
      <c r="L125" s="56"/>
    </row>
    <row r="126" spans="1:12" s="1973" customFormat="1">
      <c r="A126" s="230"/>
      <c r="D126" s="1974"/>
      <c r="K126" s="56"/>
      <c r="L126" s="56"/>
    </row>
    <row r="127" spans="1:12" s="1973" customFormat="1">
      <c r="A127" s="230"/>
      <c r="D127" s="1974"/>
      <c r="K127" s="56"/>
      <c r="L127" s="56"/>
    </row>
    <row r="128" spans="1:12" s="1973" customFormat="1">
      <c r="A128" s="230"/>
      <c r="D128" s="1974"/>
      <c r="K128" s="56"/>
      <c r="L128" s="56"/>
    </row>
    <row r="129" spans="1:12" s="1973" customFormat="1">
      <c r="A129" s="230"/>
      <c r="D129" s="1974"/>
      <c r="K129" s="56"/>
      <c r="L129" s="56"/>
    </row>
    <row r="130" spans="1:12" s="1973" customFormat="1">
      <c r="A130" s="230"/>
      <c r="D130" s="1974"/>
      <c r="K130" s="56"/>
      <c r="L130" s="56"/>
    </row>
    <row r="131" spans="1:12" s="1973" customFormat="1">
      <c r="A131" s="230"/>
      <c r="D131" s="1974"/>
      <c r="K131" s="56"/>
      <c r="L131" s="56"/>
    </row>
    <row r="132" spans="1:12" s="1973" customFormat="1">
      <c r="A132" s="230"/>
      <c r="D132" s="1974"/>
      <c r="K132" s="56"/>
      <c r="L132" s="56"/>
    </row>
    <row r="133" spans="1:12" s="1973" customFormat="1">
      <c r="A133" s="230"/>
      <c r="D133" s="1974"/>
      <c r="K133" s="56"/>
      <c r="L133" s="56"/>
    </row>
    <row r="134" spans="1:12" s="1973" customFormat="1">
      <c r="A134" s="230"/>
      <c r="D134" s="1974"/>
      <c r="K134" s="56"/>
      <c r="L134" s="56"/>
    </row>
    <row r="135" spans="1:12" s="1973" customFormat="1">
      <c r="A135" s="230"/>
      <c r="D135" s="1974"/>
      <c r="K135" s="56"/>
      <c r="L135" s="56"/>
    </row>
    <row r="136" spans="1:12" s="1973" customFormat="1">
      <c r="A136" s="230"/>
      <c r="D136" s="1974"/>
      <c r="K136" s="56"/>
      <c r="L136" s="56"/>
    </row>
    <row r="137" spans="1:12" s="1973" customFormat="1">
      <c r="A137" s="230"/>
      <c r="D137" s="1974"/>
      <c r="K137" s="56"/>
      <c r="L137" s="56"/>
    </row>
    <row r="138" spans="1:12" s="1973" customFormat="1">
      <c r="A138" s="230"/>
      <c r="D138" s="1974"/>
      <c r="K138" s="56"/>
      <c r="L138" s="56"/>
    </row>
    <row r="139" spans="1:12" s="1973" customFormat="1">
      <c r="A139" s="230"/>
      <c r="D139" s="1974"/>
      <c r="K139" s="56"/>
      <c r="L139" s="56"/>
    </row>
    <row r="140" spans="1:12" s="1973" customFormat="1">
      <c r="A140" s="230"/>
      <c r="D140" s="1974"/>
      <c r="K140" s="56"/>
      <c r="L140" s="56"/>
    </row>
    <row r="141" spans="1:12" s="1973" customFormat="1">
      <c r="A141" s="230"/>
      <c r="D141" s="1974"/>
      <c r="K141" s="56"/>
      <c r="L141" s="56"/>
    </row>
    <row r="142" spans="1:12" s="1973" customFormat="1">
      <c r="A142" s="230"/>
      <c r="D142" s="1974"/>
      <c r="K142" s="56"/>
      <c r="L142" s="56"/>
    </row>
    <row r="143" spans="1:12" s="1973" customFormat="1">
      <c r="A143" s="230"/>
      <c r="D143" s="1974"/>
      <c r="K143" s="56"/>
      <c r="L143" s="56"/>
    </row>
    <row r="144" spans="1:12" s="1973" customFormat="1">
      <c r="A144" s="230"/>
      <c r="D144" s="1974"/>
      <c r="K144" s="56"/>
      <c r="L144" s="56"/>
    </row>
    <row r="145" spans="1:12" s="1973" customFormat="1">
      <c r="A145" s="230"/>
      <c r="D145" s="1974"/>
      <c r="K145" s="56"/>
      <c r="L145" s="56"/>
    </row>
    <row r="146" spans="1:12" s="1973" customFormat="1">
      <c r="A146" s="230"/>
      <c r="D146" s="1974"/>
      <c r="K146" s="56"/>
      <c r="L146" s="56"/>
    </row>
    <row r="147" spans="1:12" s="1973" customFormat="1">
      <c r="A147" s="230"/>
      <c r="D147" s="1974"/>
      <c r="K147" s="56"/>
      <c r="L147" s="56"/>
    </row>
    <row r="148" spans="1:12" s="1973" customFormat="1">
      <c r="A148" s="230"/>
      <c r="D148" s="1974"/>
      <c r="K148" s="56"/>
      <c r="L148" s="56"/>
    </row>
    <row r="149" spans="1:12" s="1973" customFormat="1">
      <c r="A149" s="230"/>
      <c r="D149" s="1974"/>
      <c r="K149" s="56"/>
      <c r="L149" s="56"/>
    </row>
    <row r="150" spans="1:12" s="1973" customFormat="1">
      <c r="A150" s="230"/>
      <c r="D150" s="1974"/>
      <c r="K150" s="56"/>
      <c r="L150" s="56"/>
    </row>
    <row r="151" spans="1:12" s="1973" customFormat="1">
      <c r="A151" s="230"/>
      <c r="D151" s="1974"/>
      <c r="K151" s="56"/>
      <c r="L151" s="56"/>
    </row>
    <row r="152" spans="1:12" s="1973" customFormat="1">
      <c r="A152" s="230"/>
      <c r="D152" s="1974"/>
      <c r="K152" s="56"/>
      <c r="L152" s="56"/>
    </row>
    <row r="153" spans="1:12" s="1973" customFormat="1">
      <c r="A153" s="230"/>
      <c r="D153" s="1974"/>
      <c r="K153" s="56"/>
      <c r="L153" s="56"/>
    </row>
    <row r="154" spans="1:12" s="1973" customFormat="1">
      <c r="A154" s="230"/>
      <c r="D154" s="1974"/>
      <c r="K154" s="56"/>
      <c r="L154" s="56"/>
    </row>
    <row r="155" spans="1:12" s="1973" customFormat="1">
      <c r="A155" s="230"/>
      <c r="D155" s="1974"/>
      <c r="K155" s="56"/>
      <c r="L155" s="56"/>
    </row>
    <row r="156" spans="1:12" s="1973" customFormat="1">
      <c r="A156" s="230"/>
      <c r="D156" s="1974"/>
      <c r="K156" s="56"/>
      <c r="L156" s="56"/>
    </row>
    <row r="157" spans="1:12" s="1973" customFormat="1">
      <c r="A157" s="230"/>
      <c r="D157" s="1974"/>
      <c r="K157" s="56"/>
      <c r="L157" s="56"/>
    </row>
    <row r="158" spans="1:12" s="1973" customFormat="1">
      <c r="A158" s="230"/>
      <c r="D158" s="1974"/>
      <c r="K158" s="56"/>
      <c r="L158" s="56"/>
    </row>
    <row r="159" spans="1:12" s="1973" customFormat="1">
      <c r="A159" s="230"/>
      <c r="D159" s="1974"/>
      <c r="K159" s="56"/>
      <c r="L159" s="56"/>
    </row>
    <row r="160" spans="1:12" s="1973" customFormat="1">
      <c r="A160" s="230"/>
      <c r="D160" s="1974"/>
      <c r="K160" s="56"/>
      <c r="L160" s="56"/>
    </row>
    <row r="161" spans="1:12" s="1973" customFormat="1">
      <c r="A161" s="230"/>
      <c r="D161" s="1974"/>
      <c r="K161" s="56"/>
      <c r="L161" s="56"/>
    </row>
    <row r="162" spans="1:12" s="1973" customFormat="1">
      <c r="A162" s="230"/>
      <c r="D162" s="1974"/>
      <c r="K162" s="56"/>
      <c r="L162" s="56"/>
    </row>
    <row r="163" spans="1:12" s="1973" customFormat="1">
      <c r="A163" s="230"/>
      <c r="D163" s="1974"/>
      <c r="K163" s="56"/>
      <c r="L163" s="56"/>
    </row>
    <row r="164" spans="1:12" s="1973" customFormat="1">
      <c r="A164" s="230"/>
      <c r="D164" s="1974"/>
      <c r="K164" s="56"/>
      <c r="L164" s="56"/>
    </row>
    <row r="165" spans="1:12" s="1973" customFormat="1">
      <c r="A165" s="230"/>
      <c r="D165" s="1974"/>
      <c r="K165" s="56"/>
      <c r="L165" s="56"/>
    </row>
    <row r="166" spans="1:12" s="1973" customFormat="1">
      <c r="A166" s="230"/>
      <c r="D166" s="1974"/>
      <c r="K166" s="56"/>
      <c r="L166" s="56"/>
    </row>
    <row r="167" spans="1:12" s="1973" customFormat="1">
      <c r="A167" s="230"/>
      <c r="D167" s="1974"/>
      <c r="K167" s="56"/>
      <c r="L167" s="56"/>
    </row>
    <row r="168" spans="1:12" s="1973" customFormat="1">
      <c r="A168" s="230"/>
      <c r="D168" s="1974"/>
      <c r="K168" s="56"/>
      <c r="L168" s="56"/>
    </row>
    <row r="169" spans="1:12" s="1973" customFormat="1">
      <c r="A169" s="230"/>
      <c r="D169" s="1974"/>
      <c r="K169" s="56"/>
      <c r="L169" s="56"/>
    </row>
    <row r="170" spans="1:12" s="1973" customFormat="1">
      <c r="A170" s="230"/>
      <c r="D170" s="1974"/>
      <c r="K170" s="56"/>
      <c r="L170" s="56"/>
    </row>
    <row r="171" spans="1:12" s="1973" customFormat="1">
      <c r="A171" s="230"/>
      <c r="D171" s="1974"/>
      <c r="K171" s="56"/>
      <c r="L171" s="56"/>
    </row>
    <row r="172" spans="1:12" s="1973" customFormat="1">
      <c r="A172" s="230"/>
      <c r="D172" s="1974"/>
      <c r="K172" s="56"/>
      <c r="L172" s="56"/>
    </row>
    <row r="173" spans="1:12" s="1973" customFormat="1">
      <c r="A173" s="230"/>
      <c r="D173" s="1974"/>
      <c r="K173" s="56"/>
      <c r="L173" s="56"/>
    </row>
    <row r="174" spans="1:12" s="1973" customFormat="1">
      <c r="A174" s="230"/>
      <c r="D174" s="1974"/>
      <c r="K174" s="56"/>
      <c r="L174" s="56"/>
    </row>
    <row r="175" spans="1:12" s="1973" customFormat="1">
      <c r="A175" s="230"/>
      <c r="D175" s="1974"/>
      <c r="K175" s="56"/>
      <c r="L175" s="56"/>
    </row>
    <row r="176" spans="1:12" s="1973" customFormat="1">
      <c r="A176" s="230"/>
      <c r="D176" s="1974"/>
      <c r="K176" s="56"/>
      <c r="L176" s="56"/>
    </row>
    <row r="177" spans="1:12" s="1973" customFormat="1">
      <c r="A177" s="230"/>
      <c r="D177" s="1974"/>
      <c r="K177" s="56"/>
      <c r="L177" s="56"/>
    </row>
    <row r="178" spans="1:12" s="1973" customFormat="1">
      <c r="A178" s="230"/>
      <c r="D178" s="1974"/>
      <c r="K178" s="56"/>
      <c r="L178" s="56"/>
    </row>
    <row r="179" spans="1:12" s="1973" customFormat="1">
      <c r="A179" s="230"/>
      <c r="D179" s="1974"/>
      <c r="K179" s="56"/>
      <c r="L179" s="56"/>
    </row>
    <row r="180" spans="1:12" s="1973" customFormat="1">
      <c r="A180" s="230"/>
      <c r="D180" s="1974"/>
      <c r="K180" s="56"/>
      <c r="L180" s="56"/>
    </row>
    <row r="181" spans="1:12" s="1973" customFormat="1">
      <c r="A181" s="230"/>
      <c r="D181" s="1974"/>
      <c r="K181" s="56"/>
      <c r="L181" s="56"/>
    </row>
    <row r="182" spans="1:12" s="1973" customFormat="1">
      <c r="A182" s="230"/>
      <c r="D182" s="1974"/>
      <c r="K182" s="56"/>
      <c r="L182" s="56"/>
    </row>
    <row r="183" spans="1:12" s="1973" customFormat="1">
      <c r="A183" s="230"/>
      <c r="D183" s="1974"/>
      <c r="K183" s="56"/>
      <c r="L183" s="56"/>
    </row>
    <row r="184" spans="1:12" s="1973" customFormat="1">
      <c r="A184" s="230"/>
      <c r="D184" s="1974"/>
      <c r="K184" s="56"/>
      <c r="L184" s="56"/>
    </row>
    <row r="185" spans="1:12" s="1973" customFormat="1">
      <c r="A185" s="230"/>
      <c r="D185" s="1974"/>
      <c r="K185" s="56"/>
      <c r="L185" s="56"/>
    </row>
    <row r="186" spans="1:12" s="1973" customFormat="1">
      <c r="A186" s="230"/>
      <c r="D186" s="1974"/>
      <c r="K186" s="56"/>
      <c r="L186" s="56"/>
    </row>
    <row r="187" spans="1:12" s="1973" customFormat="1">
      <c r="A187" s="230"/>
      <c r="D187" s="1974"/>
      <c r="K187" s="56"/>
      <c r="L187" s="56"/>
    </row>
    <row r="188" spans="1:12" s="1973" customFormat="1">
      <c r="A188" s="230"/>
      <c r="D188" s="1974"/>
      <c r="K188" s="56"/>
      <c r="L188" s="56"/>
    </row>
    <row r="189" spans="1:12" s="1973" customFormat="1">
      <c r="A189" s="230"/>
      <c r="D189" s="1974"/>
      <c r="K189" s="56"/>
      <c r="L189" s="56"/>
    </row>
    <row r="190" spans="1:12" s="1973" customFormat="1">
      <c r="A190" s="230"/>
      <c r="D190" s="1974"/>
      <c r="K190" s="56"/>
      <c r="L190" s="56"/>
    </row>
    <row r="191" spans="1:12" s="1973" customFormat="1">
      <c r="A191" s="230"/>
      <c r="D191" s="1974"/>
      <c r="K191" s="56"/>
      <c r="L191" s="56"/>
    </row>
    <row r="192" spans="1:12" s="1973" customFormat="1">
      <c r="A192" s="230"/>
      <c r="D192" s="1974"/>
      <c r="K192" s="56"/>
      <c r="L192" s="56"/>
    </row>
    <row r="193" spans="1:12" s="1973" customFormat="1">
      <c r="A193" s="230"/>
      <c r="D193" s="1974"/>
      <c r="K193" s="56"/>
      <c r="L193" s="56"/>
    </row>
    <row r="194" spans="1:12" s="1973" customFormat="1">
      <c r="A194" s="230"/>
      <c r="D194" s="1974"/>
      <c r="K194" s="56"/>
      <c r="L194" s="56"/>
    </row>
    <row r="195" spans="1:12" s="1973" customFormat="1">
      <c r="A195" s="230"/>
      <c r="D195" s="1974"/>
      <c r="K195" s="56"/>
      <c r="L195" s="56"/>
    </row>
  </sheetData>
  <sheetProtection password="C66D" sheet="1" objects="1" scenarios="1" formatCells="0" formatColumns="0" formatRows="0"/>
  <dataConsolidate/>
  <phoneticPr fontId="3" type="noConversion"/>
  <conditionalFormatting sqref="T6:T18">
    <cfRule type="containsText" dxfId="165" priority="12" stopIfTrue="1" operator="containsText" text="自行计算">
      <formula>NOT(ISERROR(SEARCH("自行计算",T6)))</formula>
    </cfRule>
    <cfRule type="containsText" dxfId="164" priority="13" stopIfTrue="1" operator="containsText" text="自行计算">
      <formula>NOT(ISERROR(SEARCH("自行计算",T6)))</formula>
    </cfRule>
  </conditionalFormatting>
  <conditionalFormatting sqref="T6:T17">
    <cfRule type="containsText" dxfId="163" priority="10" stopIfTrue="1" operator="containsText" text="自行计算">
      <formula>NOT(ISERROR(SEARCH("自行计算",T6)))</formula>
    </cfRule>
    <cfRule type="containsText" dxfId="162" priority="11" stopIfTrue="1" operator="containsText" text="自行计算">
      <formula>NOT(ISERROR(SEARCH("自行计算",T6)))</formula>
    </cfRule>
  </conditionalFormatting>
  <conditionalFormatting sqref="T12:T17">
    <cfRule type="containsText" dxfId="161" priority="4" stopIfTrue="1" operator="containsText" text="自行计算">
      <formula>NOT(ISERROR(SEARCH("自行计算",T12)))</formula>
    </cfRule>
    <cfRule type="containsText" dxfId="160" priority="5" stopIfTrue="1" operator="containsText" text="自行计算">
      <formula>NOT(ISERROR(SEARCH("自行计算",T12)))</formula>
    </cfRule>
  </conditionalFormatting>
  <conditionalFormatting sqref="T12:T17">
    <cfRule type="containsText" dxfId="159" priority="2" stopIfTrue="1" operator="containsText" text="自行计算">
      <formula>NOT(ISERROR(SEARCH("自行计算",T12)))</formula>
    </cfRule>
    <cfRule type="containsText" dxfId="158" priority="3" stopIfTrue="1" operator="containsText" text="自行计算">
      <formula>NOT(ISERROR(SEARCH("自行计算",T12)))</formula>
    </cfRule>
  </conditionalFormatting>
  <conditionalFormatting sqref="T6:T18">
    <cfRule type="expression" dxfId="157" priority="1" stopIfTrue="1">
      <formula>$T$4="按面积比例"</formula>
    </cfRule>
  </conditionalFormatting>
  <dataValidations count="7">
    <dataValidation type="list" allowBlank="1" showInputMessage="1" showErrorMessage="1" sqref="B47">
      <formula1>"7%,5%,1%"</formula1>
    </dataValidation>
    <dataValidation type="list" allowBlank="1" showInputMessage="1" showErrorMessage="1" sqref="B56">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8">
      <formula1>地类判定</formula1>
    </dataValidation>
    <dataValidation type="list" showInputMessage="1" showErrorMessage="1" sqref="AI6:AI16">
      <formula1>"365,12,1"</formula1>
    </dataValidation>
    <dataValidation type="list" allowBlank="1" showInputMessage="1" showErrorMessage="1" sqref="B17:B18">
      <formula1>类别</formula1>
    </dataValidation>
    <dataValidation type="list" allowBlank="1" showInputMessage="1" showErrorMessage="1" sqref="AN6:AN16">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9" sqref="G29"/>
    </sheetView>
  </sheetViews>
  <sheetFormatPr defaultRowHeight="13.5"/>
  <cols>
    <col min="1" max="1" width="9.5" style="1983" customWidth="1"/>
    <col min="2" max="2" width="24.5" style="1998" customWidth="1"/>
    <col min="3" max="3" width="24.5" style="2000" customWidth="1"/>
    <col min="4" max="4" width="2.625" style="2000" customWidth="1"/>
    <col min="5" max="5" width="5.875" style="2000" customWidth="1"/>
    <col min="6" max="6" width="27" style="1998" customWidth="1"/>
    <col min="7" max="7" width="27" style="1999" customWidth="1"/>
    <col min="8" max="8" width="11.875" style="1998" customWidth="1"/>
    <col min="9" max="9" width="16.75" style="1999" customWidth="1"/>
    <col min="10" max="10" width="2.625" style="2000" customWidth="1"/>
    <col min="11" max="11" width="11.875" style="1998" customWidth="1"/>
    <col min="12" max="12" width="16.75" style="1999" customWidth="1"/>
    <col min="13" max="13" width="2.625" style="2000" customWidth="1"/>
    <col min="14" max="14" width="11.875" style="1998" customWidth="1"/>
    <col min="15" max="15" width="16.75" style="1999" customWidth="1"/>
    <col min="16" max="16" width="2.625" style="2000" customWidth="1"/>
    <col min="17" max="17" width="11.875" style="1998" customWidth="1"/>
    <col min="18" max="18" width="16.75" style="2001" customWidth="1"/>
    <col min="19" max="16384" width="9" style="1983"/>
  </cols>
  <sheetData>
    <row r="1" spans="1:18" s="1982" customFormat="1" ht="19.5" thickBot="1">
      <c r="A1" s="3315" t="s">
        <v>1866</v>
      </c>
      <c r="B1" s="3316"/>
      <c r="C1" s="3316"/>
      <c r="D1" s="3316"/>
      <c r="E1" s="3316"/>
      <c r="F1" s="3316"/>
      <c r="G1" s="3316"/>
      <c r="H1" s="1977"/>
      <c r="I1" s="1978"/>
      <c r="J1" s="1979"/>
      <c r="K1" s="1977"/>
      <c r="L1" s="1978"/>
      <c r="M1" s="1979"/>
      <c r="N1" s="1977"/>
      <c r="O1" s="1978"/>
      <c r="P1" s="1979"/>
      <c r="Q1" s="1980"/>
      <c r="R1" s="1981"/>
    </row>
    <row r="2" spans="1:18" ht="14.25" thickBot="1">
      <c r="A2" s="1200"/>
      <c r="B2" s="1201"/>
      <c r="C2" s="1202" t="s">
        <v>1867</v>
      </c>
      <c r="D2" s="1203"/>
      <c r="E2" s="1204"/>
      <c r="F2" s="1205"/>
      <c r="G2" s="1202" t="s">
        <v>1868</v>
      </c>
      <c r="H2" s="1983"/>
      <c r="I2" s="1983"/>
      <c r="J2" s="1983"/>
      <c r="K2" s="1983"/>
      <c r="L2" s="1983"/>
      <c r="M2" s="1983"/>
      <c r="N2" s="1983"/>
      <c r="O2" s="1983"/>
      <c r="P2" s="1983"/>
      <c r="Q2" s="1983"/>
      <c r="R2" s="1983"/>
    </row>
    <row r="3" spans="1:18" ht="81.75" thickBot="1">
      <c r="A3" s="1206" t="s">
        <v>1869</v>
      </c>
      <c r="B3" s="1207" t="s">
        <v>1856</v>
      </c>
      <c r="C3" s="3134" t="s">
        <v>3245</v>
      </c>
      <c r="D3" s="1984"/>
      <c r="E3" s="1208" t="s">
        <v>1869</v>
      </c>
      <c r="F3" s="1209" t="s">
        <v>1857</v>
      </c>
      <c r="G3" s="1210" t="s">
        <v>1873</v>
      </c>
      <c r="H3" s="1983"/>
      <c r="I3" s="1983"/>
      <c r="J3" s="1983"/>
      <c r="K3" s="1983"/>
      <c r="L3" s="1983"/>
      <c r="M3" s="1983"/>
      <c r="N3" s="1983"/>
      <c r="O3" s="1983"/>
      <c r="P3" s="1983"/>
      <c r="Q3" s="1983"/>
      <c r="R3" s="1983"/>
    </row>
    <row r="4" spans="1:18" ht="54.75" thickBot="1">
      <c r="A4" s="1208"/>
      <c r="B4" s="1211" t="s">
        <v>1870</v>
      </c>
      <c r="C4" s="3134" t="s">
        <v>3246</v>
      </c>
      <c r="D4" s="1984"/>
      <c r="E4" s="1212"/>
      <c r="F4" s="1213" t="s">
        <v>1871</v>
      </c>
      <c r="G4" s="1214" t="s">
        <v>1874</v>
      </c>
      <c r="H4" s="1983"/>
      <c r="I4" s="1983"/>
      <c r="J4" s="1983"/>
      <c r="K4" s="1983"/>
      <c r="L4" s="1983"/>
      <c r="M4" s="1983"/>
      <c r="N4" s="1983"/>
      <c r="O4" s="1983"/>
      <c r="P4" s="1983"/>
      <c r="Q4" s="1983"/>
      <c r="R4" s="1983"/>
    </row>
    <row r="5" spans="1:18" ht="67.5">
      <c r="A5" s="1208"/>
      <c r="B5" s="1211" t="s">
        <v>1872</v>
      </c>
      <c r="C5" s="3134" t="s">
        <v>3247</v>
      </c>
      <c r="D5" s="1984"/>
      <c r="E5" s="1212"/>
      <c r="F5" s="1211" t="s">
        <v>2813</v>
      </c>
      <c r="G5" s="2602" t="s">
        <v>2815</v>
      </c>
      <c r="H5" s="1983"/>
      <c r="I5" s="1983"/>
      <c r="J5" s="1983"/>
      <c r="K5" s="1983"/>
      <c r="L5" s="1983"/>
      <c r="M5" s="1983"/>
      <c r="N5" s="1983"/>
      <c r="O5" s="1983"/>
      <c r="P5" s="1983"/>
      <c r="Q5" s="1983"/>
      <c r="R5" s="1983"/>
    </row>
    <row r="6" spans="1:18" ht="81">
      <c r="A6" s="1208"/>
      <c r="B6" s="1211" t="s">
        <v>1858</v>
      </c>
      <c r="C6" s="3135" t="s">
        <v>3248</v>
      </c>
      <c r="D6" s="1984"/>
      <c r="E6" s="1212"/>
      <c r="F6" s="1211" t="s">
        <v>2814</v>
      </c>
      <c r="G6" s="2602" t="s">
        <v>2816</v>
      </c>
      <c r="H6" s="1983"/>
      <c r="I6" s="1983"/>
      <c r="J6" s="1983"/>
      <c r="K6" s="1983"/>
      <c r="L6" s="1983"/>
      <c r="M6" s="1983"/>
      <c r="N6" s="1983"/>
      <c r="O6" s="1983"/>
      <c r="P6" s="1983"/>
      <c r="Q6" s="1983"/>
      <c r="R6" s="1983"/>
    </row>
    <row r="7" spans="1:18" ht="41.25" thickBot="1">
      <c r="A7" s="1208"/>
      <c r="B7" s="1211" t="s">
        <v>2813</v>
      </c>
      <c r="C7" s="2602" t="s">
        <v>3249</v>
      </c>
      <c r="D7" s="1985"/>
      <c r="E7" s="1215"/>
      <c r="F7" s="1216" t="s">
        <v>1875</v>
      </c>
      <c r="G7" s="1217" t="s">
        <v>1876</v>
      </c>
      <c r="H7" s="1983"/>
      <c r="I7" s="1983"/>
      <c r="J7" s="1983"/>
      <c r="K7" s="1983"/>
      <c r="L7" s="1983"/>
      <c r="M7" s="1983"/>
      <c r="N7" s="1983"/>
      <c r="O7" s="1983"/>
      <c r="P7" s="1983"/>
      <c r="Q7" s="1983"/>
      <c r="R7" s="1983"/>
    </row>
    <row r="8" spans="1:18">
      <c r="A8" s="1208"/>
      <c r="B8" s="1211" t="s">
        <v>2814</v>
      </c>
      <c r="C8" s="2602" t="s">
        <v>3250</v>
      </c>
      <c r="D8" s="1985"/>
      <c r="E8" s="1985"/>
      <c r="F8" s="1534"/>
      <c r="G8" s="1534"/>
      <c r="H8" s="1983"/>
      <c r="I8" s="1983"/>
      <c r="J8" s="1983"/>
      <c r="K8" s="1983"/>
      <c r="L8" s="1983"/>
      <c r="M8" s="1983"/>
      <c r="N8" s="1983"/>
      <c r="O8" s="1983"/>
      <c r="P8" s="1983"/>
      <c r="Q8" s="1983"/>
      <c r="R8" s="1983"/>
    </row>
    <row r="9" spans="1:18" ht="40.5">
      <c r="A9" s="1208"/>
      <c r="B9" s="1211" t="s">
        <v>1859</v>
      </c>
      <c r="C9" s="3136" t="s">
        <v>3251</v>
      </c>
      <c r="D9" s="1984"/>
      <c r="E9" s="1985"/>
      <c r="F9" s="1534"/>
      <c r="G9" s="1534"/>
      <c r="H9" s="1983"/>
      <c r="I9" s="1983"/>
      <c r="J9" s="1983"/>
      <c r="K9" s="1983"/>
      <c r="L9" s="1983"/>
      <c r="M9" s="1983"/>
      <c r="N9" s="1983"/>
      <c r="O9" s="1983"/>
      <c r="P9" s="1983"/>
      <c r="Q9" s="1983"/>
      <c r="R9" s="1983"/>
    </row>
    <row r="10" spans="1:18" s="1991" customFormat="1" ht="14.25" thickBot="1">
      <c r="A10" s="1218"/>
      <c r="B10" s="1219" t="s">
        <v>1877</v>
      </c>
      <c r="C10" s="3137" t="s">
        <v>3252</v>
      </c>
      <c r="D10" s="1984"/>
      <c r="E10" s="1984"/>
      <c r="F10" s="1534"/>
      <c r="G10" s="1534"/>
      <c r="H10" s="1988"/>
      <c r="I10" s="1989"/>
      <c r="J10" s="1990"/>
      <c r="K10" s="1988"/>
      <c r="L10" s="1989"/>
      <c r="M10" s="1990"/>
      <c r="N10" s="1988"/>
      <c r="O10" s="1989"/>
      <c r="P10" s="1990"/>
      <c r="Q10" s="1988"/>
      <c r="R10" s="1989"/>
    </row>
    <row r="11" spans="1:18" s="1991" customFormat="1">
      <c r="A11" s="1986"/>
      <c r="B11" s="1985"/>
      <c r="C11" s="1984"/>
      <c r="D11" s="1984"/>
      <c r="E11" s="1984"/>
      <c r="F11" s="1985"/>
      <c r="G11" s="1987"/>
      <c r="H11" s="1988"/>
      <c r="I11" s="1989"/>
      <c r="J11" s="1990"/>
      <c r="K11" s="1988"/>
      <c r="L11" s="1989"/>
      <c r="M11" s="1990"/>
      <c r="N11" s="1988"/>
      <c r="O11" s="1989"/>
      <c r="P11" s="1990"/>
      <c r="Q11" s="1988"/>
      <c r="R11" s="1989"/>
    </row>
    <row r="12" spans="1:18" s="1982" customFormat="1" ht="18.75">
      <c r="A12" s="1986"/>
      <c r="B12" s="1985"/>
      <c r="C12" s="1984"/>
      <c r="D12" s="2589"/>
      <c r="E12" s="1984"/>
      <c r="F12" s="1985"/>
      <c r="G12" s="1987"/>
      <c r="H12" s="1992"/>
      <c r="I12" s="1993"/>
      <c r="J12" s="1992"/>
      <c r="K12" s="1992"/>
      <c r="L12" s="1994"/>
      <c r="M12" s="1992"/>
      <c r="N12" s="1995"/>
      <c r="O12" s="1996"/>
      <c r="P12" s="1997"/>
      <c r="Q12" s="1995"/>
      <c r="R12" s="1981"/>
    </row>
    <row r="13" spans="1:18" ht="19.5" thickBot="1">
      <c r="A13" s="2588" t="s">
        <v>1878</v>
      </c>
      <c r="B13" s="2589"/>
      <c r="C13" s="2589"/>
      <c r="D13" s="1203"/>
      <c r="E13" s="2589"/>
      <c r="F13" s="2589"/>
      <c r="G13" s="2589"/>
    </row>
    <row r="14" spans="1:18" ht="14.25" thickBot="1">
      <c r="A14" s="1220"/>
      <c r="B14" s="1221"/>
      <c r="C14" s="1222" t="s">
        <v>1867</v>
      </c>
      <c r="D14" s="1984"/>
      <c r="E14" s="1223"/>
      <c r="F14" s="1223"/>
      <c r="G14" s="1202" t="s">
        <v>1868</v>
      </c>
    </row>
    <row r="15" spans="1:18" ht="81">
      <c r="A15" s="2599" t="s">
        <v>1860</v>
      </c>
      <c r="B15" s="1224" t="s">
        <v>1856</v>
      </c>
      <c r="C15" s="1225" t="str">
        <f>C3</f>
        <v>估价对象周边居住用地比例合宜，周边有路劲世界城和北京风景等住宅小区、居住规模较大，社区发展完善程度较好，综合评价居住社区成熟度较好</v>
      </c>
      <c r="D15" s="1984"/>
      <c r="E15" s="2596" t="s">
        <v>1861</v>
      </c>
      <c r="F15" s="1224" t="s">
        <v>1879</v>
      </c>
      <c r="G15" s="1226" t="str">
        <f>G3</f>
        <v>估价对象位于北京经济技术开发区，园区建设成熟，产业集聚程度较好</v>
      </c>
    </row>
    <row r="16" spans="1:18" ht="54">
      <c r="A16" s="2600"/>
      <c r="B16" s="1227" t="s">
        <v>1870</v>
      </c>
      <c r="C16" s="1228" t="str">
        <f>C4</f>
        <v>估价对象周边商业用地较少，周边2km仅有小超市、商业规模较小，综合评价商业繁华度较差</v>
      </c>
      <c r="D16" s="1984"/>
      <c r="E16" s="2597"/>
      <c r="F16" s="1229" t="s">
        <v>1871</v>
      </c>
      <c r="G16" s="984" t="str">
        <f>G4</f>
        <v>估价对象周边道路状况、公共交通通达情况、停车便捷程度，综合评价交通便捷度较好</v>
      </c>
    </row>
    <row r="17" spans="1:7" ht="67.5">
      <c r="A17" s="2600"/>
      <c r="B17" s="1227" t="s">
        <v>1872</v>
      </c>
      <c r="C17" s="1228" t="str">
        <f>C5</f>
        <v>估价对象周边办公用地比例合宜，周边有企业墅等办公楼、办公规模一般，综合评价办公集聚程度一般</v>
      </c>
      <c r="D17" s="1985"/>
      <c r="E17" s="2597"/>
      <c r="F17" s="1229" t="s">
        <v>1880</v>
      </c>
      <c r="G17" s="1231" t="s">
        <v>1069</v>
      </c>
    </row>
    <row r="18" spans="1:7" ht="81">
      <c r="A18" s="2600"/>
      <c r="B18" s="1229" t="s">
        <v>1858</v>
      </c>
      <c r="C18" s="984" t="str">
        <f>C6</f>
        <v>估价对象周边有326、643等公交线路、紧邻昌平线，公共交通通达情况；项目自身有停车位、停车便捷程度较好，综合评价交通便捷度较好</v>
      </c>
      <c r="D18" s="1985"/>
      <c r="E18" s="2597"/>
      <c r="F18" s="1229" t="s">
        <v>1875</v>
      </c>
      <c r="G18" s="984" t="str">
        <f>G7</f>
        <v>该园区内无污染型企业，绿化较好，卫生条件良好，整体环境状况较好</v>
      </c>
    </row>
    <row r="19" spans="1:7" ht="27">
      <c r="A19" s="2600"/>
      <c r="B19" s="1229" t="s">
        <v>1862</v>
      </c>
      <c r="C19" s="1231" t="s">
        <v>1069</v>
      </c>
      <c r="D19" s="1984"/>
      <c r="E19" s="2597"/>
      <c r="F19" s="1211" t="s">
        <v>2813</v>
      </c>
      <c r="G19" s="984" t="str">
        <f>G5</f>
        <v>估价对象所在区域公共配套设施齐备情况</v>
      </c>
    </row>
    <row r="20" spans="1:7" ht="40.5">
      <c r="A20" s="2600"/>
      <c r="B20" s="1229" t="s">
        <v>1863</v>
      </c>
      <c r="C20" s="1228" t="str">
        <f>C9</f>
        <v>区域自然环境：白浮泉公园等；人文环境：无；综合评价环境状况一般</v>
      </c>
      <c r="D20" s="1985"/>
      <c r="E20" s="2597"/>
      <c r="F20" s="1211" t="s">
        <v>2814</v>
      </c>
      <c r="G20" s="984" t="str">
        <f>G6</f>
        <v>估价对象所在区域基础设施水平</v>
      </c>
    </row>
    <row r="21" spans="1:7" ht="27">
      <c r="A21" s="2600"/>
      <c r="B21" s="1211" t="s">
        <v>2813</v>
      </c>
      <c r="C21" s="984" t="str">
        <f>C7</f>
        <v>估价对象所在区域公共配套设施较齐备；</v>
      </c>
      <c r="D21" s="1984"/>
      <c r="E21" s="2597"/>
      <c r="F21" s="1229" t="s">
        <v>1864</v>
      </c>
      <c r="G21" s="1230" t="s">
        <v>1864</v>
      </c>
    </row>
    <row r="22" spans="1:7">
      <c r="A22" s="2600"/>
      <c r="B22" s="1211" t="s">
        <v>2814</v>
      </c>
      <c r="C22" s="984" t="str">
        <f>C8</f>
        <v>基础设施水平七通一平</v>
      </c>
      <c r="D22" s="1984"/>
      <c r="E22" s="2597"/>
      <c r="F22" s="1229" t="s">
        <v>1877</v>
      </c>
      <c r="G22" s="1231" t="s">
        <v>1881</v>
      </c>
    </row>
    <row r="23" spans="1:7" ht="14.25" thickBot="1">
      <c r="A23" s="2600"/>
      <c r="B23" s="1229" t="s">
        <v>1864</v>
      </c>
      <c r="C23" s="1230" t="s">
        <v>2584</v>
      </c>
      <c r="E23" s="2598"/>
      <c r="F23" s="1232" t="s">
        <v>1882</v>
      </c>
      <c r="G23" s="1233" t="s">
        <v>1883</v>
      </c>
    </row>
    <row r="24" spans="1:7" ht="14.25" thickBot="1">
      <c r="A24" s="2601"/>
      <c r="B24" s="1232" t="s">
        <v>1865</v>
      </c>
      <c r="C24" s="1234" t="str">
        <f>C10</f>
        <v>城市支路——南中路</v>
      </c>
      <c r="E24" s="2002"/>
      <c r="F24" s="2002"/>
      <c r="G24" s="2003"/>
    </row>
    <row r="25" spans="1:7">
      <c r="E25" s="1983"/>
      <c r="F25" s="1983"/>
      <c r="G25" s="1983"/>
    </row>
    <row r="26" spans="1:7">
      <c r="E26" s="1983"/>
      <c r="F26" s="1983"/>
      <c r="G26" s="1983"/>
    </row>
    <row r="27" spans="1:7">
      <c r="E27" s="1983"/>
      <c r="F27" s="1983"/>
      <c r="G27" s="1983"/>
    </row>
    <row r="28" spans="1:7">
      <c r="E28" s="1983"/>
      <c r="F28" s="1983"/>
      <c r="G28" s="1983"/>
    </row>
    <row r="29" spans="1:7">
      <c r="E29" s="1983"/>
      <c r="F29" s="1983"/>
      <c r="G29" s="1983"/>
    </row>
    <row r="30" spans="1:7">
      <c r="E30" s="1983"/>
      <c r="F30" s="1983"/>
      <c r="G30" s="1983"/>
    </row>
    <row r="31" spans="1:7">
      <c r="E31" s="1983"/>
      <c r="F31" s="1983"/>
      <c r="G31" s="1983"/>
    </row>
    <row r="32" spans="1:7">
      <c r="E32" s="1983"/>
      <c r="F32" s="1983"/>
      <c r="G32" s="1983"/>
    </row>
    <row r="33" spans="5:7">
      <c r="E33" s="1983"/>
      <c r="F33" s="1983"/>
      <c r="G33" s="1983"/>
    </row>
    <row r="34" spans="5:7">
      <c r="E34" s="1983"/>
      <c r="F34" s="1983"/>
      <c r="G34" s="1983"/>
    </row>
    <row r="35" spans="5:7">
      <c r="E35" s="1983"/>
      <c r="F35" s="1983"/>
      <c r="G35" s="1983"/>
    </row>
    <row r="36" spans="5:7">
      <c r="E36" s="1983"/>
      <c r="F36" s="1983"/>
      <c r="G36" s="1983"/>
    </row>
    <row r="37" spans="5:7">
      <c r="E37" s="1983"/>
      <c r="F37" s="1983"/>
      <c r="G37" s="198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46" t="s">
        <v>3131</v>
      </c>
      <c r="B1" s="3046">
        <f>SUM(B14:B23)</f>
        <v>507462.25</v>
      </c>
      <c r="C1" s="3047"/>
      <c r="D1" s="3047"/>
      <c r="E1" s="3047"/>
      <c r="F1" s="3047"/>
    </row>
    <row r="2" spans="1:9" ht="16.5">
      <c r="A2" s="3046" t="s">
        <v>3132</v>
      </c>
      <c r="B2" s="3046">
        <f>SUM(C14:C23)</f>
        <v>114029.21</v>
      </c>
      <c r="C2" s="3047"/>
      <c r="D2" s="3047"/>
      <c r="E2" s="3047"/>
      <c r="F2" s="3047"/>
    </row>
    <row r="3" spans="1:9" ht="16.5">
      <c r="A3" s="3046" t="s">
        <v>3133</v>
      </c>
      <c r="B3" s="3048">
        <f>项目基本情况!D3</f>
        <v>42898</v>
      </c>
      <c r="C3" s="3047"/>
      <c r="D3" s="3047"/>
      <c r="E3" s="3047"/>
      <c r="F3" s="3047"/>
    </row>
    <row r="4" spans="1:9" ht="33">
      <c r="A4" s="3046" t="s">
        <v>3134</v>
      </c>
      <c r="B4" s="3046" t="s">
        <v>3135</v>
      </c>
      <c r="C4" s="3046" t="s">
        <v>3136</v>
      </c>
      <c r="D4" s="3046" t="s">
        <v>3137</v>
      </c>
      <c r="E4" s="3047"/>
      <c r="F4" s="3047"/>
    </row>
    <row r="5" spans="1:9" ht="16.5">
      <c r="A5" s="3046" t="s">
        <v>3138</v>
      </c>
      <c r="B5" s="3046" t="e">
        <f ca="1">SUM(D14:D23)</f>
        <v>#REF!</v>
      </c>
      <c r="C5" s="3046" t="e">
        <f ca="1">ROUND(B5*10000/$B$1,0)</f>
        <v>#REF!</v>
      </c>
      <c r="D5" s="3046" t="e">
        <f ca="1">ROUND(B5*10000/$B$2,0)</f>
        <v>#REF!</v>
      </c>
      <c r="E5" s="3047"/>
      <c r="F5" s="3047"/>
    </row>
    <row r="6" spans="1:9" ht="16.5">
      <c r="A6" s="3046" t="s">
        <v>3139</v>
      </c>
      <c r="B6" s="3046" t="e">
        <f ca="1">SUM(G14:G23)</f>
        <v>#REF!</v>
      </c>
      <c r="C6" s="3046" t="e">
        <f t="shared" ref="C6:C8" ca="1" si="0">ROUND(B6*10000/$B$1,0)</f>
        <v>#REF!</v>
      </c>
      <c r="D6" s="3046" t="e">
        <f t="shared" ref="D6:D8" ca="1" si="1">ROUND(B6*10000/$B$2,0)</f>
        <v>#REF!</v>
      </c>
      <c r="E6" s="3047"/>
      <c r="F6" s="3047"/>
    </row>
    <row r="7" spans="1:9" ht="16.5">
      <c r="A7" s="3046" t="s">
        <v>3140</v>
      </c>
      <c r="B7" s="3046">
        <f>SUM(H14:H23)</f>
        <v>0</v>
      </c>
      <c r="C7" s="3046">
        <f t="shared" si="0"/>
        <v>0</v>
      </c>
      <c r="D7" s="3046">
        <f t="shared" si="1"/>
        <v>0</v>
      </c>
      <c r="E7" s="3047"/>
      <c r="F7" s="3047"/>
    </row>
    <row r="8" spans="1:9" ht="16.5">
      <c r="A8" s="3046" t="s">
        <v>3141</v>
      </c>
      <c r="B8" s="3046">
        <f>SUM(I14:I23)</f>
        <v>0</v>
      </c>
      <c r="C8" s="3046">
        <f t="shared" si="0"/>
        <v>0</v>
      </c>
      <c r="D8" s="3046">
        <f t="shared" si="1"/>
        <v>0</v>
      </c>
      <c r="E8" s="3047"/>
      <c r="F8" s="3047"/>
    </row>
    <row r="9" spans="1:9" ht="16.5">
      <c r="A9" s="3046" t="s">
        <v>3142</v>
      </c>
      <c r="B9" s="3049"/>
      <c r="C9" s="3047"/>
      <c r="D9" s="3047"/>
      <c r="E9" s="3047"/>
      <c r="F9" s="3047"/>
    </row>
    <row r="10" spans="1:9" ht="16.5">
      <c r="A10" s="3046" t="s">
        <v>3143</v>
      </c>
      <c r="B10" s="3049"/>
      <c r="C10" s="3047"/>
      <c r="D10" s="3047"/>
      <c r="E10" s="3047"/>
      <c r="F10" s="3047"/>
    </row>
    <row r="11" spans="1:9" ht="16.5">
      <c r="A11" s="3046" t="s">
        <v>3160</v>
      </c>
      <c r="B11" s="3049"/>
      <c r="C11" s="3047"/>
      <c r="D11" s="3047"/>
      <c r="E11" s="3047"/>
      <c r="F11" s="3047"/>
    </row>
    <row r="12" spans="1:9" ht="16.5">
      <c r="A12" s="3047"/>
      <c r="B12" s="3047"/>
      <c r="C12" s="3047"/>
      <c r="D12" s="3047"/>
      <c r="E12" s="3047"/>
      <c r="F12" s="3047"/>
    </row>
    <row r="13" spans="1:9" ht="33">
      <c r="A13" s="3052" t="s">
        <v>3159</v>
      </c>
      <c r="B13" s="3050" t="s">
        <v>3131</v>
      </c>
      <c r="C13" s="3050" t="s">
        <v>3132</v>
      </c>
      <c r="D13" s="3050" t="s">
        <v>3144</v>
      </c>
      <c r="E13" s="3046" t="s">
        <v>3158</v>
      </c>
      <c r="F13" s="3046" t="s">
        <v>3137</v>
      </c>
      <c r="G13" s="3050" t="s">
        <v>3145</v>
      </c>
      <c r="H13" s="3050" t="s">
        <v>3146</v>
      </c>
      <c r="I13" s="3050" t="s">
        <v>3147</v>
      </c>
    </row>
    <row r="14" spans="1:9" ht="16.5">
      <c r="A14" s="3053" t="s">
        <v>3157</v>
      </c>
      <c r="B14" s="3050">
        <f>'数据-汇总表'!E3</f>
        <v>507462.25</v>
      </c>
      <c r="C14" s="3050">
        <f>'数据-汇总表'!D3</f>
        <v>114029.21</v>
      </c>
      <c r="D14" s="3050" t="e">
        <f ca="1">结果表!C42</f>
        <v>#REF!</v>
      </c>
      <c r="E14" s="3050" t="e">
        <f ca="1">ROUND(D14*10000/B14,0)</f>
        <v>#REF!</v>
      </c>
      <c r="F14" s="3050" t="e">
        <f ca="1">ROUND(D14*10000/C14,0)</f>
        <v>#REF!</v>
      </c>
      <c r="G14" s="3050" t="e">
        <f ca="1">结果表!C44</f>
        <v>#REF!</v>
      </c>
      <c r="H14" s="3050" t="str">
        <f>结果表!C45</f>
        <v>——</v>
      </c>
      <c r="I14" s="3050" t="str">
        <f>结果表!C46</f>
        <v>——</v>
      </c>
    </row>
    <row r="15" spans="1:9" ht="16.5">
      <c r="A15" s="3053" t="s">
        <v>3148</v>
      </c>
      <c r="B15" s="3054"/>
      <c r="C15" s="3054"/>
      <c r="D15" s="3054"/>
      <c r="E15" s="3050" t="e">
        <f t="shared" ref="E15:E23" si="2">ROUND(D15*10000/B15,0)</f>
        <v>#DIV/0!</v>
      </c>
      <c r="F15" s="3050" t="e">
        <f t="shared" ref="F15:F23" si="3">ROUND(D15*10000/C15,0)</f>
        <v>#DIV/0!</v>
      </c>
      <c r="G15" s="3051"/>
      <c r="H15" s="3051"/>
      <c r="I15" s="3054"/>
    </row>
    <row r="16" spans="1:9" ht="16.5">
      <c r="A16" s="3053" t="s">
        <v>3149</v>
      </c>
      <c r="B16" s="3054"/>
      <c r="C16" s="3054"/>
      <c r="D16" s="3054"/>
      <c r="E16" s="3050" t="e">
        <f t="shared" si="2"/>
        <v>#DIV/0!</v>
      </c>
      <c r="F16" s="3050" t="e">
        <f t="shared" si="3"/>
        <v>#DIV/0!</v>
      </c>
      <c r="G16" s="3051"/>
      <c r="H16" s="3051"/>
      <c r="I16" s="3054"/>
    </row>
    <row r="17" spans="1:9" ht="16.5">
      <c r="A17" s="3053" t="s">
        <v>3150</v>
      </c>
      <c r="B17" s="3054"/>
      <c r="C17" s="3054"/>
      <c r="D17" s="3054"/>
      <c r="E17" s="3050" t="e">
        <f t="shared" si="2"/>
        <v>#DIV/0!</v>
      </c>
      <c r="F17" s="3050" t="e">
        <f t="shared" si="3"/>
        <v>#DIV/0!</v>
      </c>
      <c r="G17" s="3051"/>
      <c r="H17" s="3051"/>
      <c r="I17" s="3054"/>
    </row>
    <row r="18" spans="1:9" ht="16.5">
      <c r="A18" s="3053" t="s">
        <v>3151</v>
      </c>
      <c r="B18" s="3054"/>
      <c r="C18" s="3054"/>
      <c r="D18" s="3054"/>
      <c r="E18" s="3050" t="e">
        <f t="shared" si="2"/>
        <v>#DIV/0!</v>
      </c>
      <c r="F18" s="3050" t="e">
        <f t="shared" si="3"/>
        <v>#DIV/0!</v>
      </c>
      <c r="G18" s="3054"/>
      <c r="H18" s="3054"/>
      <c r="I18" s="3054"/>
    </row>
    <row r="19" spans="1:9" ht="16.5">
      <c r="A19" s="3053" t="s">
        <v>3152</v>
      </c>
      <c r="B19" s="3054"/>
      <c r="C19" s="3054"/>
      <c r="D19" s="3054"/>
      <c r="E19" s="3050" t="e">
        <f t="shared" si="2"/>
        <v>#DIV/0!</v>
      </c>
      <c r="F19" s="3050" t="e">
        <f t="shared" si="3"/>
        <v>#DIV/0!</v>
      </c>
      <c r="G19" s="3054"/>
      <c r="H19" s="3054"/>
      <c r="I19" s="3054"/>
    </row>
    <row r="20" spans="1:9" ht="16.5">
      <c r="A20" s="3053" t="s">
        <v>3153</v>
      </c>
      <c r="B20" s="3054"/>
      <c r="C20" s="3054"/>
      <c r="D20" s="3054"/>
      <c r="E20" s="3050" t="e">
        <f t="shared" si="2"/>
        <v>#DIV/0!</v>
      </c>
      <c r="F20" s="3050" t="e">
        <f t="shared" si="3"/>
        <v>#DIV/0!</v>
      </c>
      <c r="G20" s="3054"/>
      <c r="H20" s="3054"/>
      <c r="I20" s="3054"/>
    </row>
    <row r="21" spans="1:9" ht="16.5">
      <c r="A21" s="3053" t="s">
        <v>3154</v>
      </c>
      <c r="B21" s="3054"/>
      <c r="C21" s="3054"/>
      <c r="D21" s="3054"/>
      <c r="E21" s="3050" t="e">
        <f t="shared" si="2"/>
        <v>#DIV/0!</v>
      </c>
      <c r="F21" s="3050" t="e">
        <f t="shared" si="3"/>
        <v>#DIV/0!</v>
      </c>
      <c r="G21" s="3054"/>
      <c r="H21" s="3054"/>
      <c r="I21" s="3054"/>
    </row>
    <row r="22" spans="1:9" ht="16.5">
      <c r="A22" s="3053" t="s">
        <v>3155</v>
      </c>
      <c r="B22" s="3054"/>
      <c r="C22" s="3054"/>
      <c r="D22" s="3054"/>
      <c r="E22" s="3050" t="e">
        <f t="shared" si="2"/>
        <v>#DIV/0!</v>
      </c>
      <c r="F22" s="3050" t="e">
        <f t="shared" si="3"/>
        <v>#DIV/0!</v>
      </c>
      <c r="G22" s="3054"/>
      <c r="H22" s="3054"/>
      <c r="I22" s="3054"/>
    </row>
    <row r="23" spans="1:9" ht="16.5">
      <c r="A23" s="3053" t="s">
        <v>3156</v>
      </c>
      <c r="B23" s="3054"/>
      <c r="C23" s="3054"/>
      <c r="D23" s="3054"/>
      <c r="E23" s="3046" t="e">
        <f t="shared" si="2"/>
        <v>#DIV/0!</v>
      </c>
      <c r="F23" s="3046" t="e">
        <f t="shared" si="3"/>
        <v>#DIV/0!</v>
      </c>
      <c r="G23" s="3054"/>
      <c r="H23" s="3054"/>
      <c r="I23" s="3054"/>
    </row>
  </sheetData>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H13" sqref="H13"/>
    </sheetView>
  </sheetViews>
  <sheetFormatPr defaultColWidth="12.625" defaultRowHeight="21.75" customHeight="1"/>
  <cols>
    <col min="1" max="2" width="12.75" style="1235" bestFit="1" customWidth="1"/>
    <col min="3" max="4" width="12.625" style="1235" customWidth="1"/>
    <col min="5" max="9" width="12.75" style="1235" bestFit="1" customWidth="1"/>
    <col min="10" max="10" width="2.25" style="234" customWidth="1"/>
    <col min="11" max="12" width="12.625" style="234" customWidth="1"/>
    <col min="13" max="13" width="12.625" style="234"/>
    <col min="14" max="14" width="15.625" style="234" bestFit="1" customWidth="1"/>
    <col min="15" max="19" width="12.75" style="234" bestFit="1" customWidth="1"/>
    <col min="20" max="26" width="12.625" style="234"/>
    <col min="27" max="16384" width="12.625" style="1235"/>
  </cols>
  <sheetData>
    <row r="1" spans="1:22" ht="21.75" customHeight="1" thickBot="1">
      <c r="A1" s="1750" t="s">
        <v>2281</v>
      </c>
      <c r="B1" s="1751"/>
      <c r="C1" s="1779" t="s">
        <v>2282</v>
      </c>
      <c r="D1" s="1780" t="s">
        <v>2283</v>
      </c>
      <c r="E1" s="1779" t="s">
        <v>2284</v>
      </c>
      <c r="F1" s="1781" t="s">
        <v>2296</v>
      </c>
      <c r="G1" s="291"/>
      <c r="H1" s="291"/>
      <c r="I1" s="291"/>
      <c r="J1" s="2004"/>
      <c r="K1" s="2004"/>
      <c r="L1" s="2004"/>
      <c r="M1" s="2004"/>
      <c r="N1" s="2004"/>
      <c r="O1" s="2004"/>
      <c r="P1" s="2004"/>
      <c r="Q1" s="2004"/>
      <c r="R1" s="2004"/>
      <c r="S1" s="2004"/>
      <c r="T1" s="2004"/>
      <c r="U1" s="2004"/>
      <c r="V1" s="2004"/>
    </row>
    <row r="2" spans="1:22" ht="21.75" customHeight="1" thickBot="1">
      <c r="A2" s="3352" t="str">
        <f>项目基本情况!K2</f>
        <v>北京市07出让国有建设用地使用权</v>
      </c>
      <c r="B2" s="3353"/>
      <c r="C2" s="3354"/>
      <c r="D2" s="3354"/>
      <c r="E2" s="3354"/>
      <c r="F2" s="3354"/>
      <c r="G2" s="3353"/>
      <c r="H2" s="3353"/>
      <c r="I2" s="3355"/>
      <c r="J2" s="2005"/>
      <c r="K2" s="2004"/>
      <c r="L2" s="2004"/>
      <c r="M2" s="2004"/>
      <c r="N2" s="2004"/>
      <c r="O2" s="2004"/>
      <c r="P2" s="2004"/>
      <c r="Q2" s="2004"/>
      <c r="R2" s="2004"/>
      <c r="S2" s="2004"/>
      <c r="T2" s="2004"/>
      <c r="U2" s="2004"/>
      <c r="V2" s="2004"/>
    </row>
    <row r="3" spans="1:22" ht="14.25">
      <c r="A3" s="3345" t="s">
        <v>281</v>
      </c>
      <c r="B3" s="3346"/>
      <c r="C3" s="3346"/>
      <c r="D3" s="3346"/>
      <c r="E3" s="3346"/>
      <c r="F3" s="3346"/>
      <c r="G3" s="3346"/>
      <c r="H3" s="3346"/>
      <c r="I3" s="3346"/>
      <c r="J3" s="2005"/>
      <c r="K3" s="2004"/>
      <c r="L3" s="2004"/>
      <c r="M3" s="2004"/>
      <c r="N3" s="2004"/>
      <c r="O3" s="2004"/>
      <c r="P3" s="2004"/>
      <c r="Q3" s="2004"/>
      <c r="R3" s="2004"/>
      <c r="S3" s="2004"/>
      <c r="T3" s="2004"/>
      <c r="U3" s="2004"/>
      <c r="V3" s="2004"/>
    </row>
    <row r="4" spans="1:22" ht="14.25">
      <c r="A4" s="235" t="s">
        <v>282</v>
      </c>
      <c r="B4" s="236" t="s">
        <v>283</v>
      </c>
      <c r="C4" s="237"/>
      <c r="D4" s="237" t="s">
        <v>3391</v>
      </c>
      <c r="E4" s="3318" t="s">
        <v>284</v>
      </c>
      <c r="F4" s="3319"/>
      <c r="G4" s="3319"/>
      <c r="H4" s="3319"/>
      <c r="I4" s="3347"/>
      <c r="J4" s="2005"/>
      <c r="K4" s="2004"/>
      <c r="L4" s="927" t="str">
        <f>IF(ISNUMBER(FIND("比较法",C4)),"比较法",IF(ISNUMBER(FIND("成本法",C4)),"成本法",IF(ISNUMBER(FIND("剩余法",C4)),"剩余法",IF(ISNUMBER(FIND("收益法",C4)),"收益法","基准地价系数修正法"))))</f>
        <v>基准地价系数修正法</v>
      </c>
      <c r="M4" s="927" t="str">
        <f>IF(ISNUMBER(FIND("比较法",D4)),"比较法",IF(ISNUMBER(FIND("成本法",D4)),"成本法",IF(ISNUMBER(FIND("剩余法",D4)),"剩余法",IF(ISNUMBER(FIND("收益法",D4)),"收益法","基准地价系数修正法"))))</f>
        <v>剩余法</v>
      </c>
      <c r="N4" s="2004"/>
      <c r="O4" s="2004"/>
      <c r="P4" s="2004"/>
      <c r="Q4" s="2004"/>
      <c r="R4" s="2004"/>
      <c r="S4" s="2004"/>
      <c r="T4" s="2004"/>
      <c r="U4" s="2004"/>
      <c r="V4" s="2004"/>
    </row>
    <row r="5" spans="1:22" ht="14.25">
      <c r="A5" s="3317" t="s">
        <v>285</v>
      </c>
      <c r="B5" s="3343">
        <v>25</v>
      </c>
      <c r="C5" s="3341"/>
      <c r="D5" s="3341">
        <v>24</v>
      </c>
      <c r="E5" s="238" t="s">
        <v>286</v>
      </c>
      <c r="F5" s="239"/>
      <c r="G5" s="239"/>
      <c r="H5" s="239"/>
      <c r="I5" s="240"/>
      <c r="J5" s="2005"/>
      <c r="K5" s="2004"/>
      <c r="L5" s="2004"/>
      <c r="M5" s="2004"/>
      <c r="N5" s="2004"/>
      <c r="O5" s="2004"/>
      <c r="P5" s="2004"/>
      <c r="Q5" s="2004"/>
      <c r="R5" s="2004"/>
      <c r="S5" s="2004"/>
      <c r="T5" s="2004"/>
      <c r="U5" s="2004"/>
      <c r="V5" s="2004"/>
    </row>
    <row r="6" spans="1:22" ht="14.25">
      <c r="A6" s="3317"/>
      <c r="B6" s="3343"/>
      <c r="C6" s="3344"/>
      <c r="D6" s="3344"/>
      <c r="E6" s="238" t="s">
        <v>287</v>
      </c>
      <c r="F6" s="239"/>
      <c r="G6" s="239"/>
      <c r="H6" s="239"/>
      <c r="I6" s="240"/>
      <c r="J6" s="2005"/>
      <c r="K6" s="2004"/>
      <c r="L6" s="2004"/>
      <c r="M6" s="2004"/>
      <c r="N6" s="2004"/>
      <c r="O6" s="2004"/>
      <c r="P6" s="2004"/>
      <c r="Q6" s="2004"/>
      <c r="R6" s="2004"/>
      <c r="S6" s="2004"/>
      <c r="T6" s="2004"/>
      <c r="U6" s="2004"/>
      <c r="V6" s="2004"/>
    </row>
    <row r="7" spans="1:22" ht="14.25">
      <c r="A7" s="3317"/>
      <c r="B7" s="3343"/>
      <c r="C7" s="3342"/>
      <c r="D7" s="3342"/>
      <c r="E7" s="238" t="s">
        <v>288</v>
      </c>
      <c r="F7" s="239"/>
      <c r="G7" s="239"/>
      <c r="H7" s="239"/>
      <c r="I7" s="240"/>
      <c r="J7" s="2005"/>
      <c r="K7" s="2004"/>
      <c r="L7" s="2004"/>
      <c r="M7" s="2004"/>
      <c r="N7" s="2004"/>
      <c r="O7" s="2004"/>
      <c r="P7" s="2004"/>
      <c r="Q7" s="2004"/>
      <c r="R7" s="2004"/>
      <c r="S7" s="2004"/>
      <c r="T7" s="2004"/>
      <c r="U7" s="2004"/>
      <c r="V7" s="2004"/>
    </row>
    <row r="8" spans="1:22" ht="14.25">
      <c r="A8" s="3317" t="s">
        <v>289</v>
      </c>
      <c r="B8" s="3343">
        <v>15</v>
      </c>
      <c r="C8" s="3341"/>
      <c r="D8" s="3341">
        <v>14</v>
      </c>
      <c r="E8" s="238" t="s">
        <v>290</v>
      </c>
      <c r="F8" s="239"/>
      <c r="G8" s="239"/>
      <c r="H8" s="239"/>
      <c r="I8" s="240"/>
      <c r="J8" s="2005"/>
      <c r="K8" s="2004"/>
      <c r="L8" s="2004"/>
      <c r="M8" s="2004"/>
      <c r="N8" s="2004"/>
      <c r="O8" s="2004"/>
      <c r="P8" s="2004"/>
      <c r="Q8" s="2004"/>
      <c r="R8" s="2004"/>
      <c r="S8" s="2004"/>
      <c r="T8" s="2004"/>
      <c r="U8" s="2004"/>
      <c r="V8" s="2004"/>
    </row>
    <row r="9" spans="1:22" ht="14.25">
      <c r="A9" s="3317"/>
      <c r="B9" s="3343"/>
      <c r="C9" s="3342"/>
      <c r="D9" s="3342"/>
      <c r="E9" s="238" t="s">
        <v>291</v>
      </c>
      <c r="F9" s="239"/>
      <c r="G9" s="239"/>
      <c r="H9" s="239"/>
      <c r="I9" s="240"/>
      <c r="J9" s="2005"/>
      <c r="K9" s="2004"/>
      <c r="L9" s="2004"/>
      <c r="M9" s="2004"/>
      <c r="N9" s="2004"/>
      <c r="O9" s="2004"/>
      <c r="P9" s="2004"/>
      <c r="Q9" s="2004"/>
      <c r="R9" s="2004"/>
      <c r="S9" s="2004"/>
      <c r="T9" s="2004"/>
      <c r="U9" s="2004"/>
      <c r="V9" s="2004"/>
    </row>
    <row r="10" spans="1:22" ht="14.25">
      <c r="A10" s="3317" t="s">
        <v>292</v>
      </c>
      <c r="B10" s="3343">
        <v>15</v>
      </c>
      <c r="C10" s="3341"/>
      <c r="D10" s="3341">
        <v>14</v>
      </c>
      <c r="E10" s="238" t="s">
        <v>293</v>
      </c>
      <c r="F10" s="239"/>
      <c r="G10" s="239"/>
      <c r="H10" s="239"/>
      <c r="I10" s="240"/>
      <c r="J10" s="2005"/>
      <c r="K10" s="2004"/>
      <c r="L10" s="2004"/>
      <c r="M10" s="2004"/>
      <c r="N10" s="2004"/>
      <c r="O10" s="2004"/>
      <c r="P10" s="2004"/>
      <c r="Q10" s="2004"/>
      <c r="R10" s="2004"/>
      <c r="S10" s="2004"/>
      <c r="T10" s="2004"/>
      <c r="U10" s="2004"/>
      <c r="V10" s="2004"/>
    </row>
    <row r="11" spans="1:22" ht="14.25">
      <c r="A11" s="3317"/>
      <c r="B11" s="3343"/>
      <c r="C11" s="3342"/>
      <c r="D11" s="3342"/>
      <c r="E11" s="238" t="s">
        <v>294</v>
      </c>
      <c r="F11" s="239"/>
      <c r="G11" s="239"/>
      <c r="H11" s="239"/>
      <c r="I11" s="240"/>
      <c r="J11" s="2005"/>
      <c r="K11" s="2004"/>
      <c r="L11" s="2004"/>
      <c r="M11" s="2004"/>
      <c r="N11" s="2004"/>
      <c r="O11" s="2004"/>
      <c r="P11" s="2004"/>
      <c r="Q11" s="2004"/>
      <c r="R11" s="2004"/>
      <c r="S11" s="2004"/>
      <c r="T11" s="2004"/>
      <c r="U11" s="2004"/>
      <c r="V11" s="2004"/>
    </row>
    <row r="12" spans="1:22" ht="14.25">
      <c r="A12" s="3317" t="s">
        <v>295</v>
      </c>
      <c r="B12" s="3343">
        <v>15</v>
      </c>
      <c r="C12" s="3341"/>
      <c r="D12" s="3341">
        <v>14</v>
      </c>
      <c r="E12" s="238" t="s">
        <v>296</v>
      </c>
      <c r="F12" s="239"/>
      <c r="G12" s="239"/>
      <c r="H12" s="239"/>
      <c r="I12" s="240"/>
      <c r="J12" s="2005"/>
      <c r="K12" s="2004"/>
      <c r="L12" s="2004"/>
      <c r="M12" s="2004"/>
      <c r="N12" s="2004"/>
      <c r="O12" s="2004"/>
      <c r="P12" s="2004"/>
      <c r="Q12" s="2004"/>
      <c r="R12" s="2004"/>
      <c r="S12" s="2004"/>
      <c r="T12" s="2004"/>
      <c r="U12" s="2004"/>
      <c r="V12" s="2004"/>
    </row>
    <row r="13" spans="1:22" ht="14.25">
      <c r="A13" s="3317"/>
      <c r="B13" s="3343"/>
      <c r="C13" s="3342"/>
      <c r="D13" s="3342"/>
      <c r="E13" s="238" t="s">
        <v>297</v>
      </c>
      <c r="F13" s="239"/>
      <c r="G13" s="239"/>
      <c r="H13" s="239"/>
      <c r="I13" s="240"/>
      <c r="J13" s="2005"/>
      <c r="K13" s="2004"/>
      <c r="L13" s="2004"/>
      <c r="M13" s="2004"/>
      <c r="N13" s="2004"/>
      <c r="O13" s="2004"/>
      <c r="P13" s="2004"/>
      <c r="Q13" s="2004"/>
      <c r="R13" s="2004"/>
      <c r="S13" s="2004"/>
      <c r="T13" s="2004"/>
      <c r="U13" s="2004"/>
      <c r="V13" s="2004"/>
    </row>
    <row r="14" spans="1:22" ht="14.25">
      <c r="A14" s="3317" t="s">
        <v>298</v>
      </c>
      <c r="B14" s="3343">
        <v>30</v>
      </c>
      <c r="C14" s="3341"/>
      <c r="D14" s="3341">
        <v>25</v>
      </c>
      <c r="E14" s="238" t="s">
        <v>299</v>
      </c>
      <c r="F14" s="239"/>
      <c r="G14" s="239"/>
      <c r="H14" s="239"/>
      <c r="I14" s="240"/>
      <c r="J14" s="2005"/>
      <c r="K14" s="2004"/>
      <c r="L14" s="2004"/>
      <c r="M14" s="2004"/>
      <c r="N14" s="2004"/>
      <c r="O14" s="2004"/>
      <c r="P14" s="2004"/>
      <c r="Q14" s="2004"/>
      <c r="R14" s="2004"/>
      <c r="S14" s="2004"/>
      <c r="T14" s="2004"/>
      <c r="U14" s="2004"/>
      <c r="V14" s="2004"/>
    </row>
    <row r="15" spans="1:22" ht="14.25">
      <c r="A15" s="3317"/>
      <c r="B15" s="3343"/>
      <c r="C15" s="3344"/>
      <c r="D15" s="3344"/>
      <c r="E15" s="238" t="s">
        <v>300</v>
      </c>
      <c r="F15" s="239"/>
      <c r="G15" s="239"/>
      <c r="H15" s="239"/>
      <c r="I15" s="240"/>
      <c r="J15" s="2005"/>
      <c r="K15" s="2004"/>
      <c r="L15" s="2004"/>
      <c r="M15" s="2004"/>
      <c r="N15" s="2004"/>
      <c r="O15" s="2004"/>
      <c r="P15" s="2004"/>
      <c r="Q15" s="2004"/>
      <c r="R15" s="2004"/>
      <c r="S15" s="2004"/>
      <c r="T15" s="2004"/>
      <c r="U15" s="2004"/>
      <c r="V15" s="2004"/>
    </row>
    <row r="16" spans="1:22" ht="14.25">
      <c r="A16" s="3317"/>
      <c r="B16" s="3343"/>
      <c r="C16" s="3342"/>
      <c r="D16" s="3342"/>
      <c r="E16" s="238" t="s">
        <v>301</v>
      </c>
      <c r="F16" s="239"/>
      <c r="G16" s="239"/>
      <c r="H16" s="239"/>
      <c r="I16" s="240"/>
      <c r="J16" s="2005"/>
      <c r="K16" s="2004"/>
      <c r="L16" s="2004"/>
      <c r="M16" s="2004"/>
      <c r="N16" s="2004"/>
      <c r="O16" s="2004"/>
      <c r="P16" s="2004"/>
      <c r="Q16" s="2004"/>
      <c r="R16" s="2004"/>
      <c r="S16" s="2004"/>
      <c r="T16" s="2004"/>
      <c r="U16" s="2004"/>
      <c r="V16" s="2004"/>
    </row>
    <row r="17" spans="1:26" ht="15">
      <c r="A17" s="241" t="s">
        <v>302</v>
      </c>
      <c r="B17" s="135"/>
      <c r="C17" s="242">
        <f>SUM(C5:C16)</f>
        <v>0</v>
      </c>
      <c r="D17" s="242">
        <f>SUM(D5:D16)</f>
        <v>91</v>
      </c>
      <c r="E17" s="291"/>
      <c r="F17" s="291"/>
      <c r="G17" s="291"/>
      <c r="H17" s="291"/>
      <c r="I17" s="291"/>
      <c r="J17" s="2005"/>
      <c r="K17" s="2004"/>
      <c r="L17" s="2004"/>
      <c r="M17" s="2004"/>
      <c r="N17" s="2004"/>
      <c r="O17" s="2004"/>
      <c r="P17" s="2004"/>
      <c r="Q17" s="2004"/>
      <c r="R17" s="2004"/>
      <c r="S17" s="2004"/>
      <c r="T17" s="2004"/>
      <c r="U17" s="2004"/>
      <c r="V17" s="2004"/>
    </row>
    <row r="18" spans="1:26" ht="15.75" thickBot="1">
      <c r="A18" s="243" t="s">
        <v>303</v>
      </c>
      <c r="B18" s="100"/>
      <c r="C18" s="244">
        <f>ROUND(C17/SUM(C17:D17),2)</f>
        <v>0</v>
      </c>
      <c r="D18" s="244">
        <f>1-C18</f>
        <v>1</v>
      </c>
      <c r="E18" s="291"/>
      <c r="F18" s="291"/>
      <c r="G18" s="291"/>
      <c r="H18" s="291"/>
      <c r="I18" s="291"/>
      <c r="J18" s="2004"/>
      <c r="K18" s="2004"/>
      <c r="L18" s="2004"/>
      <c r="M18" s="2004"/>
      <c r="N18" s="2004"/>
      <c r="O18" s="2004"/>
      <c r="P18" s="2004"/>
      <c r="Q18" s="2004"/>
      <c r="R18" s="2004"/>
      <c r="S18" s="2004"/>
      <c r="T18" s="2004"/>
      <c r="U18" s="2004"/>
      <c r="V18" s="2004"/>
    </row>
    <row r="19" spans="1:26" ht="15">
      <c r="A19" s="245" t="s">
        <v>304</v>
      </c>
      <c r="B19" s="246" t="s">
        <v>305</v>
      </c>
      <c r="C19" s="247" t="e">
        <f ca="1">SUMIF(INDIRECT("'"&amp;C4&amp;"'"&amp;"!A:A"),结果表!B19,INDIRECT("'"&amp;C4&amp;"'"&amp;"!B:B"))</f>
        <v>#REF!</v>
      </c>
      <c r="D19" s="248">
        <f ca="1">SUMIF(INDIRECT("'"&amp;D4&amp;"'"&amp;"!A:A"),结果表!B19,INDIRECT("'"&amp;D4&amp;"'"&amp;"!B:B"))</f>
        <v>809635</v>
      </c>
      <c r="E19" s="245" t="s">
        <v>306</v>
      </c>
      <c r="F19" s="246" t="s">
        <v>305</v>
      </c>
      <c r="G19" s="249" t="e">
        <f ca="1">ROUND(C19*$C$18+D19*$D$18,0)</f>
        <v>#REF!</v>
      </c>
      <c r="H19" s="250" t="s">
        <v>307</v>
      </c>
      <c r="I19" s="291"/>
      <c r="J19" s="2004"/>
      <c r="K19" s="2004"/>
      <c r="L19" s="2004"/>
      <c r="M19" s="2004"/>
      <c r="N19" s="2004"/>
      <c r="O19" s="2004"/>
      <c r="P19" s="2004"/>
      <c r="Q19" s="2004"/>
      <c r="R19" s="2004"/>
      <c r="S19" s="2004"/>
      <c r="T19" s="2004"/>
      <c r="U19" s="2004"/>
      <c r="V19" s="2004"/>
    </row>
    <row r="20" spans="1:26" ht="15">
      <c r="A20" s="251"/>
      <c r="B20" s="252" t="s">
        <v>308</v>
      </c>
      <c r="C20" s="253" t="e">
        <f ca="1">SUMIF(INDIRECT("'"&amp;C4&amp;"'"&amp;"!A:A"),结果表!B20,INDIRECT("'"&amp;C4&amp;"'"&amp;"!B:B"))</f>
        <v>#REF!</v>
      </c>
      <c r="D20" s="254">
        <f ca="1">SUMIF(INDIRECT("'"&amp;D4&amp;"'"&amp;"!A:A"),结果表!B20,INDIRECT("'"&amp;D4&amp;"'"&amp;"!B:B"))</f>
        <v>15955</v>
      </c>
      <c r="E20" s="251"/>
      <c r="F20" s="252" t="s">
        <v>308</v>
      </c>
      <c r="G20" s="255" t="e">
        <f ca="1">ROUND(C20*$C$18+D20*$D$18,0)</f>
        <v>#REF!</v>
      </c>
      <c r="H20" s="256" t="s">
        <v>309</v>
      </c>
      <c r="I20" s="291"/>
      <c r="J20" s="2004"/>
      <c r="K20" s="2004"/>
      <c r="L20" s="2004"/>
      <c r="M20" s="2004"/>
      <c r="N20" s="2004"/>
      <c r="O20" s="2004"/>
      <c r="P20" s="2004"/>
      <c r="Q20" s="2004"/>
      <c r="R20" s="2004"/>
      <c r="S20" s="2004"/>
      <c r="T20" s="2004"/>
      <c r="U20" s="2004"/>
      <c r="V20" s="2004"/>
    </row>
    <row r="21" spans="1:26" ht="15" customHeight="1">
      <c r="A21" s="251"/>
      <c r="B21" s="257" t="s">
        <v>310</v>
      </c>
      <c r="C21" s="258" t="e">
        <f ca="1">SUMIF(INDIRECT("'"&amp;C4&amp;"'"&amp;"!A:A"),结果表!B21,INDIRECT("'"&amp;C4&amp;"'"&amp;"!B:B"))</f>
        <v>#REF!</v>
      </c>
      <c r="D21" s="142">
        <f ca="1">SUMIF(INDIRECT("'"&amp;D4&amp;"'"&amp;"!A:A"),结果表!B21,INDIRECT("'"&amp;D4&amp;"'"&amp;"!B:B"))</f>
        <v>71002</v>
      </c>
      <c r="E21" s="251"/>
      <c r="F21" s="257" t="s">
        <v>310</v>
      </c>
      <c r="G21" s="259" t="e">
        <f ca="1">ROUND(C21*$C$18+D21*$D$18,0)</f>
        <v>#REF!</v>
      </c>
      <c r="H21" s="1236" t="s">
        <v>309</v>
      </c>
      <c r="I21" s="291"/>
      <c r="J21" s="2004"/>
      <c r="K21" s="2004"/>
      <c r="L21" s="2004"/>
      <c r="M21" s="2004"/>
      <c r="N21" s="2004"/>
      <c r="O21" s="2004"/>
      <c r="P21" s="2004"/>
      <c r="Q21" s="2004"/>
      <c r="R21" s="2004"/>
      <c r="S21" s="2004"/>
      <c r="T21" s="2004"/>
      <c r="U21" s="2004"/>
      <c r="V21" s="2004"/>
    </row>
    <row r="22" spans="1:26" ht="15.75" thickBot="1">
      <c r="A22" s="121" t="s">
        <v>311</v>
      </c>
      <c r="B22" s="1237"/>
      <c r="C22" s="1238"/>
      <c r="D22" s="260" t="e">
        <f ca="1">IF(C19&lt;D19,D19/C19-1,C19/D19-1)</f>
        <v>#REF!</v>
      </c>
      <c r="E22" s="261"/>
      <c r="F22" s="262"/>
      <c r="G22" s="263" t="e">
        <f ca="1">ROUND(G19/('数据-汇总表'!D3/666.67),0)</f>
        <v>#REF!</v>
      </c>
      <c r="H22" s="264" t="s">
        <v>312</v>
      </c>
      <c r="I22" s="291"/>
      <c r="J22" s="2004"/>
      <c r="K22" s="2004"/>
      <c r="L22" s="2004"/>
      <c r="M22" s="2004"/>
      <c r="N22" s="2004"/>
      <c r="O22" s="2004"/>
      <c r="P22" s="2004"/>
      <c r="Q22" s="2004"/>
      <c r="R22" s="2004"/>
      <c r="S22" s="2004"/>
      <c r="T22" s="2004"/>
      <c r="U22" s="2004"/>
      <c r="V22" s="2004"/>
    </row>
    <row r="23" spans="1:26" ht="13.5" thickBot="1">
      <c r="A23" s="291"/>
      <c r="B23" s="291"/>
      <c r="C23" s="291"/>
      <c r="D23" s="291"/>
      <c r="E23" s="291"/>
      <c r="F23" s="291"/>
      <c r="G23" s="291"/>
      <c r="H23" s="291"/>
      <c r="I23" s="291"/>
      <c r="J23" s="2004"/>
      <c r="K23" s="2004"/>
      <c r="L23" s="2004"/>
      <c r="M23" s="2004"/>
      <c r="N23" s="2004"/>
      <c r="O23" s="2004"/>
      <c r="P23" s="2004"/>
      <c r="Q23" s="2004"/>
      <c r="R23" s="2004"/>
      <c r="S23" s="2004"/>
      <c r="T23" s="2004"/>
      <c r="U23" s="2004"/>
      <c r="V23" s="2004"/>
    </row>
    <row r="24" spans="1:26" ht="15" thickBot="1">
      <c r="A24" s="3323" t="s">
        <v>313</v>
      </c>
      <c r="B24" s="246" t="s">
        <v>305</v>
      </c>
      <c r="C24" s="265">
        <f>IF(B30=0,0,D30)</f>
        <v>742</v>
      </c>
      <c r="D24" s="266"/>
      <c r="E24" s="291"/>
      <c r="F24" s="291"/>
      <c r="G24" s="291"/>
      <c r="H24" s="291"/>
      <c r="I24" s="291"/>
      <c r="J24" s="2004"/>
      <c r="K24" s="2004"/>
      <c r="L24" s="2004"/>
      <c r="M24" s="2004"/>
      <c r="N24" s="2004"/>
      <c r="O24" s="2004"/>
      <c r="P24" s="2004"/>
      <c r="Q24" s="2004"/>
      <c r="R24" s="2004"/>
      <c r="S24" s="2004"/>
      <c r="T24" s="2004"/>
      <c r="U24" s="2004"/>
      <c r="V24" s="2004"/>
    </row>
    <row r="25" spans="1:26" ht="18">
      <c r="A25" s="3324"/>
      <c r="B25" s="1306" t="s">
        <v>314</v>
      </c>
      <c r="C25" s="267">
        <f>IF(B30=0,0,C30)</f>
        <v>200</v>
      </c>
      <c r="D25" s="268"/>
      <c r="E25" s="291"/>
      <c r="F25" s="291"/>
      <c r="G25" s="291"/>
      <c r="H25" s="291"/>
      <c r="I25" s="291"/>
      <c r="J25" s="2004"/>
      <c r="K25" s="1240" t="e">
        <f ca="1">项目基本情况!B16&amp;"国有建设用地使用权价格："&amp;O38&amp;"万元"</f>
        <v>#REF!</v>
      </c>
      <c r="L25" s="1241"/>
      <c r="M25" s="1241"/>
      <c r="N25" s="1241"/>
      <c r="O25" s="1242"/>
      <c r="P25" s="2004"/>
      <c r="Q25" s="2004"/>
      <c r="R25" s="2004"/>
      <c r="S25" s="2004"/>
      <c r="T25" s="2004"/>
      <c r="U25" s="2004"/>
      <c r="V25" s="2004"/>
    </row>
    <row r="26" spans="1:26" s="1239" customFormat="1" ht="18">
      <c r="A26" s="270" t="s">
        <v>315</v>
      </c>
      <c r="B26" s="271" t="s">
        <v>316</v>
      </c>
      <c r="C26" s="271" t="s">
        <v>317</v>
      </c>
      <c r="D26" s="272" t="s">
        <v>318</v>
      </c>
      <c r="E26" s="291"/>
      <c r="F26" s="291"/>
      <c r="G26" s="291"/>
      <c r="H26" s="291"/>
      <c r="I26" s="291"/>
      <c r="J26" s="2004"/>
      <c r="K26" s="1243" t="e">
        <f ca="1">"大写金额：人民币"&amp;NUMBERSTRING(INT(O38*10000),2)&amp;"元整"</f>
        <v>#REF!</v>
      </c>
      <c r="L26" s="1237"/>
      <c r="M26" s="1237"/>
      <c r="N26" s="1237"/>
      <c r="O26" s="1236"/>
      <c r="P26" s="2004"/>
      <c r="Q26" s="2004"/>
      <c r="R26" s="2004"/>
      <c r="S26" s="2004"/>
      <c r="T26" s="2004"/>
      <c r="U26" s="2004"/>
      <c r="V26" s="2004"/>
      <c r="W26" s="269"/>
      <c r="X26" s="269"/>
      <c r="Y26" s="269"/>
      <c r="Z26" s="269"/>
    </row>
    <row r="27" spans="1:26" ht="18">
      <c r="A27" s="270"/>
      <c r="B27" s="271">
        <v>37086.559999999998</v>
      </c>
      <c r="C27" s="271">
        <v>200</v>
      </c>
      <c r="D27" s="272">
        <f>ROUND(C27*B27/10000,0)</f>
        <v>742</v>
      </c>
      <c r="E27" s="291"/>
      <c r="F27" s="291"/>
      <c r="G27" s="291"/>
      <c r="H27" s="291"/>
      <c r="I27" s="291"/>
      <c r="J27" s="2004"/>
      <c r="K27" s="1243" t="e">
        <f ca="1">"单位面积地价："&amp;M38&amp;"元/平方米"</f>
        <v>#REF!</v>
      </c>
      <c r="L27" s="1237"/>
      <c r="M27" s="1237"/>
      <c r="N27" s="1237"/>
      <c r="O27" s="1236"/>
      <c r="P27" s="2004"/>
      <c r="Q27" s="2004"/>
      <c r="R27" s="2004"/>
      <c r="S27" s="2004"/>
      <c r="T27" s="2004"/>
      <c r="U27" s="2004"/>
      <c r="V27" s="2004"/>
    </row>
    <row r="28" spans="1:26" ht="18.75" customHeight="1">
      <c r="A28" s="270"/>
      <c r="B28" s="271"/>
      <c r="C28" s="271"/>
      <c r="D28" s="272"/>
      <c r="E28" s="291"/>
      <c r="F28" s="291"/>
      <c r="G28" s="291"/>
      <c r="H28" s="291"/>
      <c r="I28" s="291"/>
      <c r="J28" s="2004"/>
      <c r="K28" s="1243" t="e">
        <f ca="1">"楼面地价："&amp;N38&amp;"元/平方米"</f>
        <v>#REF!</v>
      </c>
      <c r="L28" s="1237"/>
      <c r="M28" s="1237"/>
      <c r="N28" s="1237"/>
      <c r="O28" s="1236"/>
      <c r="P28" s="2004"/>
      <c r="V28" s="2004"/>
    </row>
    <row r="29" spans="1:26" ht="18">
      <c r="A29" s="270"/>
      <c r="B29" s="271"/>
      <c r="C29" s="271"/>
      <c r="D29" s="272"/>
      <c r="E29" s="291"/>
      <c r="F29" s="291"/>
      <c r="G29" s="291"/>
      <c r="H29" s="291"/>
      <c r="I29" s="291"/>
      <c r="J29" s="2004"/>
      <c r="K29" s="1243" t="e">
        <f ca="1">IF(OR(项目基本情况!E8="抵押价格",项目基本情况!E8="已注销及未注销"),"抵押价格："&amp;O39&amp;"万元","——")</f>
        <v>#REF!</v>
      </c>
      <c r="L29" s="1237"/>
      <c r="M29" s="1237"/>
      <c r="N29" s="1237"/>
      <c r="O29" s="1236"/>
      <c r="P29" s="2004"/>
      <c r="V29" s="2004"/>
    </row>
    <row r="30" spans="1:26" ht="18.75" thickBot="1">
      <c r="A30" s="273" t="s">
        <v>319</v>
      </c>
      <c r="B30" s="274">
        <f>SUM(B27:B29)</f>
        <v>37086.559999999998</v>
      </c>
      <c r="C30" s="274">
        <f>ROUND(D30*10000/B30,0)</f>
        <v>200</v>
      </c>
      <c r="D30" s="275">
        <f>SUM(D27:D29)</f>
        <v>742</v>
      </c>
      <c r="E30" s="291"/>
      <c r="F30" s="291"/>
      <c r="G30" s="291"/>
      <c r="H30" s="291"/>
      <c r="I30" s="291"/>
      <c r="J30" s="2004"/>
      <c r="K30" s="1243" t="e">
        <f ca="1">IF(K29="——","——","大写金额：人民币"&amp;NUMBERSTRING(INT(O39*10000),2)&amp;"元整")</f>
        <v>#REF!</v>
      </c>
      <c r="L30" s="1237"/>
      <c r="M30" s="1237"/>
      <c r="N30" s="1237"/>
      <c r="O30" s="1236"/>
      <c r="P30" s="2004"/>
      <c r="V30" s="2004"/>
    </row>
    <row r="31" spans="1:26" ht="24" customHeight="1" thickBot="1">
      <c r="A31" s="291"/>
      <c r="B31" s="291"/>
      <c r="C31" s="291"/>
      <c r="D31" s="291"/>
      <c r="E31" s="291"/>
      <c r="F31" s="291"/>
      <c r="G31" s="291"/>
      <c r="H31" s="291"/>
      <c r="I31" s="291"/>
      <c r="J31" s="2004"/>
      <c r="K31" s="2480" t="str">
        <f>IF(项目基本情况!E8="抵押价格","——","抵押担保权已注销时的抵押价格："&amp;O40&amp;"万元")</f>
        <v>——</v>
      </c>
      <c r="L31" s="2476"/>
      <c r="M31" s="2476"/>
      <c r="N31" s="2476"/>
      <c r="O31" s="2477"/>
      <c r="P31" s="2004"/>
      <c r="V31" s="2004"/>
    </row>
    <row r="32" spans="1:26" ht="18.75" thickBot="1">
      <c r="A32" s="245" t="s">
        <v>320</v>
      </c>
      <c r="B32" s="1362" t="s">
        <v>1897</v>
      </c>
      <c r="C32" s="1363" t="e">
        <f ca="1">G19-C24</f>
        <v>#REF!</v>
      </c>
      <c r="D32" s="1364" t="s">
        <v>1898</v>
      </c>
      <c r="E32" s="291"/>
      <c r="F32" s="291"/>
      <c r="G32" s="291"/>
      <c r="H32" s="291"/>
      <c r="I32" s="291"/>
      <c r="J32" s="2004"/>
      <c r="K32" s="2475" t="str">
        <f>IF(K31="——","——","大写金额：人民币"&amp;NUMBERSTRING(INT(O40*10000),2)&amp;"元整")</f>
        <v>——</v>
      </c>
      <c r="L32" s="2478"/>
      <c r="M32" s="2478"/>
      <c r="N32" s="2478"/>
      <c r="O32" s="2479"/>
      <c r="P32" s="2004"/>
      <c r="V32" s="2004"/>
    </row>
    <row r="33" spans="1:26" ht="18.75" thickBot="1">
      <c r="A33" s="278" t="s">
        <v>323</v>
      </c>
      <c r="B33" s="1365" t="s">
        <v>1899</v>
      </c>
      <c r="C33" s="241" t="e">
        <f ca="1">ROUND(C32*10000/'数据-汇总表'!E3,0)</f>
        <v>#REF!</v>
      </c>
      <c r="D33" s="1366" t="s">
        <v>1900</v>
      </c>
      <c r="E33" s="3323" t="s">
        <v>321</v>
      </c>
      <c r="F33" s="276" t="s">
        <v>322</v>
      </c>
      <c r="G33" s="277"/>
      <c r="H33" s="959" t="s">
        <v>3071</v>
      </c>
      <c r="I33" s="1244"/>
      <c r="J33" s="2004"/>
      <c r="K33" s="1243" t="str">
        <f>IF(项目基本情况!E9="——","——","抵押净值："&amp;C46&amp;"万元")</f>
        <v>——</v>
      </c>
      <c r="L33" s="1237"/>
      <c r="M33" s="1237"/>
      <c r="N33" s="1237"/>
      <c r="O33" s="1236"/>
      <c r="P33" s="2004"/>
      <c r="Q33" s="3208" t="s">
        <v>3392</v>
      </c>
      <c r="V33" s="2004"/>
    </row>
    <row r="34" spans="1:26" s="1239" customFormat="1" ht="18.75" thickBot="1">
      <c r="A34" s="280"/>
      <c r="B34" s="1367" t="s">
        <v>1901</v>
      </c>
      <c r="C34" s="241" t="e">
        <f ca="1">ROUND(C32*10000/'数据-汇总表'!D3,0)</f>
        <v>#REF!</v>
      </c>
      <c r="D34" s="1368" t="s">
        <v>1900</v>
      </c>
      <c r="E34" s="3363"/>
      <c r="F34" s="122" t="s">
        <v>324</v>
      </c>
      <c r="G34" s="279"/>
      <c r="H34" s="100"/>
      <c r="I34" s="291"/>
      <c r="J34" s="2004"/>
      <c r="K34" s="1246" t="str">
        <f>IF(K33="——","——","大写金额：人民币"&amp;NUMBERSTRING(INT(O41*10000),2)&amp;"元整")</f>
        <v>——</v>
      </c>
      <c r="L34" s="1247"/>
      <c r="M34" s="1247"/>
      <c r="N34" s="1247"/>
      <c r="O34" s="1248"/>
      <c r="P34" s="2004"/>
      <c r="Q34" s="269">
        <f>[3]结果表!$G$19+[4]结果表!$G$19</f>
        <v>810725</v>
      </c>
      <c r="R34" s="269"/>
      <c r="S34" s="269"/>
      <c r="T34" s="269"/>
      <c r="U34" s="269"/>
      <c r="V34" s="2004"/>
      <c r="W34" s="269"/>
      <c r="X34" s="269"/>
      <c r="Y34" s="269"/>
      <c r="Z34" s="269"/>
    </row>
    <row r="35" spans="1:26" ht="15.75" thickBot="1">
      <c r="A35" s="261"/>
      <c r="B35" s="1369"/>
      <c r="C35" s="1370" t="e">
        <f ca="1">ROUND(C32/('数据-汇总表'!D3/666.67),0)</f>
        <v>#REF!</v>
      </c>
      <c r="D35" s="1371" t="s">
        <v>1902</v>
      </c>
      <c r="E35" s="3364"/>
      <c r="F35" s="281" t="s">
        <v>325</v>
      </c>
      <c r="G35" s="961"/>
      <c r="H35" s="960" t="s">
        <v>326</v>
      </c>
      <c r="I35" s="291"/>
      <c r="J35" s="2004"/>
      <c r="K35" s="3338" t="s">
        <v>333</v>
      </c>
      <c r="L35" s="3338" t="s">
        <v>334</v>
      </c>
      <c r="M35" s="1249" t="s">
        <v>335</v>
      </c>
      <c r="N35" s="3338" t="s">
        <v>336</v>
      </c>
      <c r="O35" s="3338" t="s">
        <v>337</v>
      </c>
      <c r="P35" s="2004"/>
      <c r="V35" s="2004"/>
    </row>
    <row r="36" spans="1:26" ht="16.5" customHeight="1">
      <c r="A36" s="283" t="s">
        <v>327</v>
      </c>
      <c r="B36" s="284" t="s">
        <v>316</v>
      </c>
      <c r="C36" s="285" t="s">
        <v>328</v>
      </c>
      <c r="D36" s="285" t="s">
        <v>329</v>
      </c>
      <c r="E36" s="286" t="s">
        <v>330</v>
      </c>
      <c r="F36" s="291"/>
      <c r="G36" s="291"/>
      <c r="H36" s="291"/>
      <c r="I36" s="291"/>
      <c r="J36" s="2006"/>
      <c r="K36" s="3339"/>
      <c r="L36" s="3339"/>
      <c r="M36" s="1251" t="s">
        <v>338</v>
      </c>
      <c r="N36" s="3339"/>
      <c r="O36" s="3339"/>
      <c r="P36" s="2004"/>
      <c r="V36" s="2004"/>
    </row>
    <row r="37" spans="1:26" ht="16.5" customHeight="1" thickBot="1">
      <c r="A37" s="1245" t="s">
        <v>331</v>
      </c>
      <c r="B37" s="287"/>
      <c r="C37" s="271"/>
      <c r="D37" s="271"/>
      <c r="E37" s="272"/>
      <c r="F37" s="291"/>
      <c r="G37" s="291"/>
      <c r="H37" s="291"/>
      <c r="I37" s="291"/>
      <c r="J37" s="2006"/>
      <c r="K37" s="3340"/>
      <c r="L37" s="3340"/>
      <c r="M37" s="1252"/>
      <c r="N37" s="3340"/>
      <c r="O37" s="3340"/>
      <c r="P37" s="2004"/>
      <c r="Q37" s="3208" t="s">
        <v>3393</v>
      </c>
      <c r="V37" s="2004"/>
    </row>
    <row r="38" spans="1:26" ht="16.5" customHeight="1" thickBot="1">
      <c r="A38" s="1245" t="s">
        <v>332</v>
      </c>
      <c r="B38" s="287"/>
      <c r="C38" s="271"/>
      <c r="D38" s="271"/>
      <c r="E38" s="272"/>
      <c r="F38" s="291"/>
      <c r="G38" s="291"/>
      <c r="H38" s="291"/>
      <c r="I38" s="291"/>
      <c r="J38" s="2006"/>
      <c r="K38" s="1253">
        <f>'数据-汇总表'!D3</f>
        <v>114029.21</v>
      </c>
      <c r="L38" s="1254">
        <f>'数据-汇总表'!E3</f>
        <v>507462.25</v>
      </c>
      <c r="M38" s="1254" t="e">
        <f ca="1">C34</f>
        <v>#REF!</v>
      </c>
      <c r="N38" s="1254" t="e">
        <f ca="1">C33</f>
        <v>#REF!</v>
      </c>
      <c r="O38" s="1255" t="e">
        <f ca="1">C32</f>
        <v>#REF!</v>
      </c>
      <c r="P38" s="2004"/>
      <c r="Q38" s="234">
        <f>[3]结果表!$L$38+[4]结果表!$L$38</f>
        <v>483195.58999999997</v>
      </c>
      <c r="V38" s="2004"/>
    </row>
    <row r="39" spans="1:26" ht="16.5" customHeight="1" thickBot="1">
      <c r="A39" s="1250"/>
      <c r="B39" s="288"/>
      <c r="C39" s="289"/>
      <c r="D39" s="289"/>
      <c r="E39" s="290"/>
      <c r="F39" s="291"/>
      <c r="G39" s="291"/>
      <c r="H39" s="291"/>
      <c r="I39" s="291"/>
      <c r="J39" s="2006"/>
      <c r="K39" s="3382" t="str">
        <f>MID(A44,3,LEN(A44)-2)</f>
        <v>抵押价格</v>
      </c>
      <c r="L39" s="3383"/>
      <c r="M39" s="3383"/>
      <c r="N39" s="3384"/>
      <c r="O39" s="1373" t="e">
        <f ca="1">C44</f>
        <v>#REF!</v>
      </c>
      <c r="P39" s="2004"/>
      <c r="V39" s="2004"/>
    </row>
    <row r="40" spans="1:26" ht="19.5" thickBot="1">
      <c r="A40" s="99" t="s">
        <v>1062</v>
      </c>
      <c r="B40" s="291"/>
      <c r="C40" s="291"/>
      <c r="D40" s="291"/>
      <c r="E40" s="291"/>
      <c r="F40" s="291"/>
      <c r="G40" s="291"/>
      <c r="H40" s="291"/>
      <c r="I40" s="291"/>
      <c r="J40" s="2006"/>
      <c r="K40" s="3382" t="str">
        <f t="shared" ref="K40:K41" si="0">MID(A45,3,LEN(A45)-2)</f>
        <v/>
      </c>
      <c r="L40" s="3383"/>
      <c r="M40" s="3383"/>
      <c r="N40" s="3384"/>
      <c r="O40" s="1373" t="str">
        <f>C45</f>
        <v>——</v>
      </c>
      <c r="P40" s="2004"/>
      <c r="Q40" s="3208" t="s">
        <v>3394</v>
      </c>
      <c r="V40" s="2004"/>
    </row>
    <row r="41" spans="1:26" ht="16.5" thickBot="1">
      <c r="A41" s="292" t="s">
        <v>339</v>
      </c>
      <c r="B41" s="293"/>
      <c r="C41" s="294" t="s">
        <v>340</v>
      </c>
      <c r="D41" s="295" t="s">
        <v>341</v>
      </c>
      <c r="E41" s="295" t="s">
        <v>342</v>
      </c>
      <c r="F41" s="296" t="s">
        <v>343</v>
      </c>
      <c r="G41" s="291"/>
      <c r="H41" s="291"/>
      <c r="I41" s="291"/>
      <c r="J41" s="2006"/>
      <c r="K41" s="3382" t="str">
        <f t="shared" si="0"/>
        <v/>
      </c>
      <c r="L41" s="3383"/>
      <c r="M41" s="3383"/>
      <c r="N41" s="3384"/>
      <c r="O41" s="1373" t="str">
        <f>C46</f>
        <v>——</v>
      </c>
      <c r="P41" s="2004"/>
      <c r="Q41" s="234">
        <f>[3]结果表!$K$38+[4]结果表!$K$38</f>
        <v>112334.11</v>
      </c>
      <c r="V41" s="2004"/>
    </row>
    <row r="42" spans="1:26" ht="29.25">
      <c r="A42" s="3325" t="s">
        <v>2294</v>
      </c>
      <c r="B42" s="3326"/>
      <c r="C42" s="241" t="e">
        <f ca="1">C32</f>
        <v>#REF!</v>
      </c>
      <c r="D42" s="297" t="e">
        <f ca="1">C33</f>
        <v>#REF!</v>
      </c>
      <c r="E42" s="297" t="e">
        <f ca="1">C34</f>
        <v>#REF!</v>
      </c>
      <c r="F42" s="298" t="e">
        <f ca="1">C35</f>
        <v>#REF!</v>
      </c>
      <c r="G42" s="291"/>
      <c r="H42" s="291"/>
      <c r="I42" s="299"/>
      <c r="J42" s="2006"/>
      <c r="K42" s="1256" t="s">
        <v>344</v>
      </c>
      <c r="L42" s="2023" t="s">
        <v>345</v>
      </c>
      <c r="M42" s="1257" t="s">
        <v>346</v>
      </c>
      <c r="N42" s="2024" t="s">
        <v>347</v>
      </c>
      <c r="O42" s="2025" t="s">
        <v>348</v>
      </c>
      <c r="P42" s="2004"/>
      <c r="V42" s="2004"/>
    </row>
    <row r="43" spans="1:26" ht="18">
      <c r="A43" s="3336" t="s">
        <v>3011</v>
      </c>
      <c r="B43" s="3337"/>
      <c r="C43" s="241">
        <f>IF(H33="正常操作",G33+G34+G35,G34+G35)</f>
        <v>0</v>
      </c>
      <c r="D43" s="297" t="s">
        <v>55</v>
      </c>
      <c r="E43" s="297" t="s">
        <v>56</v>
      </c>
      <c r="F43" s="298" t="s">
        <v>56</v>
      </c>
      <c r="G43" s="2884" t="s">
        <v>1149</v>
      </c>
      <c r="H43" s="291"/>
      <c r="I43" s="299"/>
      <c r="J43" s="2006"/>
      <c r="K43" s="1258">
        <f>C4</f>
        <v>0</v>
      </c>
      <c r="L43" s="1259" t="e">
        <f ca="1">IF(L42="估价结果/万元",C19,C20)</f>
        <v>#REF!</v>
      </c>
      <c r="M43" s="1260">
        <f>C18</f>
        <v>0</v>
      </c>
      <c r="N43" s="1261" t="e">
        <f ca="1">IF(N42="测算结果/万元",G19,G20)</f>
        <v>#REF!</v>
      </c>
      <c r="O43" s="1262" t="e">
        <f ca="1">IF(O42="最终结果/万元",C32,C33)</f>
        <v>#REF!</v>
      </c>
      <c r="P43" s="2004"/>
      <c r="Q43" s="3208" t="s">
        <v>3395</v>
      </c>
      <c r="V43" s="2004"/>
    </row>
    <row r="44" spans="1:26" ht="30.75" thickBot="1">
      <c r="A44" s="3325" t="str">
        <f>IF(OR(项目基本情况!E8="抵押价格",项目基本情况!E8="已注销及未注销"),"3.抵押价格","——")</f>
        <v>3.抵押价格</v>
      </c>
      <c r="B44" s="3326"/>
      <c r="C44" s="241" t="e">
        <f ca="1">IF(A44="——","——",C42-C43)</f>
        <v>#REF!</v>
      </c>
      <c r="D44" s="297" t="e">
        <f ca="1">ROUND(C44*10000/'数据-汇总表'!E3,0)</f>
        <v>#REF!</v>
      </c>
      <c r="E44" s="297" t="e">
        <f ca="1">ROUND(C44*10000/'数据-汇总表'!D3,0)</f>
        <v>#REF!</v>
      </c>
      <c r="F44" s="298" t="e">
        <f ca="1">ROUND(C44/('数据-汇总表'!D3/666.67),0)</f>
        <v>#REF!</v>
      </c>
      <c r="G44" s="291"/>
      <c r="H44" s="291"/>
      <c r="I44" s="299"/>
      <c r="J44" s="2006"/>
      <c r="K44" s="1263" t="str">
        <f>D4</f>
        <v>剩余法-待开发</v>
      </c>
      <c r="L44" s="1264">
        <f ca="1">IF(L42="估价结果/万元",D19,D20)</f>
        <v>809635</v>
      </c>
      <c r="M44" s="1265">
        <f>D18</f>
        <v>1</v>
      </c>
      <c r="N44" s="1266"/>
      <c r="O44" s="1267"/>
      <c r="P44" s="2004"/>
      <c r="Q44" s="234">
        <f>'[4]数据-基础表'!$A$3+'[3]数据-基础表'!$A$3</f>
        <v>132668.51999999999</v>
      </c>
      <c r="V44" s="2004"/>
    </row>
    <row r="45" spans="1:26" ht="15">
      <c r="A45" s="3331" t="str">
        <f>IF(项目基本情况!E8="已注销及未注销","4.抵押担保权已注销时的抵押价格",IF(项目基本情况!E8="已注销","3.抵押担保权已注销时的抵押价格","——"))</f>
        <v>——</v>
      </c>
      <c r="B45" s="3332"/>
      <c r="C45" s="1778" t="str">
        <f>IF(A45="——","——",IF(项目基本情况!E8="抵押价格","——",C32-G34-G35))</f>
        <v>——</v>
      </c>
      <c r="D45" s="297" t="e">
        <f>ROUND(C45*10000/'数据-汇总表'!E3,0)</f>
        <v>#VALUE!</v>
      </c>
      <c r="E45" s="297" t="e">
        <f>ROUND(C45*10000/'数据-汇总表'!D3,0)</f>
        <v>#VALUE!</v>
      </c>
      <c r="F45" s="298" t="e">
        <f>ROUND(C45/('数据-汇总表'!D3/666.67),0)</f>
        <v>#VALUE!</v>
      </c>
      <c r="G45" s="291"/>
      <c r="H45" s="291"/>
      <c r="I45" s="299"/>
      <c r="J45" s="2006"/>
      <c r="K45" s="2004"/>
      <c r="L45" s="2004"/>
      <c r="M45" s="2004"/>
      <c r="N45" s="2004"/>
      <c r="O45" s="2004"/>
      <c r="P45" s="2004"/>
      <c r="V45" s="2004"/>
    </row>
    <row r="46" spans="1:26" ht="15.75" thickBot="1">
      <c r="A46" s="3327" t="str">
        <f>IF(项目基本情况!E9="抵押净值",IF(A45="——","4.抵押净值","5.抵押净值"),"——")</f>
        <v>——</v>
      </c>
      <c r="B46" s="3328"/>
      <c r="C46" s="300" t="str">
        <f>IF(A46="——","——",O79)</f>
        <v>——</v>
      </c>
      <c r="D46" s="297" t="e">
        <f>ROUND(C46*10000/'数据-汇总表'!E3,0)</f>
        <v>#VALUE!</v>
      </c>
      <c r="E46" s="297" t="e">
        <f>ROUND(C46*10000/'数据-汇总表'!D3,0)</f>
        <v>#VALUE!</v>
      </c>
      <c r="F46" s="298" t="e">
        <f>ROUND(C46/('数据-汇总表'!D3/666.67),0)</f>
        <v>#VALUE!</v>
      </c>
      <c r="G46" s="291"/>
      <c r="H46" s="291"/>
      <c r="I46" s="299"/>
      <c r="J46" s="2006"/>
      <c r="K46" s="2004"/>
      <c r="L46" s="2004"/>
      <c r="M46" s="2004"/>
      <c r="N46" s="2004"/>
      <c r="O46" s="2004"/>
      <c r="P46" s="2004"/>
      <c r="Q46" s="2004"/>
      <c r="R46" s="2004"/>
      <c r="S46" s="2004"/>
      <c r="T46" s="2004"/>
      <c r="U46" s="2004"/>
      <c r="V46" s="2004"/>
    </row>
    <row r="47" spans="1:26" ht="15.75">
      <c r="A47" s="301" t="s">
        <v>349</v>
      </c>
      <c r="B47" s="1268"/>
      <c r="C47" s="302" t="s">
        <v>350</v>
      </c>
      <c r="D47" s="303"/>
      <c r="E47" s="303"/>
      <c r="F47" s="303"/>
      <c r="G47" s="304"/>
      <c r="H47" s="305"/>
      <c r="I47" s="306"/>
      <c r="J47" s="2006"/>
      <c r="K47" s="291" t="str">
        <f>IF(C43=0,"本次评估"&amp;IF(G43="设定","设定估价对象","")&amp;"不存在"&amp;MID(A43,3,LEN(A43)-2),"本次评估"&amp;IF(G43="设定","设定","")&amp;MID(A43,3,LEN(A43)-2)&amp;"为人民币"&amp;C43&amp;"万元整。")</f>
        <v>本次评估不存在估价师知悉的法定优先受偿款</v>
      </c>
      <c r="L47" s="2004"/>
      <c r="M47" s="2004"/>
      <c r="N47" s="2004"/>
      <c r="O47" s="2004"/>
      <c r="P47" s="2004"/>
      <c r="Q47" s="2004"/>
      <c r="R47" s="2004"/>
      <c r="S47" s="2004"/>
      <c r="T47" s="2004"/>
      <c r="U47" s="2004"/>
      <c r="V47" s="2004"/>
    </row>
    <row r="48" spans="1:26" ht="12.75">
      <c r="A48" s="307">
        <v>1</v>
      </c>
      <c r="B48" s="308"/>
      <c r="C48" s="308"/>
      <c r="D48" s="303"/>
      <c r="E48" s="303"/>
      <c r="F48" s="303"/>
      <c r="G48" s="303"/>
      <c r="H48" s="309"/>
      <c r="I48" s="310"/>
      <c r="J48" s="2006"/>
      <c r="K48" s="2004"/>
      <c r="L48" s="2004"/>
      <c r="M48" s="2004"/>
      <c r="N48" s="2004"/>
      <c r="O48" s="2004"/>
      <c r="P48" s="2004"/>
      <c r="Q48" s="2004"/>
      <c r="R48" s="2004"/>
      <c r="S48" s="2004"/>
      <c r="T48" s="2004"/>
      <c r="U48" s="2004"/>
      <c r="V48" s="2004"/>
    </row>
    <row r="49" spans="1:22" ht="12.75">
      <c r="A49" s="307">
        <v>2</v>
      </c>
      <c r="B49" s="308"/>
      <c r="C49" s="308"/>
      <c r="D49" s="303"/>
      <c r="E49" s="303"/>
      <c r="F49" s="303"/>
      <c r="G49" s="303"/>
      <c r="H49" s="309"/>
      <c r="I49" s="310"/>
      <c r="J49" s="2007"/>
      <c r="K49" s="2004"/>
      <c r="L49" s="2004"/>
      <c r="M49" s="2004"/>
      <c r="N49" s="2004"/>
      <c r="O49" s="2004"/>
      <c r="P49" s="2004"/>
      <c r="Q49" s="2004"/>
      <c r="R49" s="2004"/>
      <c r="S49" s="2004"/>
      <c r="T49" s="2004"/>
      <c r="U49" s="2004"/>
      <c r="V49" s="2004"/>
    </row>
    <row r="50" spans="1:22" ht="12.75">
      <c r="A50" s="307">
        <v>3</v>
      </c>
      <c r="B50" s="308"/>
      <c r="C50" s="308"/>
      <c r="D50" s="303"/>
      <c r="E50" s="303"/>
      <c r="F50" s="303"/>
      <c r="G50" s="303"/>
      <c r="H50" s="309"/>
      <c r="I50" s="310"/>
      <c r="J50" s="2007"/>
      <c r="K50" s="2004"/>
      <c r="L50" s="2004"/>
      <c r="M50" s="2004"/>
      <c r="N50" s="2004"/>
      <c r="O50" s="2004"/>
      <c r="P50" s="2004"/>
      <c r="Q50" s="2004"/>
      <c r="R50" s="2004"/>
      <c r="S50" s="2004"/>
      <c r="T50" s="2004"/>
      <c r="U50" s="2004"/>
      <c r="V50" s="2004"/>
    </row>
    <row r="51" spans="1:22" ht="12.75">
      <c r="A51" s="311"/>
      <c r="B51" s="312"/>
      <c r="C51" s="312"/>
      <c r="D51" s="313"/>
      <c r="E51" s="313"/>
      <c r="F51" s="313"/>
      <c r="G51" s="313"/>
      <c r="H51" s="314"/>
      <c r="I51" s="315"/>
      <c r="J51" s="2007"/>
      <c r="K51" s="2004"/>
      <c r="L51" s="2004"/>
      <c r="M51" s="2004"/>
      <c r="N51" s="2004"/>
      <c r="O51" s="2004"/>
      <c r="P51" s="2004"/>
      <c r="Q51" s="2004"/>
      <c r="R51" s="2004"/>
      <c r="S51" s="2004"/>
      <c r="T51" s="2004"/>
      <c r="U51" s="2004"/>
      <c r="V51" s="2004"/>
    </row>
    <row r="52" spans="1:22" ht="12.75">
      <c r="A52" s="308"/>
      <c r="B52" s="308"/>
      <c r="C52" s="308"/>
      <c r="D52" s="303"/>
      <c r="E52" s="303"/>
      <c r="F52" s="303"/>
      <c r="G52" s="303"/>
      <c r="H52" s="309"/>
      <c r="I52" s="234"/>
      <c r="J52" s="2007"/>
      <c r="K52" s="2004"/>
      <c r="L52" s="2004"/>
      <c r="M52" s="2004"/>
      <c r="N52" s="2004"/>
      <c r="O52" s="2004"/>
      <c r="P52" s="2004"/>
      <c r="Q52" s="2004"/>
      <c r="R52" s="2004"/>
      <c r="S52" s="2004"/>
      <c r="T52" s="2004"/>
      <c r="U52" s="2004"/>
      <c r="V52" s="2004"/>
    </row>
    <row r="53" spans="1:22" ht="12.75">
      <c r="A53" s="234"/>
      <c r="B53" s="234"/>
      <c r="C53" s="234"/>
      <c r="D53" s="234"/>
      <c r="E53" s="234"/>
      <c r="F53" s="316" t="s">
        <v>351</v>
      </c>
      <c r="G53" s="317"/>
      <c r="H53" s="317"/>
      <c r="I53" s="318" t="s">
        <v>352</v>
      </c>
      <c r="J53" s="2007"/>
      <c r="K53" s="2004"/>
      <c r="L53" s="2004"/>
      <c r="M53" s="2004"/>
      <c r="N53" s="2004"/>
      <c r="O53" s="2004"/>
      <c r="P53" s="2004"/>
      <c r="Q53" s="2004"/>
      <c r="R53" s="2004"/>
      <c r="S53" s="2004"/>
      <c r="T53" s="2004"/>
      <c r="U53" s="2004"/>
      <c r="V53" s="2004"/>
    </row>
    <row r="54" spans="1:22" ht="12.75">
      <c r="A54" s="234"/>
      <c r="B54" s="319" t="s">
        <v>353</v>
      </c>
      <c r="C54" s="234"/>
      <c r="D54" s="234"/>
      <c r="E54" s="234"/>
      <c r="F54" s="234"/>
      <c r="G54" s="234"/>
      <c r="H54" s="234"/>
      <c r="I54" s="234"/>
      <c r="J54" s="2007"/>
      <c r="K54" s="2004"/>
      <c r="L54" s="2004"/>
      <c r="M54" s="2004"/>
      <c r="N54" s="2004"/>
      <c r="O54" s="2004"/>
      <c r="P54" s="2004"/>
      <c r="Q54" s="2004"/>
      <c r="R54" s="2004"/>
      <c r="S54" s="2004"/>
      <c r="T54" s="2004"/>
      <c r="U54" s="2004"/>
      <c r="V54" s="2004"/>
    </row>
    <row r="55" spans="1:22" ht="12.75">
      <c r="A55" s="234"/>
      <c r="B55" s="234"/>
      <c r="C55" s="234"/>
      <c r="D55" s="234"/>
      <c r="E55" s="234"/>
      <c r="F55" s="234"/>
      <c r="G55" s="234"/>
      <c r="H55" s="234"/>
      <c r="I55" s="234"/>
      <c r="J55" s="2007"/>
      <c r="K55" s="2004"/>
      <c r="L55" s="2004"/>
      <c r="M55" s="2004"/>
      <c r="N55" s="2004"/>
      <c r="O55" s="2004"/>
      <c r="P55" s="2004"/>
      <c r="Q55" s="2004"/>
      <c r="R55" s="2004"/>
      <c r="S55" s="2004"/>
      <c r="T55" s="2004"/>
      <c r="U55" s="2004"/>
      <c r="V55" s="2004"/>
    </row>
    <row r="56" spans="1:22" ht="12.75">
      <c r="A56" s="234"/>
      <c r="B56" s="317"/>
      <c r="C56" s="317"/>
      <c r="D56" s="317"/>
      <c r="E56" s="317"/>
      <c r="F56" s="317"/>
      <c r="G56" s="317"/>
      <c r="H56" s="317"/>
      <c r="I56" s="318" t="s">
        <v>354</v>
      </c>
      <c r="J56" s="2007"/>
      <c r="K56" s="2004"/>
      <c r="L56" s="2004"/>
      <c r="M56" s="2004"/>
      <c r="N56" s="2004"/>
      <c r="O56" s="2004"/>
      <c r="P56" s="2004"/>
      <c r="Q56" s="2004"/>
      <c r="R56" s="2004"/>
      <c r="S56" s="2004"/>
      <c r="T56" s="2004"/>
      <c r="U56" s="2004"/>
      <c r="V56" s="2004"/>
    </row>
    <row r="57" spans="1:22" ht="12.75">
      <c r="A57" s="234"/>
      <c r="B57" s="319" t="s">
        <v>355</v>
      </c>
      <c r="C57" s="234"/>
      <c r="D57" s="234"/>
      <c r="E57" s="234"/>
      <c r="F57" s="234"/>
      <c r="G57" s="234"/>
      <c r="H57" s="234"/>
      <c r="I57" s="234"/>
      <c r="J57" s="2007"/>
      <c r="K57" s="2004"/>
      <c r="L57" s="2004"/>
      <c r="M57" s="2004"/>
      <c r="N57" s="2004"/>
      <c r="O57" s="2004"/>
      <c r="P57" s="2004"/>
      <c r="Q57" s="2004"/>
      <c r="R57" s="2004"/>
      <c r="S57" s="2004"/>
      <c r="T57" s="2004"/>
      <c r="U57" s="2004"/>
      <c r="V57" s="2004"/>
    </row>
    <row r="58" spans="1:22" ht="12.75">
      <c r="A58" s="234"/>
      <c r="B58" s="319"/>
      <c r="C58" s="234"/>
      <c r="D58" s="234"/>
      <c r="E58" s="234"/>
      <c r="F58" s="234"/>
      <c r="G58" s="234"/>
      <c r="H58" s="234"/>
      <c r="I58" s="234"/>
      <c r="J58" s="2007"/>
      <c r="K58" s="2004"/>
      <c r="L58" s="2004"/>
      <c r="M58" s="2004"/>
      <c r="N58" s="2004"/>
      <c r="O58" s="2004"/>
      <c r="P58" s="2004"/>
      <c r="Q58" s="2004"/>
      <c r="R58" s="2004"/>
      <c r="S58" s="2004"/>
      <c r="T58" s="2004"/>
      <c r="U58" s="2004"/>
      <c r="V58" s="2004"/>
    </row>
    <row r="59" spans="1:22" ht="12.75">
      <c r="A59" s="234"/>
      <c r="B59" s="317"/>
      <c r="C59" s="317"/>
      <c r="D59" s="317"/>
      <c r="E59" s="317"/>
      <c r="F59" s="317"/>
      <c r="G59" s="317"/>
      <c r="H59" s="317"/>
      <c r="I59" s="318" t="s">
        <v>354</v>
      </c>
      <c r="J59" s="2007"/>
      <c r="K59" s="2004"/>
      <c r="L59" s="2004"/>
      <c r="M59" s="2004"/>
      <c r="N59" s="2004"/>
      <c r="O59" s="2004"/>
      <c r="P59" s="2004"/>
      <c r="Q59" s="2004"/>
      <c r="R59" s="2004"/>
      <c r="S59" s="2004"/>
      <c r="T59" s="2004"/>
      <c r="U59" s="2004"/>
      <c r="V59" s="2004"/>
    </row>
    <row r="60" spans="1:22" ht="12.75">
      <c r="A60" s="234"/>
      <c r="B60" s="234"/>
      <c r="C60" s="234"/>
      <c r="D60" s="234"/>
      <c r="E60" s="234"/>
      <c r="F60" s="234"/>
      <c r="G60" s="234"/>
      <c r="H60" s="234"/>
      <c r="I60" s="234"/>
      <c r="J60" s="2007"/>
      <c r="K60" s="2004"/>
      <c r="L60" s="2004"/>
      <c r="M60" s="2004"/>
      <c r="N60" s="2004"/>
      <c r="O60" s="2004"/>
      <c r="P60" s="2004"/>
      <c r="Q60" s="2004"/>
      <c r="R60" s="2004"/>
      <c r="S60" s="2004"/>
      <c r="T60" s="2004"/>
      <c r="U60" s="2004"/>
      <c r="V60" s="2004"/>
    </row>
    <row r="61" spans="1:22" ht="12.75">
      <c r="A61" s="234"/>
      <c r="B61" s="319"/>
      <c r="C61" s="320"/>
      <c r="D61" s="198"/>
      <c r="E61" s="198"/>
      <c r="F61" s="230"/>
      <c r="G61" s="234"/>
      <c r="H61" s="234"/>
      <c r="I61" s="234"/>
      <c r="J61" s="2007"/>
      <c r="K61" s="2004"/>
      <c r="L61" s="2004"/>
      <c r="M61" s="2004"/>
      <c r="N61" s="2004"/>
      <c r="O61" s="2004"/>
      <c r="P61" s="2004"/>
      <c r="Q61" s="2004"/>
      <c r="R61" s="2004"/>
      <c r="S61" s="2004"/>
      <c r="T61" s="2004"/>
      <c r="U61" s="2004"/>
      <c r="V61" s="2004"/>
    </row>
    <row r="62" spans="1:22" ht="18.75">
      <c r="A62" s="1269" t="s">
        <v>356</v>
      </c>
      <c r="B62" s="1270"/>
      <c r="C62" s="1270"/>
      <c r="D62" s="1271"/>
      <c r="E62" s="1271"/>
      <c r="F62" s="1272"/>
      <c r="G62" s="1272"/>
      <c r="H62" s="1272"/>
      <c r="I62" s="1272"/>
      <c r="J62" s="2008"/>
      <c r="K62" s="2004"/>
      <c r="L62" s="2004"/>
      <c r="M62" s="2004"/>
      <c r="N62" s="2004"/>
      <c r="O62" s="2004"/>
      <c r="P62" s="2004"/>
      <c r="Q62" s="2004"/>
      <c r="R62" s="2004"/>
      <c r="S62" s="2004"/>
      <c r="T62" s="2004"/>
      <c r="U62" s="2004"/>
      <c r="V62" s="2004"/>
    </row>
    <row r="63" spans="1:22" ht="14.25" customHeight="1" thickBot="1">
      <c r="A63" s="3371" t="s">
        <v>357</v>
      </c>
      <c r="B63" s="3372"/>
      <c r="C63" s="3373"/>
      <c r="D63" s="321" t="e">
        <f ca="1">ROUND(C42*F63,0)</f>
        <v>#REF!</v>
      </c>
      <c r="E63" s="282" t="s">
        <v>358</v>
      </c>
      <c r="F63" s="322">
        <v>0.6</v>
      </c>
      <c r="G63" s="323" t="s">
        <v>359</v>
      </c>
      <c r="H63" s="291"/>
      <c r="I63" s="291"/>
      <c r="J63" s="2004"/>
      <c r="K63" s="2004"/>
      <c r="L63" s="2004"/>
      <c r="M63" s="2004"/>
      <c r="N63" s="2004"/>
      <c r="O63" s="2004"/>
      <c r="P63" s="291"/>
      <c r="Q63" s="2004"/>
      <c r="R63" s="2004"/>
      <c r="S63" s="2004"/>
      <c r="T63" s="2004"/>
      <c r="U63" s="2004"/>
      <c r="V63" s="2004"/>
    </row>
    <row r="64" spans="1:22" ht="14.25" customHeight="1">
      <c r="A64" s="3333" t="s">
        <v>361</v>
      </c>
      <c r="B64" s="3334"/>
      <c r="C64" s="3334"/>
      <c r="D64" s="3334"/>
      <c r="E64" s="3334"/>
      <c r="F64" s="3334"/>
      <c r="G64" s="3335"/>
      <c r="H64" s="1273"/>
      <c r="I64" s="927"/>
      <c r="J64" s="1966"/>
      <c r="K64" s="1542" t="s">
        <v>360</v>
      </c>
      <c r="L64" s="11"/>
      <c r="M64" s="11"/>
      <c r="N64" s="11"/>
      <c r="O64" s="11"/>
      <c r="P64" s="291"/>
      <c r="Q64" s="2004"/>
      <c r="R64" s="2004"/>
      <c r="S64" s="2004"/>
      <c r="T64" s="2004"/>
      <c r="U64" s="2004"/>
      <c r="V64" s="2004"/>
    </row>
    <row r="65" spans="1:22" ht="12" customHeight="1">
      <c r="A65" s="324" t="s">
        <v>363</v>
      </c>
      <c r="B65" s="325"/>
      <c r="C65" s="326"/>
      <c r="D65" s="327" t="s">
        <v>364</v>
      </c>
      <c r="E65" s="52" t="s">
        <v>365</v>
      </c>
      <c r="F65" s="328" t="s">
        <v>366</v>
      </c>
      <c r="G65" s="329" t="s">
        <v>367</v>
      </c>
      <c r="H65" s="1273"/>
      <c r="I65" s="927"/>
      <c r="J65" s="1966"/>
      <c r="K65" s="1274"/>
      <c r="L65" s="1275"/>
      <c r="M65" s="1275"/>
      <c r="N65" s="1307" t="s">
        <v>362</v>
      </c>
      <c r="O65" s="1308"/>
      <c r="P65" s="1309"/>
      <c r="Q65" s="2004"/>
      <c r="R65" s="2004"/>
      <c r="S65" s="2004"/>
      <c r="T65" s="2004"/>
      <c r="U65" s="2004"/>
      <c r="V65" s="2004"/>
    </row>
    <row r="66" spans="1:22" ht="25.5">
      <c r="A66" s="3329" t="s">
        <v>369</v>
      </c>
      <c r="B66" s="3330"/>
      <c r="C66" s="3330"/>
      <c r="D66" s="238" t="e">
        <f ca="1">IF(H66="情况1",0,IF(H66="情况2",D70,IF(H66="情况3",D71,IF(H66="情况4",D72))))</f>
        <v>#REF!</v>
      </c>
      <c r="E66" s="972" t="str">
        <f>IF(H66="情况4","(销售额-原购置价)×税（费）率","销售额×税（费）率")</f>
        <v>销售额×税（费）率</v>
      </c>
      <c r="F66" s="330">
        <f>IF(H66="情况1","免征",'数据-取费表'!B44)</f>
        <v>5.5000000000000007E-2</v>
      </c>
      <c r="G66" s="331" t="s">
        <v>370</v>
      </c>
      <c r="H66" s="176" t="s">
        <v>371</v>
      </c>
      <c r="I66" s="1273"/>
      <c r="J66" s="2010"/>
      <c r="K66" s="1276">
        <v>1</v>
      </c>
      <c r="L66" s="3386" t="s">
        <v>368</v>
      </c>
      <c r="M66" s="3387"/>
      <c r="N66" s="2470"/>
      <c r="O66" s="2471"/>
      <c r="P66" s="2472"/>
      <c r="Q66" s="2004"/>
      <c r="R66" s="2004"/>
      <c r="S66" s="2004"/>
      <c r="T66" s="2004"/>
      <c r="U66" s="2004"/>
      <c r="V66" s="2004"/>
    </row>
    <row r="67" spans="1:22" ht="25.5" customHeight="1">
      <c r="A67" s="332" t="s">
        <v>373</v>
      </c>
      <c r="B67" s="3320" t="s">
        <v>374</v>
      </c>
      <c r="C67" s="3320"/>
      <c r="D67" s="333">
        <v>0</v>
      </c>
      <c r="E67" s="40" t="s">
        <v>375</v>
      </c>
      <c r="F67" s="60" t="s">
        <v>33</v>
      </c>
      <c r="G67" s="3374"/>
      <c r="H67" s="291"/>
      <c r="I67" s="1277"/>
      <c r="J67" s="2011"/>
      <c r="K67" s="1952">
        <v>2</v>
      </c>
      <c r="L67" s="3385" t="s">
        <v>372</v>
      </c>
      <c r="M67" s="3385"/>
      <c r="N67" s="1310">
        <f>'数据-取费表'!B2</f>
        <v>42898</v>
      </c>
      <c r="O67" s="1310"/>
      <c r="P67" s="1310"/>
      <c r="Q67" s="2004"/>
      <c r="R67" s="2004"/>
      <c r="S67" s="2004"/>
      <c r="T67" s="2004"/>
      <c r="U67" s="2004"/>
      <c r="V67" s="2004"/>
    </row>
    <row r="68" spans="1:22" ht="25.5" customHeight="1">
      <c r="A68" s="334"/>
      <c r="B68" s="3320" t="s">
        <v>377</v>
      </c>
      <c r="C68" s="3320"/>
      <c r="D68" s="335"/>
      <c r="E68" s="73"/>
      <c r="F68" s="336"/>
      <c r="G68" s="3375"/>
      <c r="H68" s="291"/>
      <c r="I68" s="1277"/>
      <c r="J68" s="2011"/>
      <c r="K68" s="1952">
        <v>3</v>
      </c>
      <c r="L68" s="3385" t="s">
        <v>376</v>
      </c>
      <c r="M68" s="3385"/>
      <c r="N68" s="1278" t="e">
        <f ca="1">C42</f>
        <v>#REF!</v>
      </c>
      <c r="O68" s="1278"/>
      <c r="P68" s="1278"/>
      <c r="Q68" s="2004"/>
      <c r="R68" s="2004"/>
      <c r="S68" s="2004"/>
      <c r="T68" s="2004"/>
      <c r="U68" s="2004"/>
      <c r="V68" s="2004"/>
    </row>
    <row r="69" spans="1:22" ht="12" customHeight="1">
      <c r="A69" s="337"/>
      <c r="B69" s="3320" t="s">
        <v>378</v>
      </c>
      <c r="C69" s="3320"/>
      <c r="D69" s="338"/>
      <c r="E69" s="69"/>
      <c r="F69" s="336"/>
      <c r="G69" s="3376"/>
      <c r="H69" s="291"/>
      <c r="I69" s="1277"/>
      <c r="J69" s="2011"/>
      <c r="K69" s="1279">
        <v>4</v>
      </c>
      <c r="L69" s="3390" t="s">
        <v>3170</v>
      </c>
      <c r="M69" s="3391"/>
      <c r="N69" s="1280" t="e">
        <f ca="1">C44</f>
        <v>#REF!</v>
      </c>
      <c r="O69" s="1280"/>
      <c r="P69" s="1280"/>
      <c r="Q69" s="2004"/>
      <c r="R69" s="2004"/>
      <c r="S69" s="2004"/>
      <c r="T69" s="2004"/>
      <c r="U69" s="2004"/>
      <c r="V69" s="2004"/>
    </row>
    <row r="70" spans="1:22" ht="24" customHeight="1">
      <c r="A70" s="339" t="s">
        <v>379</v>
      </c>
      <c r="B70" s="3320" t="s">
        <v>380</v>
      </c>
      <c r="C70" s="3320"/>
      <c r="D70" s="338" t="e">
        <f ca="1">ROUND(D63*'数据-取费表'!B44/(1+'数据-取费表'!B45),0)</f>
        <v>#REF!</v>
      </c>
      <c r="E70" s="17" t="s">
        <v>381</v>
      </c>
      <c r="F70" s="340">
        <f>'数据-取费表'!B44</f>
        <v>5.5000000000000007E-2</v>
      </c>
      <c r="G70" s="341"/>
      <c r="H70" s="291"/>
      <c r="I70" s="1277"/>
      <c r="J70" s="2011"/>
      <c r="K70" s="3065"/>
      <c r="L70" s="3066"/>
      <c r="M70" s="3066"/>
      <c r="N70" s="3067" t="s">
        <v>3175</v>
      </c>
      <c r="O70" s="3066"/>
      <c r="P70" s="3068"/>
      <c r="Q70" s="2004"/>
      <c r="R70" s="2004"/>
      <c r="S70" s="2004"/>
      <c r="T70" s="2004"/>
      <c r="U70" s="2004"/>
      <c r="V70" s="2004"/>
    </row>
    <row r="71" spans="1:22" ht="12" customHeight="1">
      <c r="A71" s="339" t="s">
        <v>387</v>
      </c>
      <c r="B71" s="3321" t="s">
        <v>388</v>
      </c>
      <c r="C71" s="3322"/>
      <c r="D71" s="338" t="e">
        <f ca="1">ROUND(D63*'数据-取费表'!B44/(1+'数据-取费表'!B45),0)</f>
        <v>#REF!</v>
      </c>
      <c r="E71" s="17" t="s">
        <v>381</v>
      </c>
      <c r="F71" s="340">
        <f>'数据-取费表'!B44</f>
        <v>5.5000000000000007E-2</v>
      </c>
      <c r="G71" s="341"/>
      <c r="H71" s="291"/>
      <c r="I71" s="1277"/>
      <c r="J71" s="2011"/>
      <c r="K71" s="3064" t="s">
        <v>382</v>
      </c>
      <c r="L71" s="3392" t="s">
        <v>383</v>
      </c>
      <c r="M71" s="3392"/>
      <c r="N71" s="3064" t="s">
        <v>384</v>
      </c>
      <c r="O71" s="3064" t="s">
        <v>385</v>
      </c>
      <c r="P71" s="3064" t="s">
        <v>386</v>
      </c>
      <c r="Q71" s="2004"/>
      <c r="R71" s="2004"/>
      <c r="S71" s="2004"/>
      <c r="T71" s="2004"/>
      <c r="U71" s="2004"/>
      <c r="V71" s="2004"/>
    </row>
    <row r="72" spans="1:22" ht="12" customHeight="1">
      <c r="A72" s="339" t="s">
        <v>390</v>
      </c>
      <c r="B72" s="3321" t="s">
        <v>391</v>
      </c>
      <c r="C72" s="3322"/>
      <c r="D72" s="338" t="e">
        <f ca="1">C86</f>
        <v>#REF!</v>
      </c>
      <c r="E72" s="69" t="s">
        <v>392</v>
      </c>
      <c r="F72" s="340">
        <f>'数据-取费表'!B44</f>
        <v>5.5000000000000007E-2</v>
      </c>
      <c r="G72" s="341"/>
      <c r="H72" s="1283"/>
      <c r="I72" s="1277"/>
      <c r="J72" s="2011"/>
      <c r="K72" s="1952">
        <v>1</v>
      </c>
      <c r="L72" s="3367" t="s">
        <v>389</v>
      </c>
      <c r="M72" s="3367"/>
      <c r="N72" s="1281" t="e">
        <f ca="1">D66</f>
        <v>#REF!</v>
      </c>
      <c r="O72" s="1834" t="str">
        <f>E66</f>
        <v>销售额×税（费）率</v>
      </c>
      <c r="P72" s="1282">
        <f>F66</f>
        <v>5.5000000000000007E-2</v>
      </c>
      <c r="Q72" s="2004"/>
      <c r="R72" s="2004"/>
      <c r="S72" s="2004"/>
      <c r="T72" s="2004"/>
      <c r="U72" s="2004"/>
      <c r="V72" s="2004"/>
    </row>
    <row r="73" spans="1:22" ht="24" customHeight="1">
      <c r="A73" s="3361" t="s">
        <v>394</v>
      </c>
      <c r="B73" s="3330"/>
      <c r="C73" s="3330"/>
      <c r="D73" s="342">
        <f>IF(H73="个人住宅",0,ROUND(D63*I73,0))</f>
        <v>0</v>
      </c>
      <c r="E73" s="17" t="s">
        <v>395</v>
      </c>
      <c r="F73" s="340" t="str">
        <f>IF(H73="正常",I73,"免征")</f>
        <v>免征</v>
      </c>
      <c r="G73" s="341"/>
      <c r="H73" s="176" t="s">
        <v>2718</v>
      </c>
      <c r="I73" s="340">
        <f>'数据-取费表'!B52</f>
        <v>5.0000000000000001E-4</v>
      </c>
      <c r="J73" s="2011"/>
      <c r="K73" s="1952">
        <v>2</v>
      </c>
      <c r="L73" s="3367" t="s">
        <v>393</v>
      </c>
      <c r="M73" s="3367"/>
      <c r="N73" s="1281">
        <f t="shared" ref="N73:P74" si="1">D73</f>
        <v>0</v>
      </c>
      <c r="O73" s="1834" t="str">
        <f t="shared" si="1"/>
        <v>销售额×税（费）率</v>
      </c>
      <c r="P73" s="1282" t="str">
        <f t="shared" si="1"/>
        <v>免征</v>
      </c>
      <c r="Q73" s="2004"/>
      <c r="R73" s="2004"/>
      <c r="S73" s="2004"/>
      <c r="T73" s="2004"/>
      <c r="U73" s="2004"/>
      <c r="V73" s="2004"/>
    </row>
    <row r="74" spans="1:22" ht="24.75">
      <c r="A74" s="3361" t="s">
        <v>398</v>
      </c>
      <c r="B74" s="3330"/>
      <c r="C74" s="3330"/>
      <c r="D74" s="342" t="e">
        <f ca="1">IF(H74="个人住宅",D75,D76)</f>
        <v>#REF!</v>
      </c>
      <c r="E74" s="17" t="s">
        <v>399</v>
      </c>
      <c r="F74" s="340" t="str">
        <f>IF(H74="正常",F76,"免征")</f>
        <v>——</v>
      </c>
      <c r="G74" s="962" t="s">
        <v>400</v>
      </c>
      <c r="H74" s="343" t="s">
        <v>396</v>
      </c>
      <c r="I74" s="41"/>
      <c r="J74" s="2011"/>
      <c r="K74" s="1952">
        <v>3</v>
      </c>
      <c r="L74" s="3367" t="s">
        <v>397</v>
      </c>
      <c r="M74" s="3367"/>
      <c r="N74" s="1281" t="e">
        <f t="shared" ca="1" si="1"/>
        <v>#REF!</v>
      </c>
      <c r="O74" s="1834" t="str">
        <f t="shared" si="1"/>
        <v>增值额×税（费）率</v>
      </c>
      <c r="P74" s="1284" t="str">
        <f t="shared" si="1"/>
        <v>——</v>
      </c>
      <c r="Q74" s="2004"/>
      <c r="R74" s="2004"/>
      <c r="S74" s="2004"/>
      <c r="T74" s="2004"/>
      <c r="U74" s="2004"/>
      <c r="V74" s="2004"/>
    </row>
    <row r="75" spans="1:22" ht="24">
      <c r="A75" s="339" t="s">
        <v>401</v>
      </c>
      <c r="B75" s="3318" t="s">
        <v>402</v>
      </c>
      <c r="C75" s="3347"/>
      <c r="D75" s="344">
        <v>0</v>
      </c>
      <c r="E75" s="40" t="s">
        <v>403</v>
      </c>
      <c r="F75" s="345"/>
      <c r="G75" s="341"/>
      <c r="H75" s="41"/>
      <c r="I75" s="41"/>
      <c r="J75" s="2011"/>
      <c r="K75" s="3055">
        <f>IF(H77="非个人房产","",4)</f>
        <v>4</v>
      </c>
      <c r="L75" s="3367" t="str">
        <f>IF(H77="非个人房产","——","个人所得税")</f>
        <v>个人所得税</v>
      </c>
      <c r="M75" s="3367"/>
      <c r="N75" s="1285" t="e">
        <f ca="1">D77</f>
        <v>#REF!</v>
      </c>
      <c r="O75" s="1847" t="str">
        <f>E77</f>
        <v>销售额×税（费）率</v>
      </c>
      <c r="P75" s="1286">
        <f>F77</f>
        <v>0.01</v>
      </c>
      <c r="Q75" s="2004"/>
      <c r="R75" s="2004"/>
      <c r="S75" s="2004"/>
      <c r="T75" s="2004"/>
      <c r="U75" s="2004"/>
      <c r="V75" s="2004"/>
    </row>
    <row r="76" spans="1:22" ht="24.75">
      <c r="A76" s="339" t="s">
        <v>379</v>
      </c>
      <c r="B76" s="3318" t="s">
        <v>405</v>
      </c>
      <c r="C76" s="3319"/>
      <c r="D76" s="342" t="e">
        <f ca="1">IF(H76="转让取得",C99,C115)</f>
        <v>#REF!</v>
      </c>
      <c r="E76" s="17" t="s">
        <v>406</v>
      </c>
      <c r="F76" s="52" t="s">
        <v>33</v>
      </c>
      <c r="G76" s="341"/>
      <c r="H76" s="343" t="s">
        <v>407</v>
      </c>
      <c r="I76" s="41"/>
      <c r="J76" s="2011"/>
      <c r="K76" s="3055" t="str">
        <f>IF(项目基本情况!K6="上海银行",IF(K75="",4,K75+1),"")</f>
        <v/>
      </c>
      <c r="L76" s="3378" t="str">
        <f>IF(项目基本情况!K6="上海银行","其他处置费用","")</f>
        <v/>
      </c>
      <c r="M76" s="3379"/>
      <c r="N76" s="1281" t="str">
        <f>IF(项目基本情况!K6="上海银行",N89,"")</f>
        <v/>
      </c>
      <c r="O76" s="3380" t="str">
        <f>IF(项目基本情况!K6="上海银行","包含处置中涉及的律师、诉讼、拍卖、评估等费用","")</f>
        <v/>
      </c>
      <c r="P76" s="3381"/>
      <c r="Q76" s="2004"/>
      <c r="R76" s="2004"/>
      <c r="S76" s="2004"/>
      <c r="T76" s="2004"/>
      <c r="U76" s="2004"/>
      <c r="V76" s="2004"/>
    </row>
    <row r="77" spans="1:22" ht="26.25" thickBot="1">
      <c r="A77" s="3369" t="s">
        <v>409</v>
      </c>
      <c r="B77" s="3370"/>
      <c r="C77" s="3370"/>
      <c r="D77" s="346" t="e">
        <f ca="1">IF(H77="非个人房产","——",IF(H77="个人住宅",0,ROUND(D63*I77,0)))</f>
        <v>#REF!</v>
      </c>
      <c r="E77" s="347" t="str">
        <f>IF(H77="非个人房产","——","销售额×税（费）率")</f>
        <v>销售额×税（费）率</v>
      </c>
      <c r="F77" s="348">
        <f>IF(H77="非个人房产","——",IF(H77="个人住宅","免征",I77))</f>
        <v>0.01</v>
      </c>
      <c r="G77" s="963" t="s">
        <v>400</v>
      </c>
      <c r="H77" s="343" t="s">
        <v>3171</v>
      </c>
      <c r="I77" s="349">
        <v>0.01</v>
      </c>
      <c r="J77" s="2011"/>
      <c r="K77" s="3368">
        <f>IF(AND(K75="",K76=""),4,IF(项目基本情况!K6="上海银行",K76+1,K75+1))</f>
        <v>5</v>
      </c>
      <c r="L77" s="3367" t="s">
        <v>3172</v>
      </c>
      <c r="M77" s="3063" t="s">
        <v>404</v>
      </c>
      <c r="N77" s="1287"/>
      <c r="O77" s="1288">
        <f ca="1">SUMIF(N72:N76,"&lt;9e307")</f>
        <v>0</v>
      </c>
      <c r="P77" s="1289"/>
      <c r="Q77" s="3061" t="e">
        <f ca="1">O77/N69</f>
        <v>#REF!</v>
      </c>
      <c r="R77" s="2004"/>
      <c r="S77" s="2004"/>
      <c r="T77" s="2004"/>
      <c r="U77" s="2004"/>
      <c r="V77" s="2004"/>
    </row>
    <row r="78" spans="1:22" ht="12" customHeight="1">
      <c r="A78" s="1290"/>
      <c r="B78" s="291"/>
      <c r="C78" s="291"/>
      <c r="D78" s="291"/>
      <c r="E78" s="41"/>
      <c r="F78" s="41"/>
      <c r="G78" s="41"/>
      <c r="H78" s="982"/>
      <c r="I78" s="291"/>
      <c r="J78" s="2011"/>
      <c r="K78" s="3368"/>
      <c r="L78" s="3367"/>
      <c r="M78" s="3063" t="s">
        <v>408</v>
      </c>
      <c r="N78" s="1287"/>
      <c r="O78" s="1288" t="str">
        <f ca="1">NUMBERSTRING(INT(O77*10000),2)&amp;"元整"</f>
        <v>零元整</v>
      </c>
      <c r="P78" s="1289"/>
      <c r="Q78" s="2004"/>
      <c r="R78" s="2004"/>
      <c r="S78" s="2004"/>
      <c r="T78" s="2004"/>
      <c r="U78" s="2004"/>
      <c r="V78" s="2004"/>
    </row>
    <row r="79" spans="1:22" ht="13.5" thickBot="1">
      <c r="A79" s="3362" t="s">
        <v>410</v>
      </c>
      <c r="B79" s="3362"/>
      <c r="C79" s="3362"/>
      <c r="D79" s="3362"/>
      <c r="E79" s="3362"/>
      <c r="F79" s="41"/>
      <c r="G79" s="41"/>
      <c r="H79" s="982"/>
      <c r="I79" s="291"/>
      <c r="J79" s="2011"/>
      <c r="K79" s="3388">
        <f>K77+1</f>
        <v>6</v>
      </c>
      <c r="L79" s="3367" t="s">
        <v>3173</v>
      </c>
      <c r="M79" s="3063" t="s">
        <v>404</v>
      </c>
      <c r="N79" s="1287"/>
      <c r="O79" s="1288" t="e">
        <f ca="1">N69-O77</f>
        <v>#REF!</v>
      </c>
      <c r="P79" s="1289"/>
      <c r="Q79" s="2004"/>
      <c r="R79" s="2004"/>
      <c r="S79" s="2004"/>
      <c r="T79" s="2004"/>
      <c r="U79" s="2004"/>
      <c r="V79" s="2004"/>
    </row>
    <row r="80" spans="1:22" ht="12.75">
      <c r="A80" s="3357" t="s">
        <v>411</v>
      </c>
      <c r="B80" s="3358"/>
      <c r="C80" s="973"/>
      <c r="D80" s="973" t="s">
        <v>412</v>
      </c>
      <c r="E80" s="350" t="s">
        <v>413</v>
      </c>
      <c r="F80" s="41"/>
      <c r="G80" s="41"/>
      <c r="H80" s="982"/>
      <c r="I80" s="291"/>
      <c r="J80" s="2004"/>
      <c r="K80" s="3389"/>
      <c r="L80" s="3367"/>
      <c r="M80" s="3063" t="s">
        <v>408</v>
      </c>
      <c r="N80" s="1287"/>
      <c r="O80" s="1288" t="e">
        <f ca="1">NUMBERSTRING(INT(O79*10000),2)&amp;"元整"</f>
        <v>#REF!</v>
      </c>
      <c r="P80" s="1289"/>
      <c r="Q80" s="2004"/>
      <c r="R80" s="2004"/>
      <c r="S80" s="2004"/>
      <c r="T80" s="2004"/>
      <c r="U80" s="2004"/>
      <c r="V80" s="2004"/>
    </row>
    <row r="81" spans="1:26" ht="13.5" thickBot="1">
      <c r="A81" s="361" t="s">
        <v>2037</v>
      </c>
      <c r="B81" s="351" t="s">
        <v>414</v>
      </c>
      <c r="C81" s="352" t="e">
        <f ca="1">ROUND((C82+C83)/(1+'数据-取费表'!B45),0)</f>
        <v>#REF!</v>
      </c>
      <c r="D81" s="353"/>
      <c r="E81" s="354"/>
      <c r="F81" s="41"/>
      <c r="G81" s="41"/>
      <c r="H81" s="982"/>
      <c r="I81" s="291"/>
      <c r="J81" s="2004"/>
      <c r="K81" s="3055">
        <f>K79+1</f>
        <v>7</v>
      </c>
      <c r="L81" s="3365" t="s">
        <v>3174</v>
      </c>
      <c r="M81" s="3366"/>
      <c r="N81" s="1291"/>
      <c r="O81" s="1292" t="e">
        <f ca="1">ROUND(O79*10000/'数据-汇总表'!E3,0)</f>
        <v>#REF!</v>
      </c>
      <c r="P81" s="1293"/>
      <c r="Q81" s="2004"/>
      <c r="R81" s="2004"/>
      <c r="S81" s="2004"/>
      <c r="T81" s="2004"/>
      <c r="U81" s="2004"/>
      <c r="V81" s="2004"/>
    </row>
    <row r="82" spans="1:26" ht="13.5" thickTop="1">
      <c r="A82" s="355" t="s">
        <v>2038</v>
      </c>
      <c r="B82" s="356" t="s">
        <v>415</v>
      </c>
      <c r="C82" s="357" t="e">
        <f ca="1">D63</f>
        <v>#REF!</v>
      </c>
      <c r="D82" s="358" t="s">
        <v>31</v>
      </c>
      <c r="E82" s="359"/>
      <c r="F82" s="41"/>
      <c r="G82" s="41"/>
      <c r="H82" s="982"/>
      <c r="I82" s="291"/>
      <c r="J82" s="2004"/>
      <c r="K82" s="2004"/>
      <c r="L82" s="2004"/>
      <c r="M82" s="2004"/>
      <c r="N82" s="2004"/>
      <c r="O82" s="2004"/>
      <c r="P82" s="2004"/>
      <c r="Q82" s="2004"/>
      <c r="R82" s="2004"/>
      <c r="S82" s="2004"/>
      <c r="T82" s="2004"/>
      <c r="U82" s="2004"/>
      <c r="V82" s="2004"/>
    </row>
    <row r="83" spans="1:26" ht="12.75">
      <c r="A83" s="355" t="s">
        <v>2039</v>
      </c>
      <c r="B83" s="356" t="s">
        <v>416</v>
      </c>
      <c r="C83" s="360">
        <v>0</v>
      </c>
      <c r="D83" s="358"/>
      <c r="E83" s="359"/>
      <c r="F83" s="41"/>
      <c r="G83" s="41"/>
      <c r="H83" s="982"/>
      <c r="I83" s="291"/>
      <c r="J83" s="2004"/>
      <c r="K83" s="3377" t="s">
        <v>3161</v>
      </c>
      <c r="L83" s="3069" t="s">
        <v>3162</v>
      </c>
      <c r="M83" s="3059" t="e">
        <f ca="1">IF(N69&gt;10000,N69*0.5%,IF(AND(N69&gt;1000,N69&lt;=10000),N69*1%,IF(AND(N69&gt;100,N69&lt;=1000),N69*3%,IF(AND(N69&gt;10,N69&lt;=100),N69*5%,N69*8%))))</f>
        <v>#REF!</v>
      </c>
      <c r="N83" s="52" t="e">
        <f ca="1">ROUND(M83,1)</f>
        <v>#REF!</v>
      </c>
      <c r="O83" s="3062"/>
      <c r="P83" s="2004"/>
      <c r="Q83" s="2004"/>
      <c r="R83" s="2004"/>
      <c r="S83" s="2004"/>
      <c r="T83" s="2004"/>
      <c r="U83" s="2004"/>
      <c r="V83" s="2004"/>
    </row>
    <row r="84" spans="1:26" ht="12.75">
      <c r="A84" s="361" t="s">
        <v>2040</v>
      </c>
      <c r="B84" s="362" t="s">
        <v>417</v>
      </c>
      <c r="C84" s="363">
        <v>2000</v>
      </c>
      <c r="D84" s="364" t="s">
        <v>31</v>
      </c>
      <c r="E84" s="359"/>
      <c r="F84" s="41"/>
      <c r="G84" s="41"/>
      <c r="H84" s="982"/>
      <c r="I84" s="291"/>
      <c r="J84" s="2004"/>
      <c r="K84" s="3377"/>
      <c r="L84" s="3069" t="s">
        <v>3163</v>
      </c>
      <c r="M84" s="3059" t="e">
        <f ca="1">IF(N69&gt;2000,N69*0.5%,IF(AND(N69&gt;1000,N69&lt;=2000),N69*0.6%,IF(AND(N69&gt;500,N69&lt;=1000),N69*0.7%,IF(AND(N69&gt;200,N69&lt;=500),N69*0.8%,IF(AND(N69&gt;100,N69&lt;=200),N69*0.9%,IF(AND(N69&gt;50,N69&lt;=100),N69*1%,IF(AND(N69&gt;20,N69&lt;=50),N69*1.5%,IF(AND(N69&gt;10,N69&lt;=20),N69*2%,IF(AND(N69&gt;1,N69&lt;=10),N69*2.5%)))))))))</f>
        <v>#REF!</v>
      </c>
      <c r="N84" s="52" t="e">
        <f t="shared" ref="N84:N85" ca="1" si="2">ROUND(M84,1)</f>
        <v>#REF!</v>
      </c>
      <c r="O84" s="2004" t="s">
        <v>3164</v>
      </c>
      <c r="P84" s="2004"/>
      <c r="Q84" s="2004"/>
      <c r="R84" s="2004"/>
      <c r="S84" s="2004"/>
      <c r="T84" s="2004"/>
      <c r="U84" s="2004"/>
      <c r="V84" s="2004"/>
    </row>
    <row r="85" spans="1:26" ht="12.75">
      <c r="A85" s="361" t="s">
        <v>2041</v>
      </c>
      <c r="B85" s="362" t="s">
        <v>418</v>
      </c>
      <c r="C85" s="365" t="e">
        <f ca="1">C81-C84</f>
        <v>#REF!</v>
      </c>
      <c r="D85" s="358" t="s">
        <v>31</v>
      </c>
      <c r="E85" s="359"/>
      <c r="F85" s="41"/>
      <c r="G85" s="41"/>
      <c r="H85" s="982"/>
      <c r="I85" s="291"/>
      <c r="J85" s="2004"/>
      <c r="K85" s="3377"/>
      <c r="L85" s="3069" t="s">
        <v>3165</v>
      </c>
      <c r="M85" s="3059" t="e">
        <f ca="1">IF(N69&gt;1000,N69*0.1%,IF(AND(N69&gt;500,N69&lt;=1000),N69*0.5%,IF(AND(N69&gt;50,N69&lt;=500),N69*1%,IF(AND(N69&gt;1,N69&lt;=50),N69*1.5%))))</f>
        <v>#REF!</v>
      </c>
      <c r="N85" s="52" t="e">
        <f t="shared" ca="1" si="2"/>
        <v>#REF!</v>
      </c>
      <c r="O85" s="2004" t="s">
        <v>3164</v>
      </c>
      <c r="P85" s="2004"/>
      <c r="Q85" s="2004"/>
      <c r="R85" s="2004"/>
      <c r="S85" s="2004"/>
      <c r="T85" s="2004"/>
      <c r="U85" s="2004"/>
      <c r="V85" s="2004"/>
    </row>
    <row r="86" spans="1:26" ht="13.5" thickBot="1">
      <c r="A86" s="366" t="s">
        <v>2042</v>
      </c>
      <c r="B86" s="367" t="s">
        <v>419</v>
      </c>
      <c r="C86" s="368" t="e">
        <f ca="1">IF(C85&lt;=0,0,ROUND(C85*D86,0))</f>
        <v>#REF!</v>
      </c>
      <c r="D86" s="369">
        <f>'数据-取费表'!B44</f>
        <v>5.5000000000000007E-2</v>
      </c>
      <c r="E86" s="370"/>
      <c r="F86" s="41"/>
      <c r="G86" s="41"/>
      <c r="H86" s="982"/>
      <c r="I86" s="291"/>
      <c r="J86" s="2004"/>
      <c r="K86" s="3377"/>
      <c r="L86" s="3069" t="s">
        <v>3166</v>
      </c>
      <c r="M86" s="3059" t="e">
        <f ca="1">N69*0.5%</f>
        <v>#REF!</v>
      </c>
      <c r="N86" s="52" t="e">
        <f ca="1">IF(M86&gt;0.5,0.5,ROUND(M86,0))</f>
        <v>#REF!</v>
      </c>
      <c r="O86" s="2004" t="s">
        <v>3167</v>
      </c>
      <c r="P86" s="2004"/>
      <c r="Q86" s="2004"/>
      <c r="R86" s="2004"/>
      <c r="S86" s="2004"/>
      <c r="T86" s="2004"/>
      <c r="U86" s="2004"/>
      <c r="V86" s="2004"/>
    </row>
    <row r="87" spans="1:26" s="1239" customFormat="1" ht="14.25" customHeight="1">
      <c r="A87" s="1294"/>
      <c r="B87" s="1295"/>
      <c r="C87" s="1296"/>
      <c r="D87" s="1297"/>
      <c r="E87" s="1298"/>
      <c r="F87" s="41"/>
      <c r="G87" s="41"/>
      <c r="H87" s="982"/>
      <c r="I87" s="291"/>
      <c r="J87" s="2004"/>
      <c r="K87" s="3377"/>
      <c r="L87" s="3069" t="s">
        <v>3168</v>
      </c>
      <c r="M87" s="3059" t="e">
        <f ca="1">IF(N69&gt;=10000,(8.25+(N69-10000)*0.01%),IF(AND(N69&gt;=8000,N69&lt;10000),(7.85+(N69-8000)*0.02%),IF(AND(N69&gt;=5000,N69&lt;8000),(6.65+(N69-5000)*0.04%),IF(AND(N69&gt;=2000,N69&lt;5000),(4.25+(PN69-2000)*0.08%),IF(AND(N69&gt;=1000,N69&lt;2000),(2.75+(N69-1000)*0.15%),IF(AND(N69&gt;=100,N69&lt;1000),(0.5+(N69-100)*0.25%),IF(AND(N69&gt;0,N69&lt;100),N69*0.5%)))))))</f>
        <v>#REF!</v>
      </c>
      <c r="N87" s="52" t="e">
        <f ca="1">ROUND(M87*0.9,1)</f>
        <v>#REF!</v>
      </c>
      <c r="O87" s="3062"/>
      <c r="P87" s="291"/>
      <c r="Q87" s="2004"/>
      <c r="R87" s="2004"/>
      <c r="S87" s="2004"/>
      <c r="T87" s="2004"/>
      <c r="U87" s="2004"/>
      <c r="V87" s="2004"/>
      <c r="W87" s="269"/>
      <c r="X87" s="269"/>
      <c r="Y87" s="269"/>
      <c r="Z87" s="269"/>
    </row>
    <row r="88" spans="1:26" s="1299" customFormat="1" ht="15" thickBot="1">
      <c r="A88" s="3359" t="s">
        <v>420</v>
      </c>
      <c r="B88" s="3360"/>
      <c r="C88" s="3360"/>
      <c r="D88" s="3360"/>
      <c r="E88" s="3360"/>
      <c r="F88" s="3360"/>
      <c r="G88" s="3360"/>
      <c r="H88" s="3360"/>
      <c r="I88" s="1300"/>
      <c r="J88" s="2012"/>
      <c r="K88" s="3377"/>
      <c r="L88" s="3069" t="s">
        <v>3169</v>
      </c>
      <c r="M88" s="3059" t="e">
        <f ca="1">IF(N69&gt;10000,N69*0.5%,IF(AND(N69&gt;5000,N69&lt;=10000),N69*1%,IF(AND(N69&gt;1000,N69&lt;=5000),N69*2%,IF(AND(N69&gt;200,N69&lt;=1000),N69*3%,N69*5%))))</f>
        <v>#REF!</v>
      </c>
      <c r="N88" s="52" t="e">
        <f ca="1">ROUND(M88,1)</f>
        <v>#REF!</v>
      </c>
      <c r="O88" s="3062"/>
      <c r="P88" s="11"/>
      <c r="Q88" s="2009"/>
      <c r="R88" s="2009"/>
      <c r="S88" s="2009"/>
      <c r="T88" s="2009"/>
      <c r="U88" s="2009"/>
      <c r="V88" s="2009"/>
      <c r="W88" s="2013"/>
      <c r="X88" s="2013"/>
      <c r="Y88" s="2013"/>
      <c r="Z88" s="2013"/>
    </row>
    <row r="89" spans="1:26" s="1299" customFormat="1" ht="14.25">
      <c r="A89" s="3357" t="s">
        <v>411</v>
      </c>
      <c r="B89" s="3358"/>
      <c r="C89" s="973"/>
      <c r="D89" s="973" t="s">
        <v>412</v>
      </c>
      <c r="E89" s="371" t="s">
        <v>421</v>
      </c>
      <c r="F89" s="372"/>
      <c r="G89" s="372"/>
      <c r="H89" s="373"/>
      <c r="I89" s="1301"/>
      <c r="J89" s="2014"/>
      <c r="K89" s="3377"/>
      <c r="L89" s="3069" t="s">
        <v>39</v>
      </c>
      <c r="M89" s="3060"/>
      <c r="N89" s="52" t="e">
        <f ca="1">ROUND(SUM(N83:N88),0)</f>
        <v>#REF!</v>
      </c>
      <c r="O89" s="3070" t="e">
        <f ca="1">N89/N69</f>
        <v>#REF!</v>
      </c>
      <c r="P89" s="2009"/>
      <c r="Q89" s="2009"/>
      <c r="R89" s="2009"/>
      <c r="S89" s="2009"/>
      <c r="T89" s="2009"/>
      <c r="U89" s="2009"/>
      <c r="V89" s="2009"/>
      <c r="W89" s="2013"/>
      <c r="X89" s="2013"/>
      <c r="Y89" s="2013"/>
      <c r="Z89" s="2013"/>
    </row>
    <row r="90" spans="1:26" s="1299" customFormat="1" ht="14.25">
      <c r="A90" s="361" t="s">
        <v>2037</v>
      </c>
      <c r="B90" s="362" t="s">
        <v>422</v>
      </c>
      <c r="C90" s="365" t="e">
        <f ca="1">ROUND(D63/(1+'数据-取费表'!B45),0)</f>
        <v>#REF!</v>
      </c>
      <c r="D90" s="358" t="s">
        <v>31</v>
      </c>
      <c r="E90" s="970"/>
      <c r="F90" s="969"/>
      <c r="G90" s="969"/>
      <c r="H90" s="374"/>
      <c r="I90" s="1301"/>
      <c r="J90" s="2014"/>
      <c r="K90" s="2009"/>
      <c r="L90" s="2009"/>
      <c r="M90" s="2009"/>
      <c r="N90" s="2009"/>
      <c r="O90" s="2009"/>
      <c r="P90" s="2009"/>
      <c r="Q90" s="2009"/>
      <c r="R90" s="2009"/>
      <c r="S90" s="2009"/>
      <c r="T90" s="2009"/>
      <c r="U90" s="2009"/>
      <c r="V90" s="2009"/>
      <c r="W90" s="2013"/>
      <c r="X90" s="2013"/>
      <c r="Y90" s="2013"/>
      <c r="Z90" s="2013"/>
    </row>
    <row r="91" spans="1:26" s="1299" customFormat="1" ht="14.25">
      <c r="A91" s="361" t="s">
        <v>2043</v>
      </c>
      <c r="B91" s="328" t="s">
        <v>423</v>
      </c>
      <c r="C91" s="365" t="e">
        <f ca="1">C92+C96</f>
        <v>#REF!</v>
      </c>
      <c r="D91" s="358" t="s">
        <v>31</v>
      </c>
      <c r="E91" s="970"/>
      <c r="F91" s="969"/>
      <c r="G91" s="969"/>
      <c r="H91" s="374"/>
      <c r="I91" s="1301"/>
      <c r="J91" s="2014"/>
      <c r="K91" s="2009"/>
      <c r="L91" s="2009"/>
      <c r="M91" s="2009"/>
      <c r="N91" s="2009"/>
      <c r="O91" s="2009"/>
      <c r="P91" s="2009"/>
      <c r="Q91" s="2009"/>
      <c r="R91" s="2009"/>
      <c r="S91" s="2009"/>
      <c r="T91" s="2009"/>
      <c r="U91" s="2009"/>
      <c r="V91" s="2009"/>
      <c r="W91" s="2013"/>
      <c r="X91" s="2013"/>
      <c r="Y91" s="2013"/>
      <c r="Z91" s="2013"/>
    </row>
    <row r="92" spans="1:26" s="1299" customFormat="1" ht="24">
      <c r="A92" s="375" t="s">
        <v>2044</v>
      </c>
      <c r="B92" s="356" t="s">
        <v>424</v>
      </c>
      <c r="C92" s="358">
        <f>C93+C94+C95</f>
        <v>2561</v>
      </c>
      <c r="D92" s="358" t="s">
        <v>31</v>
      </c>
      <c r="E92" s="970"/>
      <c r="F92" s="969"/>
      <c r="G92" s="969"/>
      <c r="H92" s="374"/>
      <c r="I92" s="1301"/>
      <c r="J92" s="2014"/>
      <c r="K92" s="2009"/>
      <c r="L92" s="2009"/>
      <c r="M92" s="2009"/>
      <c r="N92" s="2009"/>
      <c r="O92" s="2009"/>
      <c r="P92" s="2009"/>
      <c r="Q92" s="2009"/>
      <c r="R92" s="2009"/>
      <c r="S92" s="2009"/>
      <c r="T92" s="2009"/>
      <c r="U92" s="2009"/>
      <c r="V92" s="2009"/>
      <c r="W92" s="2013"/>
      <c r="X92" s="2013"/>
      <c r="Y92" s="2013"/>
      <c r="Z92" s="2013"/>
    </row>
    <row r="93" spans="1:26" s="1299" customFormat="1" ht="14.25">
      <c r="A93" s="375" t="s">
        <v>2045</v>
      </c>
      <c r="B93" s="356" t="s">
        <v>425</v>
      </c>
      <c r="C93" s="376">
        <v>2000</v>
      </c>
      <c r="D93" s="358" t="s">
        <v>31</v>
      </c>
      <c r="E93" s="377" t="s">
        <v>426</v>
      </c>
      <c r="F93" s="378" t="s">
        <v>427</v>
      </c>
      <c r="G93" s="377" t="s">
        <v>428</v>
      </c>
      <c r="H93" s="379">
        <v>5</v>
      </c>
      <c r="I93" s="11"/>
      <c r="J93" s="2009"/>
      <c r="K93" s="2009"/>
      <c r="L93" s="2009"/>
      <c r="M93" s="2009"/>
      <c r="N93" s="2009"/>
      <c r="O93" s="2009"/>
      <c r="P93" s="2009"/>
      <c r="Q93" s="2009"/>
      <c r="R93" s="2009"/>
      <c r="S93" s="2009"/>
      <c r="T93" s="2009"/>
      <c r="U93" s="2009"/>
      <c r="V93" s="2009"/>
      <c r="W93" s="2013"/>
      <c r="X93" s="2013"/>
      <c r="Y93" s="2013"/>
      <c r="Z93" s="2013"/>
    </row>
    <row r="94" spans="1:26" s="1299" customFormat="1" ht="24.75" customHeight="1">
      <c r="A94" s="375" t="s">
        <v>2046</v>
      </c>
      <c r="B94" s="380" t="s">
        <v>429</v>
      </c>
      <c r="C94" s="358">
        <f>IF(F93="购房发票",ROUND(C93*H93*5%,0),0)</f>
        <v>500</v>
      </c>
      <c r="D94" s="381">
        <v>0.05</v>
      </c>
      <c r="E94" s="3321" t="s">
        <v>430</v>
      </c>
      <c r="F94" s="3320"/>
      <c r="G94" s="3320"/>
      <c r="H94" s="3356"/>
      <c r="I94" s="1301"/>
      <c r="J94" s="2014"/>
      <c r="K94" s="2009"/>
      <c r="L94" s="2009"/>
      <c r="M94" s="2009"/>
      <c r="N94" s="2009"/>
      <c r="O94" s="2009"/>
      <c r="P94" s="2009"/>
      <c r="Q94" s="2009"/>
      <c r="R94" s="2009"/>
      <c r="S94" s="2009"/>
      <c r="T94" s="2009"/>
      <c r="U94" s="2009"/>
      <c r="V94" s="2009"/>
      <c r="W94" s="2013"/>
      <c r="X94" s="2013"/>
      <c r="Y94" s="2013"/>
      <c r="Z94" s="2013"/>
    </row>
    <row r="95" spans="1:26" s="1299" customFormat="1" ht="24.75" customHeight="1">
      <c r="A95" s="375" t="s">
        <v>2047</v>
      </c>
      <c r="B95" s="356" t="s">
        <v>431</v>
      </c>
      <c r="C95" s="358">
        <f>ROUND(IF(G95="个人买卖住房",0,IF(G95="2016年5月1日前购买",C93*D95,C93*D95/(1+'数据-取费表'!B45))),0)</f>
        <v>61</v>
      </c>
      <c r="D95" s="382">
        <f>'数据-取费表'!B51+'数据-取费表'!B52</f>
        <v>3.0499999999999999E-2</v>
      </c>
      <c r="E95" s="25" t="s">
        <v>432</v>
      </c>
      <c r="F95" s="383"/>
      <c r="G95" s="384" t="s">
        <v>2691</v>
      </c>
      <c r="H95" s="978" t="str">
        <f>IF(G95="个人买卖住房","免征印花税"," ")</f>
        <v xml:space="preserve"> </v>
      </c>
      <c r="I95" s="1301"/>
      <c r="J95" s="2014"/>
      <c r="K95" s="2009"/>
      <c r="L95" s="2009"/>
      <c r="M95" s="2009"/>
      <c r="N95" s="2009"/>
      <c r="O95" s="2009"/>
      <c r="P95" s="2009"/>
      <c r="Q95" s="2009"/>
      <c r="R95" s="2009"/>
      <c r="S95" s="2009"/>
      <c r="T95" s="2009"/>
      <c r="U95" s="2009"/>
      <c r="V95" s="2009"/>
      <c r="W95" s="2013"/>
      <c r="X95" s="2013"/>
      <c r="Y95" s="2013"/>
      <c r="Z95" s="2013"/>
    </row>
    <row r="96" spans="1:26" s="1299" customFormat="1" ht="24.75" customHeight="1">
      <c r="A96" s="375" t="s">
        <v>2048</v>
      </c>
      <c r="B96" s="356" t="s">
        <v>433</v>
      </c>
      <c r="C96" s="385" t="e">
        <f ca="1">ROUND(D63*D96/(1+'数据-取费表'!B45),0)</f>
        <v>#REF!</v>
      </c>
      <c r="D96" s="386">
        <f>'数据-取费表'!B46</f>
        <v>5.000000000000001E-3</v>
      </c>
      <c r="E96" s="3348" t="s">
        <v>2690</v>
      </c>
      <c r="F96" s="3349"/>
      <c r="G96" s="3349"/>
      <c r="H96" s="3350"/>
      <c r="I96" s="1302"/>
      <c r="J96" s="2015"/>
      <c r="K96" s="2009"/>
      <c r="L96" s="2009"/>
      <c r="M96" s="2009"/>
      <c r="N96" s="2009"/>
      <c r="O96" s="2009"/>
      <c r="P96" s="2009"/>
      <c r="Q96" s="2009"/>
      <c r="R96" s="2009"/>
      <c r="S96" s="2009"/>
      <c r="T96" s="2009"/>
      <c r="U96" s="2009"/>
      <c r="V96" s="2009"/>
      <c r="W96" s="2013"/>
      <c r="X96" s="2013"/>
      <c r="Y96" s="2013"/>
      <c r="Z96" s="2013"/>
    </row>
    <row r="97" spans="1:26" s="1299" customFormat="1" ht="14.25">
      <c r="A97" s="1598" t="s">
        <v>2049</v>
      </c>
      <c r="B97" s="362" t="s">
        <v>434</v>
      </c>
      <c r="C97" s="365" t="e">
        <f ca="1">C90-C91</f>
        <v>#REF!</v>
      </c>
      <c r="D97" s="358" t="s">
        <v>31</v>
      </c>
      <c r="E97" s="970"/>
      <c r="F97" s="969"/>
      <c r="G97" s="969"/>
      <c r="H97" s="374"/>
      <c r="I97" s="1301"/>
      <c r="J97" s="2014"/>
      <c r="K97" s="2009"/>
      <c r="L97" s="2009"/>
      <c r="M97" s="2009"/>
      <c r="N97" s="2009"/>
      <c r="O97" s="2009"/>
      <c r="P97" s="2009"/>
      <c r="Q97" s="2009"/>
      <c r="R97" s="2009"/>
      <c r="S97" s="2009"/>
      <c r="T97" s="2009"/>
      <c r="U97" s="2009"/>
      <c r="V97" s="2009"/>
      <c r="W97" s="2013"/>
      <c r="X97" s="2013"/>
      <c r="Y97" s="2013"/>
      <c r="Z97" s="2013"/>
    </row>
    <row r="98" spans="1:26" s="1299" customFormat="1" ht="24">
      <c r="A98" s="1598" t="s">
        <v>2050</v>
      </c>
      <c r="B98" s="362" t="s">
        <v>435</v>
      </c>
      <c r="C98" s="387" t="e">
        <f ca="1">IF(C97&lt;=0,0,C97/C91)</f>
        <v>#REF!</v>
      </c>
      <c r="D98" s="358" t="s">
        <v>31</v>
      </c>
      <c r="E98" s="25" t="e">
        <f ca="1">IF(C98&gt;=200%,"增值额超过扣除项目金额200%",IF(C98&gt;=100%,"增值额超过扣除项目金额100%，未超过200%",IF(C98&gt;=50%,"增值额超过扣除项目金额50%，未超过100%",IF(C98&lt;50%,"增值额未超过扣除项目金额50%"))))</f>
        <v>#REF!</v>
      </c>
      <c r="F98" s="969"/>
      <c r="G98" s="969"/>
      <c r="H98" s="374"/>
      <c r="I98" s="1301"/>
      <c r="J98" s="2014"/>
      <c r="K98" s="2009"/>
      <c r="L98" s="2009"/>
      <c r="M98" s="2009"/>
      <c r="N98" s="2009"/>
      <c r="O98" s="2009"/>
      <c r="P98" s="2009"/>
      <c r="Q98" s="2009"/>
      <c r="R98" s="2009"/>
      <c r="S98" s="2009"/>
      <c r="T98" s="2009"/>
      <c r="U98" s="2009"/>
      <c r="V98" s="2009"/>
      <c r="W98" s="2013"/>
      <c r="X98" s="2013"/>
      <c r="Y98" s="2013"/>
      <c r="Z98" s="2013"/>
    </row>
    <row r="99" spans="1:26" s="1299" customFormat="1" ht="24.75" thickBot="1">
      <c r="A99" s="1599" t="s">
        <v>2051</v>
      </c>
      <c r="B99" s="367" t="s">
        <v>436</v>
      </c>
      <c r="C99" s="388" t="e">
        <f ca="1">ROUND(IF(C97&lt;=0,0,IF(C98&gt;=200%,C97*60%-C91*35%,IF(C98&gt;=100%,C97*50%-C91*15%,IF(C98&gt;=50%,C97*40%-C91*5%,IF(C98&lt;50%,C97*30%,0))))),0)</f>
        <v>#REF!</v>
      </c>
      <c r="D99" s="389" t="s">
        <v>31</v>
      </c>
      <c r="E99" s="39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1"/>
      <c r="G99" s="391"/>
      <c r="H99" s="392"/>
      <c r="I99" s="1301"/>
      <c r="J99" s="2014"/>
      <c r="K99" s="2009"/>
      <c r="L99" s="2009"/>
      <c r="M99" s="2009"/>
      <c r="N99" s="2009"/>
      <c r="O99" s="2009"/>
      <c r="P99" s="2009"/>
      <c r="Q99" s="2009"/>
      <c r="R99" s="2009"/>
      <c r="S99" s="2009"/>
      <c r="T99" s="2009"/>
      <c r="U99" s="2009"/>
      <c r="V99" s="2009"/>
      <c r="W99" s="2013"/>
      <c r="X99" s="2013"/>
      <c r="Y99" s="2013"/>
      <c r="Z99" s="2013"/>
    </row>
    <row r="100" spans="1:26" s="1299" customFormat="1" ht="7.5" customHeight="1">
      <c r="A100" s="1303"/>
      <c r="B100" s="1304"/>
      <c r="C100" s="11"/>
      <c r="D100" s="11"/>
      <c r="E100" s="1304"/>
      <c r="F100" s="1304"/>
      <c r="G100" s="1304"/>
      <c r="H100" s="1305"/>
      <c r="I100" s="1302"/>
      <c r="J100" s="2015"/>
      <c r="K100" s="2009"/>
      <c r="L100" s="2009"/>
      <c r="M100" s="2009"/>
      <c r="N100" s="2009"/>
      <c r="O100" s="2009"/>
      <c r="P100" s="2009"/>
      <c r="Q100" s="2009"/>
      <c r="R100" s="2009"/>
      <c r="S100" s="2009"/>
      <c r="T100" s="2009"/>
      <c r="U100" s="2009"/>
      <c r="V100" s="2009"/>
      <c r="W100" s="2013"/>
      <c r="X100" s="2013"/>
      <c r="Y100" s="2013"/>
      <c r="Z100" s="2013"/>
    </row>
    <row r="101" spans="1:26" s="1299" customFormat="1" ht="15" thickBot="1">
      <c r="A101" s="3359" t="s">
        <v>437</v>
      </c>
      <c r="B101" s="3360"/>
      <c r="C101" s="3360"/>
      <c r="D101" s="3360"/>
      <c r="E101" s="3360"/>
      <c r="F101" s="3360"/>
      <c r="G101" s="3360"/>
      <c r="H101" s="3360"/>
      <c r="I101" s="11"/>
      <c r="J101" s="2009"/>
      <c r="K101" s="2009"/>
      <c r="L101" s="2009"/>
      <c r="M101" s="2009"/>
      <c r="N101" s="2009"/>
      <c r="O101" s="2009"/>
      <c r="P101" s="2009"/>
      <c r="Q101" s="2009"/>
      <c r="R101" s="2009"/>
      <c r="S101" s="2009"/>
      <c r="T101" s="2009"/>
      <c r="U101" s="2009"/>
      <c r="V101" s="2009"/>
      <c r="W101" s="2013"/>
      <c r="X101" s="2013"/>
      <c r="Y101" s="2013"/>
      <c r="Z101" s="2013"/>
    </row>
    <row r="102" spans="1:26" s="1299" customFormat="1" ht="14.25">
      <c r="A102" s="3357" t="s">
        <v>411</v>
      </c>
      <c r="B102" s="3358"/>
      <c r="C102" s="973"/>
      <c r="D102" s="973" t="s">
        <v>412</v>
      </c>
      <c r="E102" s="371" t="s">
        <v>421</v>
      </c>
      <c r="F102" s="372"/>
      <c r="G102" s="372"/>
      <c r="H102" s="393"/>
      <c r="I102" s="11"/>
      <c r="J102" s="2009"/>
      <c r="K102" s="2009"/>
      <c r="L102" s="2009"/>
      <c r="M102" s="2009"/>
      <c r="N102" s="2009"/>
      <c r="O102" s="2009"/>
      <c r="P102" s="2009"/>
      <c r="Q102" s="2009"/>
      <c r="R102" s="2009"/>
      <c r="S102" s="2009"/>
      <c r="T102" s="2009"/>
      <c r="U102" s="2009"/>
      <c r="V102" s="2009"/>
      <c r="W102" s="2013"/>
      <c r="X102" s="2013"/>
      <c r="Y102" s="2013"/>
      <c r="Z102" s="2013"/>
    </row>
    <row r="103" spans="1:26" s="1299" customFormat="1" ht="14.25">
      <c r="A103" s="361" t="s">
        <v>2037</v>
      </c>
      <c r="B103" s="362" t="s">
        <v>422</v>
      </c>
      <c r="C103" s="365" t="e">
        <f ca="1">ROUND(D63/(1+'数据-取费表'!B45),0)</f>
        <v>#REF!</v>
      </c>
      <c r="D103" s="358" t="s">
        <v>31</v>
      </c>
      <c r="E103" s="970"/>
      <c r="F103" s="969"/>
      <c r="G103" s="969"/>
      <c r="H103" s="394"/>
      <c r="I103" s="11"/>
      <c r="J103" s="2009"/>
      <c r="K103" s="2009"/>
      <c r="L103" s="2009"/>
      <c r="M103" s="2009"/>
      <c r="N103" s="2009"/>
      <c r="O103" s="2009"/>
      <c r="P103" s="2009"/>
      <c r="Q103" s="2009"/>
      <c r="R103" s="2009"/>
      <c r="S103" s="2009"/>
      <c r="T103" s="2009"/>
      <c r="U103" s="2009"/>
      <c r="V103" s="2009"/>
      <c r="W103" s="2013"/>
      <c r="X103" s="2013"/>
      <c r="Y103" s="2013"/>
      <c r="Z103" s="2013"/>
    </row>
    <row r="104" spans="1:26" s="1299" customFormat="1" ht="14.25">
      <c r="A104" s="361" t="s">
        <v>2043</v>
      </c>
      <c r="B104" s="328" t="s">
        <v>423</v>
      </c>
      <c r="C104" s="365" t="e">
        <f ca="1">IF(H106="仅含出让金",C105+C108+C109+C110+C111+C112,C105+C109+C110+C111+C112)</f>
        <v>#REF!</v>
      </c>
      <c r="D104" s="395"/>
      <c r="E104" s="970"/>
      <c r="F104" s="969"/>
      <c r="G104" s="969"/>
      <c r="H104" s="394"/>
      <c r="I104" s="11"/>
      <c r="J104" s="2009"/>
      <c r="K104" s="2009"/>
      <c r="L104" s="2009"/>
      <c r="M104" s="2009"/>
      <c r="N104" s="2009"/>
      <c r="O104" s="2009"/>
      <c r="P104" s="2009"/>
      <c r="Q104" s="2009"/>
      <c r="R104" s="2009"/>
      <c r="S104" s="2009"/>
      <c r="T104" s="2009"/>
      <c r="U104" s="2009"/>
      <c r="V104" s="2009"/>
      <c r="W104" s="2013"/>
      <c r="X104" s="2013"/>
      <c r="Y104" s="2013"/>
      <c r="Z104" s="2013"/>
    </row>
    <row r="105" spans="1:26" s="1299" customFormat="1" ht="14.25">
      <c r="A105" s="375" t="s">
        <v>2044</v>
      </c>
      <c r="B105" s="356" t="s">
        <v>438</v>
      </c>
      <c r="C105" s="385">
        <f>C106+C107</f>
        <v>572</v>
      </c>
      <c r="D105" s="386"/>
      <c r="E105" s="964"/>
      <c r="F105" s="965"/>
      <c r="G105" s="965"/>
      <c r="H105" s="966"/>
      <c r="I105" s="11"/>
      <c r="J105" s="2009"/>
      <c r="K105" s="2009"/>
      <c r="L105" s="2009"/>
      <c r="M105" s="2009"/>
      <c r="N105" s="2009"/>
      <c r="O105" s="2009"/>
      <c r="P105" s="2009"/>
      <c r="Q105" s="2009"/>
      <c r="R105" s="2009"/>
      <c r="S105" s="2009"/>
      <c r="T105" s="2009"/>
      <c r="U105" s="2009"/>
      <c r="V105" s="2009"/>
      <c r="W105" s="2013"/>
      <c r="X105" s="2013"/>
      <c r="Y105" s="2013"/>
      <c r="Z105" s="2013"/>
    </row>
    <row r="106" spans="1:26" s="1299" customFormat="1" ht="14.25">
      <c r="A106" s="375" t="s">
        <v>2045</v>
      </c>
      <c r="B106" s="356" t="s">
        <v>439</v>
      </c>
      <c r="C106" s="396">
        <v>555</v>
      </c>
      <c r="D106" s="386"/>
      <c r="E106" s="397" t="s">
        <v>440</v>
      </c>
      <c r="F106" s="965"/>
      <c r="G106" s="398" t="s">
        <v>441</v>
      </c>
      <c r="H106" s="399" t="s">
        <v>2701</v>
      </c>
      <c r="I106" s="11"/>
      <c r="J106" s="2009"/>
      <c r="K106" s="2009"/>
      <c r="L106" s="2009"/>
      <c r="M106" s="2009"/>
      <c r="N106" s="2009"/>
      <c r="O106" s="2009"/>
      <c r="P106" s="2009"/>
      <c r="Q106" s="2009"/>
      <c r="R106" s="2009"/>
      <c r="S106" s="2009"/>
      <c r="T106" s="2009"/>
      <c r="U106" s="2009"/>
      <c r="V106" s="2009"/>
      <c r="W106" s="2013"/>
      <c r="X106" s="2013"/>
      <c r="Y106" s="2013"/>
      <c r="Z106" s="2013"/>
    </row>
    <row r="107" spans="1:26" s="1299" customFormat="1" ht="14.25">
      <c r="A107" s="375" t="s">
        <v>2046</v>
      </c>
      <c r="B107" s="356" t="s">
        <v>431</v>
      </c>
      <c r="C107" s="385">
        <f>ROUND(C106*D107,0)</f>
        <v>17</v>
      </c>
      <c r="D107" s="386">
        <f>'数据-取费表'!B51+'数据-取费表'!B52</f>
        <v>3.0499999999999999E-2</v>
      </c>
      <c r="E107" s="397" t="s">
        <v>442</v>
      </c>
      <c r="F107" s="965"/>
      <c r="G107" s="965"/>
      <c r="H107" s="966"/>
      <c r="I107" s="11"/>
      <c r="J107" s="2009"/>
      <c r="K107" s="2009"/>
      <c r="L107" s="2009"/>
      <c r="M107" s="2009"/>
      <c r="N107" s="2009"/>
      <c r="O107" s="2009"/>
      <c r="P107" s="2009"/>
      <c r="Q107" s="2009"/>
      <c r="R107" s="2009"/>
      <c r="S107" s="2009"/>
      <c r="T107" s="2009"/>
      <c r="U107" s="2009"/>
      <c r="V107" s="2009"/>
      <c r="W107" s="2013"/>
      <c r="X107" s="2013"/>
      <c r="Y107" s="2013"/>
      <c r="Z107" s="2013"/>
    </row>
    <row r="108" spans="1:26" s="1299" customFormat="1" ht="14.25">
      <c r="A108" s="375" t="s">
        <v>2048</v>
      </c>
      <c r="B108" s="356" t="s">
        <v>443</v>
      </c>
      <c r="C108" s="396"/>
      <c r="D108" s="386"/>
      <c r="E108" s="397" t="str">
        <f>IF(H106="-","土地取得成本中已包含该笔费用"," ")</f>
        <v xml:space="preserve"> </v>
      </c>
      <c r="F108" s="965"/>
      <c r="G108" s="965"/>
      <c r="H108" s="966"/>
      <c r="I108" s="11"/>
      <c r="J108" s="2009"/>
      <c r="K108" s="2009"/>
      <c r="L108" s="2009"/>
      <c r="M108" s="2009"/>
      <c r="N108" s="2009"/>
      <c r="O108" s="2009"/>
      <c r="P108" s="2009"/>
      <c r="Q108" s="2009"/>
      <c r="R108" s="2009"/>
      <c r="S108" s="2009"/>
      <c r="T108" s="2009"/>
      <c r="U108" s="2009"/>
      <c r="V108" s="2009"/>
      <c r="W108" s="2013"/>
      <c r="X108" s="2013"/>
      <c r="Y108" s="2013"/>
      <c r="Z108" s="2013"/>
    </row>
    <row r="109" spans="1:26" s="1299" customFormat="1" ht="24" customHeight="1">
      <c r="A109" s="1600" t="s">
        <v>2052</v>
      </c>
      <c r="B109" s="356" t="s">
        <v>444</v>
      </c>
      <c r="C109" s="385">
        <f>IF(H109="——",IF(F1="现房",'剩余法-现房'!C18,'剩余法-待开发'!C18),I109)</f>
        <v>55</v>
      </c>
      <c r="D109" s="386"/>
      <c r="E109" s="3351" t="s">
        <v>445</v>
      </c>
      <c r="F109" s="3349"/>
      <c r="G109" s="3349"/>
      <c r="H109" s="1916" t="s">
        <v>2507</v>
      </c>
      <c r="I109" s="1917">
        <v>55</v>
      </c>
      <c r="J109" s="2009"/>
      <c r="K109" s="2009"/>
      <c r="L109" s="2009"/>
      <c r="M109" s="2009"/>
      <c r="N109" s="2009"/>
      <c r="O109" s="2009"/>
      <c r="P109" s="2009"/>
      <c r="Q109" s="2009"/>
      <c r="R109" s="2009"/>
      <c r="S109" s="2009"/>
      <c r="T109" s="2009"/>
      <c r="U109" s="2009"/>
      <c r="V109" s="2009"/>
      <c r="W109" s="2013"/>
      <c r="X109" s="2013"/>
      <c r="Y109" s="2013"/>
      <c r="Z109" s="2013"/>
    </row>
    <row r="110" spans="1:26" s="1299" customFormat="1" ht="25.5" customHeight="1">
      <c r="A110" s="1600" t="s">
        <v>2053</v>
      </c>
      <c r="B110" s="356" t="s">
        <v>446</v>
      </c>
      <c r="C110" s="385">
        <f>ROUND((C105+C108+C109)*D110,0)</f>
        <v>63</v>
      </c>
      <c r="D110" s="386">
        <v>0.1</v>
      </c>
      <c r="E110" s="3351" t="s">
        <v>447</v>
      </c>
      <c r="F110" s="3349"/>
      <c r="G110" s="3349"/>
      <c r="H110" s="3350"/>
      <c r="I110" s="11"/>
      <c r="J110" s="2009"/>
      <c r="K110" s="2009"/>
      <c r="L110" s="2009"/>
      <c r="M110" s="2009"/>
      <c r="N110" s="2009"/>
      <c r="O110" s="2009"/>
      <c r="P110" s="2009"/>
      <c r="Q110" s="2009"/>
      <c r="R110" s="2009"/>
      <c r="S110" s="2009"/>
      <c r="T110" s="2009"/>
      <c r="U110" s="2009"/>
      <c r="V110" s="2009"/>
      <c r="W110" s="2013"/>
      <c r="X110" s="2013"/>
      <c r="Y110" s="2013"/>
      <c r="Z110" s="2013"/>
    </row>
    <row r="111" spans="1:26" s="1299" customFormat="1" ht="25.5" customHeight="1">
      <c r="A111" s="1600" t="s">
        <v>2054</v>
      </c>
      <c r="B111" s="356" t="s">
        <v>433</v>
      </c>
      <c r="C111" s="385" t="e">
        <f ca="1">ROUND(D63*D111/(1+'数据-取费表'!B45),0)</f>
        <v>#REF!</v>
      </c>
      <c r="D111" s="386">
        <f>'数据-取费表'!B46</f>
        <v>5.000000000000001E-3</v>
      </c>
      <c r="E111" s="3348" t="s">
        <v>2690</v>
      </c>
      <c r="F111" s="3349"/>
      <c r="G111" s="3349"/>
      <c r="H111" s="3350"/>
      <c r="I111" s="11"/>
      <c r="J111" s="2009"/>
      <c r="K111" s="2009"/>
      <c r="L111" s="2009"/>
      <c r="M111" s="2009"/>
      <c r="N111" s="2009"/>
      <c r="O111" s="2009"/>
      <c r="P111" s="2009"/>
      <c r="Q111" s="2009"/>
      <c r="R111" s="2009"/>
      <c r="S111" s="2009"/>
      <c r="T111" s="2009"/>
      <c r="U111" s="2009"/>
      <c r="V111" s="2009"/>
      <c r="W111" s="2013"/>
      <c r="X111" s="2013"/>
      <c r="Y111" s="2013"/>
      <c r="Z111" s="2013"/>
    </row>
    <row r="112" spans="1:26" s="1299" customFormat="1" ht="25.5" customHeight="1">
      <c r="A112" s="1600" t="s">
        <v>2055</v>
      </c>
      <c r="B112" s="356" t="s">
        <v>448</v>
      </c>
      <c r="C112" s="385">
        <f>ROUND(C108*D112,0)</f>
        <v>0</v>
      </c>
      <c r="D112" s="386">
        <v>0.2</v>
      </c>
      <c r="E112" s="3351" t="s">
        <v>2715</v>
      </c>
      <c r="F112" s="3349"/>
      <c r="G112" s="3349"/>
      <c r="H112" s="3350"/>
      <c r="I112" s="11"/>
      <c r="J112" s="2009"/>
      <c r="K112" s="2009"/>
      <c r="L112" s="2009"/>
      <c r="M112" s="2009"/>
      <c r="N112" s="2009"/>
      <c r="O112" s="2009"/>
      <c r="P112" s="2009"/>
      <c r="Q112" s="2009"/>
      <c r="R112" s="2009"/>
      <c r="S112" s="2009"/>
      <c r="T112" s="2009"/>
      <c r="U112" s="2009"/>
      <c r="V112" s="2009"/>
      <c r="W112" s="2013"/>
      <c r="X112" s="2013"/>
      <c r="Y112" s="2013"/>
      <c r="Z112" s="2013"/>
    </row>
    <row r="113" spans="1:26" s="1299" customFormat="1" ht="14.25">
      <c r="A113" s="1598" t="s">
        <v>2049</v>
      </c>
      <c r="B113" s="362" t="s">
        <v>434</v>
      </c>
      <c r="C113" s="365" t="e">
        <f ca="1">ROUND(C103-C104,0)</f>
        <v>#REF!</v>
      </c>
      <c r="D113" s="358" t="s">
        <v>31</v>
      </c>
      <c r="E113" s="970"/>
      <c r="F113" s="969"/>
      <c r="G113" s="969"/>
      <c r="H113" s="394"/>
      <c r="I113" s="11"/>
      <c r="J113" s="2009"/>
      <c r="K113" s="2009"/>
      <c r="L113" s="2009"/>
      <c r="M113" s="2009"/>
      <c r="N113" s="2009"/>
      <c r="O113" s="2009"/>
      <c r="P113" s="2009"/>
      <c r="Q113" s="2009"/>
      <c r="R113" s="2009"/>
      <c r="S113" s="2009"/>
      <c r="T113" s="2009"/>
      <c r="U113" s="2009"/>
      <c r="V113" s="2009"/>
      <c r="W113" s="2013"/>
      <c r="X113" s="2013"/>
      <c r="Y113" s="2013"/>
      <c r="Z113" s="2013"/>
    </row>
    <row r="114" spans="1:26" s="1299" customFormat="1" ht="24">
      <c r="A114" s="1598" t="s">
        <v>2050</v>
      </c>
      <c r="B114" s="362" t="s">
        <v>435</v>
      </c>
      <c r="C114" s="387" t="e">
        <f ca="1">IF(C113&lt;=0,0,C113/C104)</f>
        <v>#REF!</v>
      </c>
      <c r="D114" s="358" t="s">
        <v>31</v>
      </c>
      <c r="E114" s="25" t="e">
        <f ca="1">IF(C114&gt;=200%,"增值额超过扣除项目金额200%",IF(C114&gt;=100%,"增值额超过扣除项目金额100%，未超过200%",IF(C114&gt;=50%,"增值额超过扣除项目金额50%，未超过100%",IF(C114&lt;50%,"增值额未超过扣除项目金额50%"))))</f>
        <v>#REF!</v>
      </c>
      <c r="F114" s="969"/>
      <c r="G114" s="969"/>
      <c r="H114" s="394"/>
      <c r="I114" s="11"/>
      <c r="J114" s="2009"/>
      <c r="K114" s="2009"/>
      <c r="L114" s="2009"/>
      <c r="M114" s="2009"/>
      <c r="N114" s="2009"/>
      <c r="O114" s="2009"/>
      <c r="P114" s="2009"/>
      <c r="Q114" s="2009"/>
      <c r="R114" s="2009"/>
      <c r="S114" s="2009"/>
      <c r="T114" s="2009"/>
      <c r="U114" s="2009"/>
      <c r="V114" s="2009"/>
      <c r="W114" s="2013"/>
      <c r="X114" s="2013"/>
      <c r="Y114" s="2013"/>
      <c r="Z114" s="2013"/>
    </row>
    <row r="115" spans="1:26" s="1299" customFormat="1" ht="24.75" thickBot="1">
      <c r="A115" s="1599" t="s">
        <v>2051</v>
      </c>
      <c r="B115" s="367" t="s">
        <v>436</v>
      </c>
      <c r="C115" s="388" t="e">
        <f ca="1">ROUND(IF(C113&lt;=0,0,IF(C114&gt;=200%,C113*60%-C104*35%,IF(C114&gt;=100%,C113*50%-C104*15%,IF(C114&gt;=50%,C113*40%-C104*5%,IF(C114&lt;50%,C113*30%,0))))),0)</f>
        <v>#REF!</v>
      </c>
      <c r="D115" s="389" t="s">
        <v>31</v>
      </c>
      <c r="E115" s="39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1"/>
      <c r="G115" s="391"/>
      <c r="H115" s="400"/>
      <c r="I115" s="11"/>
      <c r="J115" s="2009"/>
      <c r="K115" s="2009"/>
      <c r="L115" s="2009"/>
      <c r="M115" s="2009"/>
      <c r="N115" s="2009"/>
      <c r="O115" s="2009"/>
      <c r="P115" s="2009"/>
      <c r="Q115" s="2009"/>
      <c r="R115" s="2009"/>
      <c r="S115" s="2009"/>
      <c r="T115" s="2009"/>
      <c r="U115" s="2009"/>
      <c r="V115" s="2009"/>
      <c r="W115" s="2013"/>
      <c r="X115" s="2013"/>
      <c r="Y115" s="2013"/>
      <c r="Z115" s="2013"/>
    </row>
    <row r="116" spans="1:26" s="2017" customFormat="1" ht="21.75" customHeight="1">
      <c r="J116" s="2016"/>
      <c r="K116" s="2004"/>
      <c r="L116" s="2004"/>
      <c r="M116" s="2004"/>
      <c r="N116" s="2004"/>
      <c r="O116" s="2004"/>
    </row>
    <row r="117" spans="1:26" s="2017" customFormat="1" ht="21.75" customHeight="1">
      <c r="J117" s="2016"/>
    </row>
    <row r="118" spans="1:26" s="2017" customFormat="1" ht="21.75" customHeight="1">
      <c r="J118" s="2016"/>
    </row>
    <row r="119" spans="1:26" s="2017" customFormat="1" ht="21.75" customHeight="1">
      <c r="J119" s="2016"/>
    </row>
    <row r="120" spans="1:26" s="2017" customFormat="1" ht="21.75" customHeight="1">
      <c r="J120" s="2016"/>
    </row>
    <row r="121" spans="1:26" s="2017" customFormat="1" ht="21.75" customHeight="1"/>
    <row r="122" spans="1:26" s="2017" customFormat="1" ht="21.75" customHeight="1">
      <c r="J122" s="2018"/>
    </row>
    <row r="123" spans="1:26" s="2017" customFormat="1" ht="21.75" customHeight="1"/>
    <row r="124" spans="1:26" s="2017" customFormat="1" ht="21.75" customHeight="1"/>
    <row r="125" spans="1:26" s="2017" customFormat="1" ht="21.75" customHeight="1">
      <c r="J125" s="2018"/>
    </row>
    <row r="126" spans="1:26" s="2017" customFormat="1" ht="21.75" customHeight="1"/>
    <row r="127" spans="1:26" s="2017" customFormat="1" ht="21.75" customHeight="1"/>
    <row r="128" spans="1:26" s="2017" customFormat="1" ht="21.75" customHeight="1">
      <c r="J128" s="2018"/>
    </row>
    <row r="129" spans="2:6" s="2017" customFormat="1" ht="21.75" customHeight="1"/>
    <row r="130" spans="2:6" s="2017" customFormat="1" ht="21.75" customHeight="1">
      <c r="B130" s="2019"/>
      <c r="C130" s="2020"/>
      <c r="D130" s="2021"/>
      <c r="E130" s="2021"/>
      <c r="F130" s="2022"/>
    </row>
    <row r="131" spans="2:6" s="2017" customFormat="1" ht="21.75" customHeight="1"/>
    <row r="132" spans="2:6" s="2017" customFormat="1" ht="21.75" customHeight="1"/>
    <row r="133" spans="2:6" s="2017" customFormat="1" ht="21.75" customHeight="1"/>
    <row r="134" spans="2:6" s="2017" customFormat="1" ht="21.75" customHeight="1"/>
    <row r="135" spans="2:6" s="2017" customFormat="1" ht="21.75" customHeight="1"/>
    <row r="136" spans="2:6" s="2017" customFormat="1" ht="21.75" customHeight="1"/>
    <row r="137" spans="2:6" s="2017" customFormat="1" ht="21.75" customHeight="1"/>
    <row r="138" spans="2:6" s="2017" customFormat="1" ht="21.75" customHeight="1"/>
    <row r="139" spans="2:6" s="2017" customFormat="1" ht="21.75" customHeight="1"/>
    <row r="140" spans="2:6" s="2017" customFormat="1" ht="21.75" customHeight="1"/>
    <row r="141" spans="2:6" s="2017" customFormat="1" ht="21.75" customHeight="1"/>
    <row r="142" spans="2:6" s="2017" customFormat="1" ht="21.75" customHeight="1"/>
    <row r="143" spans="2:6" s="2017" customFormat="1" ht="21.75" customHeight="1"/>
    <row r="144" spans="2:6" s="2017" customFormat="1" ht="21.75" customHeight="1"/>
    <row r="145" s="2017" customFormat="1" ht="21.75" customHeight="1"/>
    <row r="146" s="2017" customFormat="1" ht="21.75" customHeight="1"/>
    <row r="147" s="2017" customFormat="1" ht="21.75" customHeight="1"/>
    <row r="148" s="2017" customFormat="1" ht="21.75" customHeight="1"/>
    <row r="149" s="2017" customFormat="1" ht="21.75" customHeight="1"/>
    <row r="150" s="2017" customFormat="1" ht="21.75" customHeight="1"/>
    <row r="151" s="2017" customFormat="1" ht="21.75" customHeight="1"/>
    <row r="152" s="2017" customFormat="1" ht="21.75" customHeight="1"/>
    <row r="153" s="2017" customFormat="1" ht="21.75" customHeight="1"/>
    <row r="154" s="2017" customFormat="1" ht="21.75" customHeight="1"/>
    <row r="155" s="2017" customFormat="1" ht="21.75" customHeight="1"/>
    <row r="156" s="2017" customFormat="1" ht="21.75" customHeight="1"/>
    <row r="157" s="2017" customFormat="1" ht="21.75" customHeight="1"/>
    <row r="158" s="2017" customFormat="1" ht="21.75" customHeight="1"/>
    <row r="159" s="2017" customFormat="1" ht="21.75" customHeight="1"/>
    <row r="160" s="2017" customFormat="1" ht="21.75" customHeight="1"/>
    <row r="161" s="2017" customFormat="1" ht="21.75" customHeight="1"/>
    <row r="162" s="2017" customFormat="1" ht="21.75" customHeight="1"/>
    <row r="163" s="2017" customFormat="1" ht="21.75" customHeight="1"/>
    <row r="164" s="2017" customFormat="1" ht="21.75" customHeight="1"/>
    <row r="165" s="2017" customFormat="1" ht="21.75" customHeight="1"/>
    <row r="166" s="2017" customFormat="1" ht="21.75" customHeight="1"/>
    <row r="167" s="2017" customFormat="1" ht="21.75" customHeight="1"/>
    <row r="168" s="2017" customFormat="1" ht="21.75" customHeight="1"/>
    <row r="169" s="2017" customFormat="1" ht="21.75" customHeight="1"/>
    <row r="170" s="2017" customFormat="1" ht="21.75" customHeight="1"/>
    <row r="171" s="2017" customFormat="1" ht="21.75" customHeight="1"/>
    <row r="172" s="2017" customFormat="1" ht="21.75" customHeight="1"/>
    <row r="173" s="2017" customFormat="1" ht="21.75" customHeight="1"/>
    <row r="174" s="2017" customFormat="1" ht="21.75" customHeight="1"/>
    <row r="175" s="2017" customFormat="1" ht="21.75" customHeight="1"/>
    <row r="176" s="2017" customFormat="1" ht="21.75" customHeight="1"/>
    <row r="177" spans="11:15" s="2017" customFormat="1" ht="21.75" customHeight="1"/>
    <row r="178" spans="11:15" s="2017" customFormat="1" ht="21.75" customHeight="1"/>
    <row r="179" spans="11:15" s="2017" customFormat="1" ht="21.75" customHeight="1"/>
    <row r="180" spans="11:15" s="2017" customFormat="1" ht="21.75" customHeight="1"/>
    <row r="181" spans="11:15" s="2017" customFormat="1" ht="21.75" customHeight="1"/>
    <row r="182" spans="11:15" s="2017" customFormat="1" ht="21.75" customHeight="1"/>
    <row r="183" spans="11:15" s="2017" customFormat="1" ht="21.75" customHeight="1"/>
    <row r="184" spans="11:15" s="2017" customFormat="1" ht="21.75" customHeight="1"/>
    <row r="185" spans="11:15" s="234" customFormat="1" ht="21.75" customHeight="1">
      <c r="K185" s="2017"/>
      <c r="L185" s="2017"/>
      <c r="M185" s="2017"/>
      <c r="N185" s="2017"/>
      <c r="O185" s="2017"/>
    </row>
    <row r="186" spans="11:15" s="234" customFormat="1" ht="21.75" customHeight="1"/>
    <row r="187" spans="11:15" s="234" customFormat="1" ht="21.75" customHeight="1"/>
    <row r="188" spans="11:15" s="234" customFormat="1" ht="21.75" customHeight="1"/>
    <row r="189" spans="11:15" s="234" customFormat="1" ht="21.75" customHeight="1"/>
    <row r="190" spans="11:15" s="234" customFormat="1" ht="21.75" customHeight="1"/>
    <row r="191" spans="11:15" s="234" customFormat="1" ht="21.75" customHeight="1"/>
    <row r="192" spans="11:15"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6" priority="25" stopIfTrue="1" operator="equal">
      <formula>25</formula>
    </cfRule>
  </conditionalFormatting>
  <conditionalFormatting sqref="C8:C9">
    <cfRule type="cellIs" dxfId="155" priority="23" stopIfTrue="1" operator="equal">
      <formula>15</formula>
    </cfRule>
  </conditionalFormatting>
  <conditionalFormatting sqref="C14:C16">
    <cfRule type="cellIs" dxfId="154" priority="17" stopIfTrue="1" operator="equal">
      <formula>30</formula>
    </cfRule>
  </conditionalFormatting>
  <conditionalFormatting sqref="C10:C13">
    <cfRule type="cellIs" dxfId="153" priority="12" stopIfTrue="1" operator="equal">
      <formula>15</formula>
    </cfRule>
  </conditionalFormatting>
  <conditionalFormatting sqref="C108">
    <cfRule type="expression" dxfId="152" priority="7" stopIfTrue="1">
      <formula>$H$106&lt;&gt;"仅含出让金"</formula>
    </cfRule>
  </conditionalFormatting>
  <conditionalFormatting sqref="C109">
    <cfRule type="expression" dxfId="151" priority="6" stopIfTrue="1">
      <formula>$H$109="由企业提供"</formula>
    </cfRule>
  </conditionalFormatting>
  <conditionalFormatting sqref="I33">
    <cfRule type="expression" dxfId="150" priority="5" stopIfTrue="1">
      <formula>$H$33="同一抵押权人同一抵押物续贷"</formula>
    </cfRule>
  </conditionalFormatting>
  <conditionalFormatting sqref="D5:D7">
    <cfRule type="cellIs" dxfId="149" priority="4" stopIfTrue="1" operator="equal">
      <formula>25</formula>
    </cfRule>
  </conditionalFormatting>
  <conditionalFormatting sqref="D8:D9">
    <cfRule type="cellIs" dxfId="148" priority="3" stopIfTrue="1" operator="equal">
      <formula>15</formula>
    </cfRule>
  </conditionalFormatting>
  <conditionalFormatting sqref="D14:D16">
    <cfRule type="cellIs" dxfId="147" priority="2" stopIfTrue="1" operator="equal">
      <formula>30</formula>
    </cfRule>
  </conditionalFormatting>
  <conditionalFormatting sqref="D10:D13">
    <cfRule type="cellIs" dxfId="146"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4" sqref="N4"/>
    </sheetView>
  </sheetViews>
  <sheetFormatPr defaultColWidth="6.625" defaultRowHeight="12.75"/>
  <cols>
    <col min="1" max="1" width="9.7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2.875" style="2094" customWidth="1"/>
    <col min="14" max="254" width="9" style="2094" customWidth="1"/>
    <col min="255" max="16384" width="6.625" style="2094"/>
  </cols>
  <sheetData>
    <row r="1" spans="1:31" s="2017" customFormat="1" ht="20.25">
      <c r="A1" s="2083" t="s">
        <v>449</v>
      </c>
      <c r="B1" s="2827"/>
      <c r="C1" s="2084"/>
      <c r="D1" s="2084"/>
      <c r="E1" s="2084"/>
      <c r="F1" s="2084"/>
      <c r="G1" s="2084"/>
      <c r="H1" s="2084"/>
      <c r="I1" s="2084"/>
      <c r="J1" s="2084"/>
      <c r="K1" s="402" t="e">
        <f>MATCH(B1,'数据-取费表'!A6:A19,0)+5</f>
        <v>#N/A</v>
      </c>
    </row>
    <row r="2" spans="1:31" s="2017" customFormat="1" ht="18" customHeight="1">
      <c r="A2" s="2081" t="s">
        <v>450</v>
      </c>
      <c r="B2" s="2085">
        <f ca="1">C36</f>
        <v>809635</v>
      </c>
      <c r="C2" s="2084"/>
      <c r="D2" s="2084"/>
      <c r="E2" s="2084"/>
      <c r="F2" s="2084"/>
      <c r="G2" s="2084"/>
      <c r="H2" s="2084"/>
      <c r="I2" s="2084"/>
      <c r="J2" s="2084"/>
      <c r="K2" s="2084"/>
    </row>
    <row r="3" spans="1:31" s="2017" customFormat="1" ht="18" customHeight="1">
      <c r="A3" s="2086" t="s">
        <v>1893</v>
      </c>
      <c r="B3" s="2087">
        <f ca="1">ROUND(B2*10000/IF(B1="",'数据-汇总表'!E3,INDIRECT("'数据-取费表'!K"&amp;$K$1)),0)</f>
        <v>15955</v>
      </c>
      <c r="C3" s="2084"/>
      <c r="D3" s="2084"/>
      <c r="E3" s="2084"/>
      <c r="F3" s="2084"/>
      <c r="G3" s="2084"/>
      <c r="H3" s="2084"/>
      <c r="I3" s="2084"/>
      <c r="J3" s="2084"/>
      <c r="K3" s="2084"/>
      <c r="N3" s="3228">
        <f ca="1">B2-'[5]剩余法-待开发'!$O$14</f>
        <v>115</v>
      </c>
    </row>
    <row r="4" spans="1:31" s="2017" customFormat="1" ht="18" customHeight="1">
      <c r="A4" s="406" t="s">
        <v>451</v>
      </c>
      <c r="B4" s="407">
        <f ca="1">ROUND(B2*10000/IF(B1="",'数据-汇总表'!D3,INDIRECT("'数据-取费表'!R"&amp;$K$1)),0)</f>
        <v>71002</v>
      </c>
      <c r="C4" s="408"/>
      <c r="D4" s="402"/>
      <c r="E4" s="402"/>
      <c r="F4" s="402"/>
      <c r="G4" s="402"/>
      <c r="H4" s="402"/>
      <c r="I4" s="402"/>
      <c r="J4" s="402"/>
      <c r="K4" s="402"/>
    </row>
    <row r="5" spans="1:31" s="2017" customFormat="1" ht="18" customHeight="1" thickBot="1">
      <c r="A5" s="409"/>
      <c r="B5" s="410">
        <f ca="1">ROUND(B2/(IF(B1="",'数据-汇总表'!D3,INDIRECT("'数据-取费表'!R"&amp;$K$1))/666.67),0)</f>
        <v>4734</v>
      </c>
      <c r="C5" s="411" t="s">
        <v>452</v>
      </c>
      <c r="D5" s="402"/>
      <c r="E5" s="402"/>
      <c r="F5" s="402"/>
      <c r="G5" s="402"/>
      <c r="H5" s="402"/>
      <c r="I5" s="402"/>
      <c r="J5" s="402"/>
      <c r="K5" s="402"/>
    </row>
    <row r="6" spans="1:31" s="2091" customFormat="1" ht="16.5" customHeight="1">
      <c r="A6" s="2847" t="s">
        <v>2056</v>
      </c>
      <c r="B6" s="2848"/>
      <c r="C6" s="2849">
        <f>SUM(C10:M10)</f>
        <v>1386366</v>
      </c>
      <c r="D6" s="2848"/>
      <c r="E6" s="2848"/>
      <c r="F6" s="2848"/>
      <c r="G6" s="2848"/>
      <c r="H6" s="2848"/>
      <c r="I6" s="2848"/>
      <c r="J6" s="2848"/>
      <c r="K6" s="2850"/>
    </row>
    <row r="7" spans="1:31" s="2093" customFormat="1" ht="25.5">
      <c r="A7" s="2851" t="s">
        <v>453</v>
      </c>
      <c r="B7" s="2852" t="s">
        <v>454</v>
      </c>
      <c r="C7" s="416" t="s">
        <v>3285</v>
      </c>
      <c r="D7" s="416" t="s">
        <v>3287</v>
      </c>
      <c r="E7" s="416" t="s">
        <v>3293</v>
      </c>
      <c r="F7" s="416" t="s">
        <v>3295</v>
      </c>
      <c r="G7" s="416" t="s">
        <v>3298</v>
      </c>
      <c r="H7" s="416" t="s">
        <v>3299</v>
      </c>
      <c r="I7" s="416" t="s">
        <v>3415</v>
      </c>
      <c r="J7" s="416" t="s">
        <v>3302</v>
      </c>
      <c r="K7" s="417" t="s">
        <v>3244</v>
      </c>
      <c r="L7" s="417" t="s">
        <v>47</v>
      </c>
      <c r="M7" s="417" t="s">
        <v>3398</v>
      </c>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83" t="s">
        <v>2059</v>
      </c>
      <c r="B8" s="238" t="s">
        <v>455</v>
      </c>
      <c r="C8" s="2853">
        <f>'典型户型修正 (2)'!R25</f>
        <v>50488</v>
      </c>
      <c r="D8" s="2853">
        <f>'典型户型修正 (2)'!R24</f>
        <v>63747</v>
      </c>
      <c r="E8" s="2853">
        <f>典型户型修正!R24</f>
        <v>51912</v>
      </c>
      <c r="F8" s="2853">
        <f>典型户型修正!R25</f>
        <v>36338</v>
      </c>
      <c r="G8" s="2853">
        <f>典型户型修正!R26</f>
        <v>20765</v>
      </c>
      <c r="H8" s="2853">
        <f>典型户型修正!R27</f>
        <v>17240</v>
      </c>
      <c r="I8" s="2853">
        <f>典型户型修正!R28</f>
        <v>11493</v>
      </c>
      <c r="J8" s="2853">
        <v>11000</v>
      </c>
      <c r="K8" s="2854">
        <v>6500</v>
      </c>
      <c r="L8" s="2094">
        <f>'不动产比较法-车位'!C38</f>
        <v>282825</v>
      </c>
      <c r="M8" s="2094">
        <f>'不动产比较法-办公'!C49</f>
        <v>26837</v>
      </c>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83" t="s">
        <v>2060</v>
      </c>
      <c r="B9" s="238" t="s">
        <v>456</v>
      </c>
      <c r="C9" s="421">
        <f>SUMIF('数据-汇总表'!$C19:$C36,'剩余法-待开发'!C7,'数据-汇总表'!$E19:$E36)</f>
        <v>95322.06</v>
      </c>
      <c r="D9" s="421">
        <f>SUMIF('数据-汇总表'!$C19:$C36,'剩余法-待开发'!D7,'数据-汇总表'!$E19:$E36)</f>
        <v>46878.32</v>
      </c>
      <c r="E9" s="421">
        <f>SUMIF('数据-汇总表'!$C19:$C36,'剩余法-待开发'!E7,'数据-汇总表'!$E19:$E36)</f>
        <v>20628.919999999998</v>
      </c>
      <c r="F9" s="421">
        <f>SUMIF('数据-汇总表'!$C19:$C36,'剩余法-待开发'!F7,'数据-汇总表'!$E19:$E36)</f>
        <v>20628.910000000003</v>
      </c>
      <c r="G9" s="421">
        <f>SUMIF('数据-汇总表'!$C19:$C36,'剩余法-待开发'!G7,'数据-汇总表'!$E19:$E36)</f>
        <v>27687.38</v>
      </c>
      <c r="H9" s="421">
        <f>SUMIF('数据-汇总表'!$C19:$C36,'剩余法-待开发'!H7,'数据-汇总表'!$E19:$E36)</f>
        <v>27687.38</v>
      </c>
      <c r="I9" s="421">
        <f>SUMIF('数据-汇总表'!$C19:$C36,'剩余法-待开发'!I7,'数据-汇总表'!$E19:$E36)</f>
        <v>27687.379999999994</v>
      </c>
      <c r="J9" s="421">
        <f>SUMIF('数据-汇总表'!$C19:$C36,'剩余法-待开发'!J7,'数据-汇总表'!$E19:$E36)</f>
        <v>49000</v>
      </c>
      <c r="K9" s="422">
        <f>SUMIF('数据-汇总表'!$C19:$C36,'剩余法-待开发'!K7,'数据-汇总表'!$E19:$E36)</f>
        <v>44822</v>
      </c>
      <c r="L9" s="422">
        <f>SUMIF('数据-汇总表'!$C19:$C36,'剩余法-待开发'!L7,'数据-汇总表'!$E19:$E36)</f>
        <v>95982.26999999999</v>
      </c>
      <c r="M9" s="422">
        <f>SUMIF('数据-汇总表'!$C19:$C36,'剩余法-待开发'!M7,'数据-汇总表'!$E19:$E36)</f>
        <v>50805.77</v>
      </c>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855" t="s">
        <v>2061</v>
      </c>
      <c r="B10" s="2840" t="s">
        <v>457</v>
      </c>
      <c r="C10" s="3031">
        <f>'典型户型修正 (2)'!S25</f>
        <v>481262</v>
      </c>
      <c r="D10" s="3031">
        <f>'典型户型修正 (2)'!S24</f>
        <v>298835</v>
      </c>
      <c r="E10" s="3031">
        <f>典型户型修正!S24</f>
        <v>107089</v>
      </c>
      <c r="F10" s="2856">
        <f>典型户型修正!S25</f>
        <v>74961</v>
      </c>
      <c r="G10" s="2856">
        <f>典型户型修正!S27</f>
        <v>47733</v>
      </c>
      <c r="H10" s="2856">
        <f>典型户型修正!S27</f>
        <v>47733</v>
      </c>
      <c r="I10" s="2856">
        <f>典型户型修正!S28</f>
        <v>31821</v>
      </c>
      <c r="J10" s="2856">
        <f>ROUND(J8*J9/10000,0)</f>
        <v>53900</v>
      </c>
      <c r="K10" s="2856">
        <f>ROUND(K8*K9/10000,0)</f>
        <v>29134</v>
      </c>
      <c r="L10" s="2094">
        <f>'不动产比较法-车位'!B2</f>
        <v>77551</v>
      </c>
      <c r="M10" s="2094">
        <f>'不动产比较法-办公'!B2</f>
        <v>136347</v>
      </c>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857" t="s">
        <v>2057</v>
      </c>
      <c r="B11" s="2848"/>
      <c r="C11" s="2848"/>
      <c r="D11" s="2848"/>
      <c r="E11" s="2848"/>
      <c r="F11" s="2848"/>
      <c r="G11" s="2848"/>
      <c r="H11" s="2848"/>
      <c r="I11" s="2848"/>
      <c r="J11" s="2848"/>
      <c r="K11" s="2850"/>
    </row>
    <row r="12" spans="1:31" s="2062" customFormat="1" ht="13.5" customHeight="1">
      <c r="A12" s="2858" t="s">
        <v>453</v>
      </c>
      <c r="B12" s="2830" t="s">
        <v>454</v>
      </c>
      <c r="C12" s="2859" t="s">
        <v>458</v>
      </c>
      <c r="D12" s="2826" t="s">
        <v>459</v>
      </c>
      <c r="E12" s="2826" t="s">
        <v>460</v>
      </c>
      <c r="F12" s="2826" t="s">
        <v>461</v>
      </c>
      <c r="G12" s="2830"/>
      <c r="H12" s="2831"/>
      <c r="I12" s="2831"/>
      <c r="J12" s="2831"/>
      <c r="K12" s="2832"/>
      <c r="M12" s="3209"/>
    </row>
    <row r="13" spans="1:31" s="2096" customFormat="1" ht="13.5" customHeight="1">
      <c r="A13" s="2860" t="s">
        <v>2062</v>
      </c>
      <c r="B13" s="2861" t="s">
        <v>462</v>
      </c>
      <c r="C13" s="430">
        <f ca="1">IF(B1="",'数据-取费表'!P19,INDIRECT("'数据-取费表'!p"&amp;$K$1)+INDIRECT("'数据-取费表'!t"&amp;$K$1))</f>
        <v>165803</v>
      </c>
      <c r="D13" s="2862"/>
      <c r="E13" s="2863"/>
      <c r="F13" s="2864"/>
      <c r="G13" s="2830"/>
      <c r="H13" s="2831"/>
      <c r="I13" s="2831"/>
      <c r="J13" s="2831"/>
      <c r="K13" s="2832"/>
      <c r="O13" s="3218" t="s">
        <v>3801</v>
      </c>
    </row>
    <row r="14" spans="1:31" s="2096" customFormat="1" ht="13.5" customHeight="1">
      <c r="A14" s="2860" t="s">
        <v>2063</v>
      </c>
      <c r="B14" s="2861" t="s">
        <v>463</v>
      </c>
      <c r="C14" s="52">
        <f ca="1">ROUND(C13*F14,0)</f>
        <v>4974</v>
      </c>
      <c r="D14" s="2862"/>
      <c r="E14" s="2863"/>
      <c r="F14" s="2865">
        <f>'数据-取费表'!B36</f>
        <v>0.03</v>
      </c>
      <c r="G14" s="2830" t="s">
        <v>464</v>
      </c>
      <c r="H14" s="2831"/>
      <c r="I14" s="2831"/>
      <c r="J14" s="2831"/>
      <c r="K14" s="2832"/>
      <c r="M14" s="3227" t="s">
        <v>3804</v>
      </c>
      <c r="N14" s="3218" t="s">
        <v>3803</v>
      </c>
      <c r="O14" s="3226">
        <f ca="1">B2-O16</f>
        <v>810164</v>
      </c>
    </row>
    <row r="15" spans="1:31" s="2096" customFormat="1" ht="13.5" customHeight="1">
      <c r="A15" s="2860" t="s">
        <v>2064</v>
      </c>
      <c r="B15" s="2861" t="s">
        <v>465</v>
      </c>
      <c r="C15" s="52">
        <f ca="1">ROUND(IF(B1="",SUMIF('数据-取费表'!C:C,"住宅",'数据-取费表'!P:P)*F15,IF(INDIRECT("'数据-取费表'!c"&amp;$K$1)="住宅",INDIRECT("'数据-取费表'!P"&amp;$K$1)*F15,0)),0)</f>
        <v>3759</v>
      </c>
      <c r="D15" s="2862"/>
      <c r="E15" s="2863"/>
      <c r="F15" s="2865">
        <f>'数据-取费表'!B37</f>
        <v>0.05</v>
      </c>
      <c r="G15" s="2830" t="s">
        <v>466</v>
      </c>
      <c r="H15" s="2831"/>
      <c r="I15" s="2831"/>
      <c r="J15" s="2831"/>
      <c r="K15" s="2832"/>
      <c r="M15" s="3225">
        <f>M22+M21+K9+J9</f>
        <v>507462.25</v>
      </c>
      <c r="N15" s="3225">
        <f>M25-M15</f>
        <v>-331.85999999998603</v>
      </c>
      <c r="O15" s="3218" t="s">
        <v>3802</v>
      </c>
    </row>
    <row r="16" spans="1:31" s="2097" customFormat="1" ht="13.5" customHeight="1">
      <c r="A16" s="2860" t="s">
        <v>2065</v>
      </c>
      <c r="B16" s="2861" t="s">
        <v>467</v>
      </c>
      <c r="C16" s="52">
        <f ca="1">ROUND(D16*E16/10000,0)</f>
        <v>10149</v>
      </c>
      <c r="D16" s="2862">
        <f ca="1">IF(B1="",'数据-汇总表'!E3,INDIRECT("'数据-取费表'!K"&amp;$K$1)+INDIRECT("'数据-取费表'!S"&amp;$K$1))</f>
        <v>507462.25</v>
      </c>
      <c r="E16" s="52">
        <f>'数据-取费表'!B38</f>
        <v>200</v>
      </c>
      <c r="F16" s="2865"/>
      <c r="G16" s="2830"/>
      <c r="H16" s="2831"/>
      <c r="I16" s="2831"/>
      <c r="J16" s="2831"/>
      <c r="K16" s="2832"/>
      <c r="L16" s="2096"/>
      <c r="M16" s="2096"/>
      <c r="N16" s="2096"/>
      <c r="O16" s="2096">
        <f ca="1">ROUND(B3*N15/10000,0)</f>
        <v>-529</v>
      </c>
      <c r="P16" s="3218"/>
      <c r="Q16" s="2096"/>
      <c r="R16" s="2096"/>
      <c r="S16" s="2096"/>
      <c r="T16" s="2096"/>
      <c r="U16" s="2096"/>
      <c r="V16" s="2096"/>
      <c r="W16" s="2096"/>
      <c r="X16" s="2096"/>
      <c r="Y16" s="2096"/>
      <c r="Z16" s="2096"/>
      <c r="AA16" s="2096"/>
      <c r="AB16" s="2096"/>
      <c r="AC16" s="2096"/>
      <c r="AD16" s="2096"/>
      <c r="AE16" s="2096"/>
    </row>
    <row r="17" spans="1:17" s="2096" customFormat="1" ht="13.5" customHeight="1">
      <c r="A17" s="2860" t="s">
        <v>2066</v>
      </c>
      <c r="B17" s="2861" t="s">
        <v>468</v>
      </c>
      <c r="C17" s="2866">
        <f ca="1">ROUND(C13*F17,0)</f>
        <v>2487</v>
      </c>
      <c r="D17" s="455"/>
      <c r="E17" s="2866"/>
      <c r="F17" s="2867">
        <f>'数据-取费表'!B39</f>
        <v>1.4999999999999999E-2</v>
      </c>
      <c r="G17" s="238" t="s">
        <v>469</v>
      </c>
      <c r="H17" s="2833"/>
      <c r="I17" s="2833"/>
      <c r="J17" s="2833"/>
      <c r="K17" s="256"/>
      <c r="M17" s="3218" t="s">
        <v>3792</v>
      </c>
    </row>
    <row r="18" spans="1:17" s="2096" customFormat="1" ht="13.5" customHeight="1">
      <c r="A18" s="2868" t="s">
        <v>2067</v>
      </c>
      <c r="B18" s="2869" t="s">
        <v>470</v>
      </c>
      <c r="C18" s="2870">
        <f ca="1">SUM(C13:C17)</f>
        <v>187172</v>
      </c>
      <c r="D18" s="2871"/>
      <c r="E18" s="448"/>
      <c r="F18" s="448"/>
      <c r="G18" s="2834" t="s">
        <v>2692</v>
      </c>
      <c r="H18" s="2835"/>
      <c r="I18" s="2835"/>
      <c r="J18" s="2835"/>
      <c r="K18" s="2836"/>
      <c r="M18" s="2096">
        <f>'[3]剩余法-待开发'!$C$6+'[4]剩余法-待开发'!$C$6</f>
        <v>1323249</v>
      </c>
    </row>
    <row r="19" spans="1:17" s="2096" customFormat="1" ht="13.5" customHeight="1">
      <c r="A19" s="2868" t="s">
        <v>2068</v>
      </c>
      <c r="B19" s="2869" t="s">
        <v>471</v>
      </c>
      <c r="C19" s="2826">
        <f ca="1">ROUND(D19*E19/10000,0)</f>
        <v>0</v>
      </c>
      <c r="D19" s="2872">
        <f ca="1">D16</f>
        <v>507462.25</v>
      </c>
      <c r="E19" s="2826">
        <f>'数据-取费表'!B35</f>
        <v>0</v>
      </c>
      <c r="F19" s="448"/>
      <c r="G19" s="2830" t="s">
        <v>472</v>
      </c>
      <c r="H19" s="2831"/>
      <c r="I19" s="2835"/>
      <c r="J19" s="2835"/>
      <c r="K19" s="2836"/>
    </row>
    <row r="20" spans="1:17" s="2096" customFormat="1" ht="13.5" customHeight="1">
      <c r="A20" s="2868" t="s">
        <v>2069</v>
      </c>
      <c r="B20" s="2869" t="s">
        <v>473</v>
      </c>
      <c r="C20" s="2826">
        <f ca="1">C21+C22-IF(B1="",'数据-取费表'!B32,IF(G20="已全部缴纳",C21+C22,H20))</f>
        <v>6272</v>
      </c>
      <c r="D20" s="2872"/>
      <c r="E20" s="2826"/>
      <c r="F20" s="2873"/>
      <c r="G20" s="2846" t="s">
        <v>2927</v>
      </c>
      <c r="H20" s="2828"/>
      <c r="I20" s="2829" t="s">
        <v>2928</v>
      </c>
      <c r="J20" s="2835"/>
      <c r="K20" s="2836"/>
      <c r="M20" s="3218" t="s">
        <v>3793</v>
      </c>
      <c r="O20" s="3218" t="s">
        <v>3795</v>
      </c>
      <c r="Q20" s="3218" t="s">
        <v>3797</v>
      </c>
    </row>
    <row r="21" spans="1:17" s="2096" customFormat="1" ht="13.5" customHeight="1">
      <c r="A21" s="2860" t="s">
        <v>2070</v>
      </c>
      <c r="B21" s="2861" t="s">
        <v>474</v>
      </c>
      <c r="C21" s="52">
        <f ca="1">ROUND(D21*E21/10000,0)</f>
        <v>3540</v>
      </c>
      <c r="D21" s="2862">
        <f ca="1">IF(B1="",'数据-汇总表'!E5,IF(INDIRECT("'数据-取费表'!c"&amp;$K$1)="住宅",INDIRECT("'数据-取费表'!k"&amp;$K$1),0))</f>
        <v>236022.38</v>
      </c>
      <c r="E21" s="52">
        <f>'数据-取费表'!B30</f>
        <v>150</v>
      </c>
      <c r="F21" s="2865"/>
      <c r="G21" s="25"/>
      <c r="H21" s="50"/>
      <c r="I21" s="50"/>
      <c r="J21" s="50"/>
      <c r="K21" s="2837"/>
      <c r="M21" s="2096">
        <f>SUM('[6]剩余法-待开发'!$C$9:$M$9)</f>
        <v>124744.44999999998</v>
      </c>
      <c r="N21" s="2096">
        <v>54</v>
      </c>
      <c r="O21" s="2096">
        <f>[3]结果表!$N$38</f>
        <v>16106</v>
      </c>
      <c r="P21" s="3218" t="s">
        <v>3796</v>
      </c>
      <c r="Q21" s="2096">
        <f>[3]结果表!$G$19</f>
        <v>559167</v>
      </c>
    </row>
    <row r="22" spans="1:17" s="2096" customFormat="1" ht="13.5" customHeight="1">
      <c r="A22" s="2860" t="s">
        <v>2071</v>
      </c>
      <c r="B22" s="2861" t="s">
        <v>475</v>
      </c>
      <c r="C22" s="52">
        <f ca="1">ROUND(D22*E22/10000,0)</f>
        <v>5157</v>
      </c>
      <c r="D22" s="2862">
        <f ca="1">IF(B1="",'数据-汇总表'!E6,IF(INDIRECT("'数据-取费表'!c"&amp;$K$1)="住宅",INDIRECT("'数据-取费表'!s"&amp;$K$1),INDIRECT("'数据-取费表'!k"&amp;$K$1)+INDIRECT("'数据-取费表'!s"&amp;$K$1)))</f>
        <v>271439.87</v>
      </c>
      <c r="E22" s="52">
        <f>'数据-取费表'!B31</f>
        <v>190</v>
      </c>
      <c r="F22" s="2865"/>
      <c r="G22" s="25"/>
      <c r="H22" s="50"/>
      <c r="I22" s="50"/>
      <c r="J22" s="50"/>
      <c r="K22" s="2837"/>
      <c r="M22" s="2096">
        <f>SUM('[7]剩余法-待开发'!$C$9:$M$9)</f>
        <v>288895.8</v>
      </c>
      <c r="N22" s="2096">
        <v>7</v>
      </c>
      <c r="O22" s="2096">
        <f>[4]结果表!$N$38</f>
        <v>18495</v>
      </c>
      <c r="Q22" s="2096">
        <f>[4]结果表!$G$19</f>
        <v>251558</v>
      </c>
    </row>
    <row r="23" spans="1:17" s="2096" customFormat="1" ht="13.5" customHeight="1">
      <c r="A23" s="2868" t="s">
        <v>2072</v>
      </c>
      <c r="B23" s="3037" t="s">
        <v>3121</v>
      </c>
      <c r="C23" s="2870">
        <f ca="1">ROUND((C18+C19+C20)*F23,0)</f>
        <v>1934</v>
      </c>
      <c r="D23" s="448"/>
      <c r="E23" s="448"/>
      <c r="F23" s="2874">
        <f>'数据-取费表'!B40</f>
        <v>0.01</v>
      </c>
      <c r="G23" s="2830" t="s">
        <v>2693</v>
      </c>
      <c r="H23" s="2831"/>
      <c r="I23" s="2831"/>
      <c r="J23" s="2831"/>
      <c r="K23" s="2832"/>
      <c r="L23" s="2098"/>
      <c r="M23" s="2098"/>
      <c r="N23" s="2098"/>
    </row>
    <row r="24" spans="1:17" s="2096" customFormat="1" ht="13.5" customHeight="1">
      <c r="A24" s="2868" t="s">
        <v>2073</v>
      </c>
      <c r="B24" s="3037" t="s">
        <v>3124</v>
      </c>
      <c r="C24" s="2870">
        <f>ROUND(C6*F24,0)</f>
        <v>13864</v>
      </c>
      <c r="D24" s="455"/>
      <c r="E24" s="453"/>
      <c r="F24" s="2874">
        <f>'数据-取费表'!B41</f>
        <v>0.01</v>
      </c>
      <c r="G24" s="2839" t="s">
        <v>482</v>
      </c>
      <c r="H24" s="2833"/>
      <c r="I24" s="2833"/>
      <c r="J24" s="2833"/>
      <c r="K24" s="256"/>
      <c r="L24" s="2098"/>
      <c r="M24" s="3219" t="s">
        <v>3794</v>
      </c>
      <c r="N24" s="2098"/>
      <c r="O24" s="2096">
        <f ca="1">B3</f>
        <v>15955</v>
      </c>
    </row>
    <row r="25" spans="1:17" s="2099" customFormat="1" ht="13.5" customHeight="1">
      <c r="A25" s="2868" t="s">
        <v>2074</v>
      </c>
      <c r="B25" s="3037" t="s">
        <v>3122</v>
      </c>
      <c r="C25" s="447">
        <f>ROUND(F25/(1+'数据-取费表'!B45),4)</f>
        <v>2.9000000000000001E-2</v>
      </c>
      <c r="D25" s="442" t="s">
        <v>3116</v>
      </c>
      <c r="E25" s="449"/>
      <c r="F25" s="2874">
        <f>'数据-取费表'!B51+'数据-取费表'!B52</f>
        <v>3.0499999999999999E-2</v>
      </c>
      <c r="G25" s="2838" t="s">
        <v>2517</v>
      </c>
      <c r="H25" s="2831"/>
      <c r="I25" s="2831"/>
      <c r="J25" s="2831"/>
      <c r="K25" s="2832"/>
      <c r="M25" s="3220">
        <f>SUM(C9:M9)</f>
        <v>507130.39</v>
      </c>
    </row>
    <row r="26" spans="1:17" s="2098" customFormat="1" ht="13.5" customHeight="1">
      <c r="A26" s="2868" t="s">
        <v>2075</v>
      </c>
      <c r="B26" s="3038" t="s">
        <v>3123</v>
      </c>
      <c r="C26" s="2875">
        <f ca="1">C28</f>
        <v>12497</v>
      </c>
      <c r="D26" s="447">
        <f ca="1">C27</f>
        <v>0.12659999999999999</v>
      </c>
      <c r="E26" s="449" t="s">
        <v>478</v>
      </c>
      <c r="F26" s="451">
        <f ca="1">'数据-取费表'!B43</f>
        <v>4.7500000000000001E-2</v>
      </c>
      <c r="G26" s="2584" t="str">
        <f>IF('数据-取费表'!B25&lt;=1,"单利计息。","复利计息。")&amp;"后续开发成本、管理费用及销售费用产生的利息。"</f>
        <v>复利计息。后续开发成本、管理费用及销售费用产生的利息。</v>
      </c>
      <c r="H26" s="2835"/>
      <c r="I26" s="2835"/>
      <c r="J26" s="2835"/>
      <c r="K26" s="2836"/>
    </row>
    <row r="27" spans="1:17" s="2100" customFormat="1" ht="13.5" customHeight="1">
      <c r="A27" s="783" t="s">
        <v>2070</v>
      </c>
      <c r="B27" s="2876" t="s">
        <v>479</v>
      </c>
      <c r="C27" s="2877">
        <f ca="1">ROUND(IF('数据-取费表'!B25&lt;=1,(1+C25)*F26*'数据-取费表'!B27,(1+C25)*(POWER((1+F26),'数据-取费表'!B27)-1)),4)</f>
        <v>0.12659999999999999</v>
      </c>
      <c r="D27" s="452"/>
      <c r="E27" s="453"/>
      <c r="F27" s="454"/>
      <c r="G27" s="2584" t="str">
        <f>IF('数据-取费表'!B25&lt;=1,"（1+取得税费率/(1+5%)）×年利率×建设期","（1+取得税费率）/(1+5%)×((1+年利率)^建设期-1)")</f>
        <v>（1+取得税费率）/(1+5%)×((1+年利率)^建设期-1)</v>
      </c>
      <c r="H27" s="2833"/>
      <c r="I27" s="2833"/>
      <c r="J27" s="2833"/>
      <c r="K27" s="256"/>
      <c r="N27" s="3224" t="s">
        <v>3799</v>
      </c>
      <c r="O27" s="3224" t="s">
        <v>3800</v>
      </c>
    </row>
    <row r="28" spans="1:17" s="2100" customFormat="1" ht="13.5" customHeight="1">
      <c r="A28" s="783" t="s">
        <v>2071</v>
      </c>
      <c r="B28" s="2876" t="s">
        <v>3125</v>
      </c>
      <c r="C28" s="2878">
        <f ca="1">ROUND(IF('数据-取费表'!B25&lt;=1,(C18+C19+C20+C23+C24)*F26*'数据-取费表'!B27/2,(C18+C19+C20+C23+C24)*(POWER((1+F26),'数据-取费表'!B27/2)-1)),0)</f>
        <v>12497</v>
      </c>
      <c r="D28" s="452"/>
      <c r="E28" s="453"/>
      <c r="F28" s="454"/>
      <c r="G28" s="2584" t="str">
        <f>IF('数据-取费表'!B25&lt;=1,"（1）-（4）项×年利率×建设期÷2","（1）-（4）项×((1+年利率)^(建设期÷2)-1)")</f>
        <v>（1）-（4）项×((1+年利率)^(建设期÷2)-1)</v>
      </c>
      <c r="H28" s="2833"/>
      <c r="I28" s="2833"/>
      <c r="J28" s="2833"/>
      <c r="K28" s="256"/>
      <c r="M28" s="3221" t="s">
        <v>3285</v>
      </c>
      <c r="N28" s="3222">
        <v>50516.38</v>
      </c>
      <c r="O28" s="3223">
        <v>55000</v>
      </c>
    </row>
    <row r="29" spans="1:17" s="2100" customFormat="1" ht="13.5" customHeight="1">
      <c r="A29" s="2879" t="s">
        <v>2076</v>
      </c>
      <c r="B29" s="2869" t="s">
        <v>480</v>
      </c>
      <c r="C29" s="2870">
        <f>ROUND(C6*F29/(1+'数据-取费表'!B45),0)</f>
        <v>72619</v>
      </c>
      <c r="D29" s="448"/>
      <c r="E29" s="448"/>
      <c r="F29" s="3039">
        <f>'数据-取费表'!B45+'数据-取费表'!B46</f>
        <v>5.5000000000000007E-2</v>
      </c>
      <c r="G29" s="2839" t="s">
        <v>481</v>
      </c>
      <c r="H29" s="2831"/>
      <c r="I29" s="2831"/>
      <c r="J29" s="2831"/>
      <c r="K29" s="2832"/>
      <c r="M29" s="3221" t="s">
        <v>3287</v>
      </c>
      <c r="N29" s="3222">
        <v>86540.959999999992</v>
      </c>
      <c r="O29" s="3223">
        <v>74999.942891995059</v>
      </c>
    </row>
    <row r="30" spans="1:17" s="2101" customFormat="1" ht="13.5" customHeight="1">
      <c r="A30" s="1616" t="s">
        <v>2077</v>
      </c>
      <c r="B30" s="2880" t="s">
        <v>483</v>
      </c>
      <c r="C30" s="2875">
        <f ca="1">C31</f>
        <v>294358</v>
      </c>
      <c r="D30" s="457">
        <f ca="1">C32</f>
        <v>0.15559999999999999</v>
      </c>
      <c r="E30" s="449" t="s">
        <v>478</v>
      </c>
      <c r="F30" s="451"/>
      <c r="G30" s="2830" t="s">
        <v>484</v>
      </c>
      <c r="H30" s="2831"/>
      <c r="I30" s="2831"/>
      <c r="J30" s="2831"/>
      <c r="K30" s="2832"/>
      <c r="M30" s="3221" t="s">
        <v>3191</v>
      </c>
      <c r="N30" s="3222">
        <v>36582</v>
      </c>
      <c r="O30" s="3223">
        <v>19999.726641517685</v>
      </c>
    </row>
    <row r="31" spans="1:17" s="2100" customFormat="1" ht="13.5" customHeight="1">
      <c r="A31" s="783" t="s">
        <v>2070</v>
      </c>
      <c r="B31" s="2876"/>
      <c r="C31" s="430">
        <f ca="1">C18+C19+C20+C23+C24+C26+C29</f>
        <v>294358</v>
      </c>
      <c r="D31" s="452"/>
      <c r="E31" s="453"/>
      <c r="F31" s="454"/>
      <c r="G31" s="238"/>
      <c r="H31" s="2833"/>
      <c r="I31" s="2833"/>
      <c r="J31" s="2833"/>
      <c r="K31" s="256"/>
      <c r="M31" s="3221" t="s">
        <v>3288</v>
      </c>
      <c r="N31" s="3222">
        <v>27398</v>
      </c>
      <c r="O31" s="3223">
        <v>70000</v>
      </c>
    </row>
    <row r="32" spans="1:17" s="2100" customFormat="1" ht="13.5" customHeight="1">
      <c r="A32" s="783" t="s">
        <v>2071</v>
      </c>
      <c r="B32" s="2876"/>
      <c r="C32" s="52">
        <f ca="1">ROUND(C25+D26,4)</f>
        <v>0.15559999999999999</v>
      </c>
      <c r="D32" s="452"/>
      <c r="E32" s="453"/>
      <c r="F32" s="454"/>
      <c r="G32" s="238"/>
      <c r="H32" s="2833"/>
      <c r="I32" s="2833"/>
      <c r="J32" s="2833"/>
      <c r="K32" s="256"/>
      <c r="M32" s="3221" t="s">
        <v>3289</v>
      </c>
      <c r="N32" s="3222">
        <v>94087.07</v>
      </c>
      <c r="O32" s="3223">
        <v>6500</v>
      </c>
    </row>
    <row r="33" spans="1:15" s="2102" customFormat="1" ht="13.5" customHeight="1">
      <c r="A33" s="3036" t="s">
        <v>3120</v>
      </c>
      <c r="B33" s="3034" t="s">
        <v>3118</v>
      </c>
      <c r="C33" s="458">
        <f ca="1">C35</f>
        <v>31386</v>
      </c>
      <c r="D33" s="447">
        <f ca="1">C34</f>
        <v>0.15440000000000001</v>
      </c>
      <c r="E33" s="449" t="s">
        <v>478</v>
      </c>
      <c r="F33" s="459">
        <f ca="1">IF(B1="",'数据-取费表'!Q19,INDIRECT("'数据-取费表'!q"&amp;$K$1))</f>
        <v>0.15</v>
      </c>
      <c r="G33" s="2834"/>
      <c r="H33" s="2835"/>
      <c r="I33" s="2835"/>
      <c r="J33" s="2835"/>
      <c r="K33" s="2836"/>
      <c r="M33" s="3221" t="s">
        <v>3798</v>
      </c>
      <c r="N33" s="3222">
        <v>1153</v>
      </c>
      <c r="O33" s="3223">
        <v>300000</v>
      </c>
    </row>
    <row r="34" spans="1:15" s="2103" customFormat="1" ht="13.5" customHeight="1">
      <c r="A34" s="355" t="s">
        <v>2070</v>
      </c>
      <c r="B34" s="2881" t="s">
        <v>485</v>
      </c>
      <c r="C34" s="452">
        <f ca="1">ROUND((1+C25)*F33,4)</f>
        <v>0.15440000000000001</v>
      </c>
      <c r="D34" s="452"/>
      <c r="E34" s="453"/>
      <c r="F34" s="460"/>
      <c r="G34" s="238" t="s">
        <v>2518</v>
      </c>
      <c r="H34" s="2833"/>
      <c r="I34" s="2833"/>
      <c r="J34" s="2833"/>
      <c r="K34" s="256"/>
    </row>
    <row r="35" spans="1:15" s="2103" customFormat="1" ht="13.5" customHeight="1" thickBot="1">
      <c r="A35" s="1617" t="s">
        <v>2071</v>
      </c>
      <c r="B35" s="3035" t="s">
        <v>3126</v>
      </c>
      <c r="C35" s="1609">
        <f ca="1">ROUND((C18+C19+C20+C23+C24)*F33,0)</f>
        <v>31386</v>
      </c>
      <c r="D35" s="1610"/>
      <c r="E35" s="2882"/>
      <c r="F35" s="1611"/>
      <c r="G35" s="2840"/>
      <c r="H35" s="2841"/>
      <c r="I35" s="2841"/>
      <c r="J35" s="2841"/>
      <c r="K35" s="2842"/>
    </row>
    <row r="36" spans="1:15" s="2062" customFormat="1" ht="13.5" customHeight="1" thickBot="1">
      <c r="A36" s="261" t="s">
        <v>2058</v>
      </c>
      <c r="B36" s="2844"/>
      <c r="C36" s="2883">
        <f ca="1">ROUND((C6-C30-C33)/(1+D30+D33),0)</f>
        <v>809635</v>
      </c>
      <c r="D36" s="2844"/>
      <c r="E36" s="2844"/>
      <c r="F36" s="2844"/>
      <c r="G36" s="2843" t="s">
        <v>3127</v>
      </c>
      <c r="H36" s="2844"/>
      <c r="I36" s="2844"/>
      <c r="J36" s="2844"/>
      <c r="K36" s="2845"/>
    </row>
    <row r="38" spans="1:15" ht="12.75" customHeight="1"/>
  </sheetData>
  <sheetProtection formatCells="0" formatColumns="0" formatRows="0"/>
  <phoneticPr fontId="15" type="noConversion"/>
  <dataValidations count="2">
    <dataValidation type="list" allowBlank="1" showInputMessage="1" showErrorMessage="1" sqref="C7:M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2115</v>
      </c>
      <c r="B36" s="1635" t="s">
        <v>2116</v>
      </c>
    </row>
    <row r="37" spans="1:9" ht="28.5" customHeight="1">
      <c r="A37" s="1635"/>
      <c r="B37" s="3229" t="str">
        <f>项目基本情况!B1</f>
        <v>北京市07出让国有建设用地使用权抵押价格预评估</v>
      </c>
      <c r="C37" s="3229"/>
      <c r="D37" s="3229"/>
      <c r="E37" s="3229"/>
      <c r="F37" s="3229"/>
      <c r="G37" s="3229"/>
      <c r="H37" s="3229"/>
      <c r="I37" s="3229"/>
    </row>
    <row r="38" spans="1:9">
      <c r="A38" s="1637"/>
      <c r="B38" s="1637"/>
    </row>
    <row r="39" spans="1:9">
      <c r="A39" s="1635" t="s">
        <v>2115</v>
      </c>
      <c r="B39" s="1635" t="s">
        <v>2270</v>
      </c>
    </row>
    <row r="40" spans="1:9">
      <c r="A40" s="1635"/>
      <c r="B40" s="1635" t="str">
        <f>项目基本情况!B5</f>
        <v>交通银行北分</v>
      </c>
    </row>
    <row r="41" spans="1:9">
      <c r="A41" s="1635"/>
      <c r="B41" s="1635"/>
    </row>
    <row r="42" spans="1:9">
      <c r="A42" s="1635" t="s">
        <v>2115</v>
      </c>
      <c r="B42" s="1635" t="s">
        <v>2271</v>
      </c>
    </row>
    <row r="43" spans="1:9">
      <c r="A43" s="1635"/>
      <c r="B43" s="1635" t="s">
        <v>2117</v>
      </c>
    </row>
    <row r="44" spans="1:9">
      <c r="A44" s="1635"/>
      <c r="B44" s="1635"/>
    </row>
    <row r="45" spans="1:9">
      <c r="A45" s="1635" t="s">
        <v>2115</v>
      </c>
      <c r="B45" s="1635" t="s">
        <v>2269</v>
      </c>
    </row>
    <row r="46" spans="1:9" s="1635" customFormat="1" ht="12.75">
      <c r="B46" s="1635" t="str">
        <f>项目基本情况!K4</f>
        <v>欧红伟、梁津</v>
      </c>
    </row>
    <row r="47" spans="1:9">
      <c r="A47" s="1635"/>
      <c r="B47" s="1635"/>
    </row>
    <row r="48" spans="1:9">
      <c r="A48" s="1635" t="s">
        <v>2115</v>
      </c>
      <c r="B48" s="1635" t="s">
        <v>2272</v>
      </c>
    </row>
    <row r="49" spans="2:2">
      <c r="B49" s="1635"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17" customFormat="1" ht="20.25">
      <c r="A1" s="401" t="s">
        <v>449</v>
      </c>
      <c r="B1" s="2827"/>
      <c r="C1" s="2084"/>
      <c r="D1" s="2084"/>
      <c r="E1" s="2084"/>
      <c r="F1" s="2084"/>
      <c r="G1" s="2084"/>
      <c r="H1" s="2084"/>
      <c r="I1" s="2084"/>
      <c r="J1" s="2084"/>
      <c r="K1" s="402" t="e">
        <f>MATCH(B1,'数据-取费表'!A6:A19,0)+5</f>
        <v>#N/A</v>
      </c>
    </row>
    <row r="2" spans="1:41" s="2017" customFormat="1" ht="18" customHeight="1">
      <c r="A2" s="403" t="s">
        <v>450</v>
      </c>
      <c r="B2" s="404">
        <f ca="1">C32</f>
        <v>72235.905760951995</v>
      </c>
      <c r="C2" s="2084"/>
      <c r="D2" s="2084"/>
      <c r="E2" s="2084"/>
      <c r="F2" s="2084"/>
      <c r="G2" s="2084"/>
      <c r="H2" s="2084"/>
      <c r="I2" s="2084"/>
      <c r="J2" s="2084"/>
      <c r="K2" s="2084"/>
    </row>
    <row r="3" spans="1:41" s="2017" customFormat="1" ht="18" customHeight="1">
      <c r="A3" s="1360" t="s">
        <v>1893</v>
      </c>
      <c r="B3" s="405">
        <f ca="1">ROUND(B2*10000/IF(B1="",'数据-汇总表'!E3,INDIRECT("'数据-取费表'!K"&amp;$K$1)),0)</f>
        <v>1423</v>
      </c>
      <c r="C3" s="2084"/>
      <c r="D3" s="2084"/>
      <c r="E3" s="2084"/>
      <c r="F3" s="2084"/>
      <c r="G3" s="2084"/>
      <c r="H3" s="2084"/>
      <c r="I3" s="2084"/>
      <c r="J3" s="2084"/>
      <c r="K3" s="2084"/>
    </row>
    <row r="4" spans="1:41" s="2017" customFormat="1" ht="18" customHeight="1">
      <c r="A4" s="406" t="s">
        <v>451</v>
      </c>
      <c r="B4" s="407">
        <f ca="1">ROUND(B2*10000/IF(B1="",'数据-汇总表'!D3,INDIRECT("'数据-取费表'!R"&amp;$K$1)),0)</f>
        <v>6335</v>
      </c>
      <c r="C4" s="2038"/>
      <c r="D4" s="2084"/>
      <c r="E4" s="2084"/>
      <c r="F4" s="2084"/>
      <c r="G4" s="2084"/>
      <c r="H4" s="2084"/>
      <c r="I4" s="2084"/>
      <c r="J4" s="2084"/>
      <c r="K4" s="2084"/>
    </row>
    <row r="5" spans="1:41" s="2017" customFormat="1" ht="18" customHeight="1" thickBot="1">
      <c r="A5" s="409"/>
      <c r="B5" s="410">
        <f ca="1">ROUND(B2/(IF(B1="",'数据-汇总表'!D3,INDIRECT("'数据-取费表'!R"&amp;$K$1))/666.67),0)</f>
        <v>422</v>
      </c>
      <c r="C5" s="411" t="s">
        <v>452</v>
      </c>
      <c r="D5" s="2084"/>
      <c r="E5" s="2084"/>
      <c r="F5" s="2084"/>
      <c r="G5" s="2084"/>
      <c r="H5" s="2084"/>
      <c r="I5" s="2084"/>
      <c r="J5" s="2084"/>
      <c r="K5" s="2084"/>
    </row>
    <row r="6" spans="1:41" s="2091" customFormat="1" ht="16.5" customHeight="1">
      <c r="A6" s="412" t="s">
        <v>2929</v>
      </c>
      <c r="B6" s="413"/>
      <c r="C6" s="1604">
        <f>SUM(C10:K10)</f>
        <v>100000</v>
      </c>
      <c r="D6" s="2089"/>
      <c r="E6" s="2089"/>
      <c r="F6" s="2089"/>
      <c r="G6" s="2089"/>
      <c r="H6" s="2089"/>
      <c r="I6" s="2089"/>
      <c r="J6" s="2089"/>
      <c r="K6" s="2090"/>
    </row>
    <row r="7" spans="1:41" s="2093" customFormat="1" ht="15">
      <c r="A7" s="414" t="s">
        <v>453</v>
      </c>
      <c r="B7" s="415" t="s">
        <v>454</v>
      </c>
      <c r="C7" s="416" t="s">
        <v>1117</v>
      </c>
      <c r="D7" s="416"/>
      <c r="E7" s="416"/>
      <c r="F7" s="416"/>
      <c r="G7" s="416"/>
      <c r="H7" s="416"/>
      <c r="I7" s="416"/>
      <c r="J7" s="416"/>
      <c r="K7" s="417"/>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2" t="s">
        <v>2059</v>
      </c>
      <c r="B8" s="418" t="s">
        <v>455</v>
      </c>
      <c r="C8" s="419">
        <v>20000</v>
      </c>
      <c r="D8" s="419"/>
      <c r="E8" s="419"/>
      <c r="F8" s="419"/>
      <c r="G8" s="419"/>
      <c r="H8" s="419"/>
      <c r="I8" s="419"/>
      <c r="J8" s="419"/>
      <c r="K8" s="420"/>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2" t="s">
        <v>2060</v>
      </c>
      <c r="B9" s="418" t="s">
        <v>456</v>
      </c>
      <c r="C9" s="421">
        <f>SUMIF('数据-汇总表'!$C19:$C36,'剩余法-现房'!C7,'数据-汇总表'!$E19:$E36)</f>
        <v>0</v>
      </c>
      <c r="D9" s="421">
        <f>SUMIF('数据-汇总表'!$C19:$C36,'剩余法-现房'!D7,'数据-汇总表'!$E19:$E36)</f>
        <v>0</v>
      </c>
      <c r="E9" s="421">
        <f>SUMIF('数据-汇总表'!$C19:$C36,'剩余法-现房'!E7,'数据-汇总表'!$E19:$E36)</f>
        <v>0</v>
      </c>
      <c r="F9" s="421">
        <f>SUMIF('数据-汇总表'!$C19:$C36,'剩余法-现房'!F7,'数据-汇总表'!$E19:$E36)</f>
        <v>0</v>
      </c>
      <c r="G9" s="421">
        <f>SUMIF('数据-汇总表'!$C19:$C36,'剩余法-现房'!G7,'数据-汇总表'!$E19:$E36)</f>
        <v>0</v>
      </c>
      <c r="H9" s="421">
        <f>SUMIF('数据-汇总表'!$C19:$C36,'剩余法-现房'!H7,'数据-汇总表'!$E19:$E36)</f>
        <v>0</v>
      </c>
      <c r="I9" s="421">
        <f>SUMIF('数据-汇总表'!$C19:$C36,'剩余法-现房'!I7,'数据-汇总表'!$E19:$E36)</f>
        <v>0</v>
      </c>
      <c r="J9" s="421">
        <f>SUMIF('数据-汇总表'!$C19:$C36,'剩余法-现房'!J7,'数据-汇总表'!$E19:$E36)</f>
        <v>0</v>
      </c>
      <c r="K9" s="422">
        <f>SUMIF('数据-汇总表'!$C19:$C36,'剩余法-现房'!K7,'数据-汇总表'!$E19:$E36)</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3" t="s">
        <v>2061</v>
      </c>
      <c r="B10" s="1605" t="s">
        <v>457</v>
      </c>
      <c r="C10" s="1606">
        <v>100000</v>
      </c>
      <c r="D10" s="1606"/>
      <c r="E10" s="1606"/>
      <c r="F10" s="1607"/>
      <c r="G10" s="1607"/>
      <c r="H10" s="1607"/>
      <c r="I10" s="1607"/>
      <c r="J10" s="1607"/>
      <c r="K10" s="1608"/>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1" t="s">
        <v>2078</v>
      </c>
      <c r="B11" s="1602"/>
      <c r="C11" s="1602"/>
      <c r="D11" s="1602"/>
      <c r="E11" s="1602"/>
      <c r="F11" s="1602"/>
      <c r="G11" s="1602"/>
      <c r="H11" s="1602"/>
      <c r="I11" s="1602"/>
      <c r="J11" s="1602"/>
      <c r="K11" s="1603"/>
    </row>
    <row r="12" spans="1:41" s="2062" customFormat="1" ht="13.5" customHeight="1">
      <c r="A12" s="414" t="s">
        <v>453</v>
      </c>
      <c r="B12" s="424" t="s">
        <v>454</v>
      </c>
      <c r="C12" s="425" t="s">
        <v>458</v>
      </c>
      <c r="D12" s="426" t="s">
        <v>459</v>
      </c>
      <c r="E12" s="426" t="s">
        <v>460</v>
      </c>
      <c r="F12" s="426" t="s">
        <v>461</v>
      </c>
      <c r="G12" s="424"/>
      <c r="H12" s="427"/>
      <c r="I12" s="427"/>
      <c r="J12" s="427"/>
      <c r="K12" s="428"/>
    </row>
    <row r="13" spans="1:41" s="2096" customFormat="1" ht="13.5" customHeight="1">
      <c r="A13" s="1614" t="s">
        <v>2062</v>
      </c>
      <c r="B13" s="429" t="s">
        <v>462</v>
      </c>
      <c r="C13" s="430">
        <f ca="1">IF(B1="",'数据-取费表'!M19,INDIRECT("'数据-取费表'!M"&amp;$K$1)+INDIRECT("'数据-取费表'!t"&amp;$K$1))</f>
        <v>165803</v>
      </c>
      <c r="D13" s="431"/>
      <c r="E13" s="345"/>
      <c r="F13" s="432"/>
      <c r="G13" s="424"/>
      <c r="H13" s="427"/>
      <c r="I13" s="427"/>
      <c r="J13" s="427"/>
      <c r="K13" s="428"/>
    </row>
    <row r="14" spans="1:41" s="2096" customFormat="1" ht="13.5" customHeight="1">
      <c r="A14" s="1614" t="s">
        <v>2063</v>
      </c>
      <c r="B14" s="429" t="s">
        <v>463</v>
      </c>
      <c r="C14" s="52">
        <f ca="1">ROUND(C13*F14,0)</f>
        <v>4974</v>
      </c>
      <c r="D14" s="431"/>
      <c r="E14" s="345"/>
      <c r="F14" s="433">
        <f>'数据-取费表'!B36</f>
        <v>0.03</v>
      </c>
      <c r="G14" s="424" t="s">
        <v>486</v>
      </c>
      <c r="H14" s="427"/>
      <c r="I14" s="427"/>
      <c r="J14" s="427"/>
      <c r="K14" s="428"/>
    </row>
    <row r="15" spans="1:41" s="2096" customFormat="1" ht="13.5" customHeight="1">
      <c r="A15" s="1614" t="s">
        <v>2064</v>
      </c>
      <c r="B15" s="429" t="s">
        <v>465</v>
      </c>
      <c r="C15" s="52">
        <f ca="1">ROUND(IF(B1="",SUMIF('数据-取费表'!C:C,"住宅",'数据-取费表'!M:M)*F15,IF(INDIRECT("'数据-取费表'!c"&amp;$K$1)="住宅",INDIRECT("'数据-取费表'!M"&amp;$K$1)*F15,0)),0)</f>
        <v>3759</v>
      </c>
      <c r="D15" s="431"/>
      <c r="E15" s="345"/>
      <c r="F15" s="433">
        <f>'数据-取费表'!B37</f>
        <v>0.05</v>
      </c>
      <c r="G15" s="424" t="s">
        <v>486</v>
      </c>
      <c r="H15" s="427"/>
      <c r="I15" s="427"/>
      <c r="J15" s="427"/>
      <c r="K15" s="428"/>
    </row>
    <row r="16" spans="1:41" s="2097" customFormat="1" ht="13.5" customHeight="1">
      <c r="A16" s="1614" t="s">
        <v>2065</v>
      </c>
      <c r="B16" s="429" t="s">
        <v>467</v>
      </c>
      <c r="C16" s="52">
        <f ca="1">ROUND(D16*E16/10000,0)</f>
        <v>10149</v>
      </c>
      <c r="D16" s="431">
        <f ca="1">IF(B1="",'数据-汇总表'!E3,INDIRECT("'数据-取费表'!K"&amp;$K$1)+INDIRECT("'数据-取费表'!S"&amp;$K$1))</f>
        <v>507462.25</v>
      </c>
      <c r="E16" s="52">
        <f>'数据-取费表'!B38</f>
        <v>200</v>
      </c>
      <c r="F16" s="433"/>
      <c r="G16" s="424"/>
      <c r="H16" s="427"/>
      <c r="I16" s="427"/>
      <c r="J16" s="427"/>
      <c r="K16" s="428"/>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4" t="s">
        <v>2066</v>
      </c>
      <c r="B17" s="429" t="s">
        <v>468</v>
      </c>
      <c r="C17" s="434">
        <f ca="1">ROUND(C13*F17,0)</f>
        <v>2487</v>
      </c>
      <c r="D17" s="435"/>
      <c r="E17" s="434"/>
      <c r="F17" s="436">
        <f>'数据-取费表'!B39</f>
        <v>1.4999999999999999E-2</v>
      </c>
      <c r="G17" s="424" t="s">
        <v>486</v>
      </c>
      <c r="H17" s="437"/>
      <c r="I17" s="437"/>
      <c r="J17" s="437"/>
      <c r="K17" s="438"/>
    </row>
    <row r="18" spans="1:14" s="2099" customFormat="1" ht="13.5" customHeight="1">
      <c r="A18" s="1615" t="s">
        <v>2067</v>
      </c>
      <c r="B18" s="439" t="s">
        <v>470</v>
      </c>
      <c r="C18" s="440">
        <f ca="1">SUM(C13:C17)</f>
        <v>187172</v>
      </c>
      <c r="D18" s="441"/>
      <c r="E18" s="442"/>
      <c r="F18" s="442"/>
      <c r="G18" s="1312" t="s">
        <v>2694</v>
      </c>
      <c r="H18" s="427"/>
      <c r="I18" s="427"/>
      <c r="J18" s="427"/>
      <c r="K18" s="428"/>
    </row>
    <row r="19" spans="1:14" s="2099" customFormat="1" ht="13.5" customHeight="1">
      <c r="A19" s="1615" t="s">
        <v>2068</v>
      </c>
      <c r="B19" s="439" t="s">
        <v>476</v>
      </c>
      <c r="C19" s="440">
        <f ca="1">ROUND(C18*F19,0)</f>
        <v>1872</v>
      </c>
      <c r="D19" s="442"/>
      <c r="E19" s="442"/>
      <c r="F19" s="446">
        <f>'数据-取费表'!B40</f>
        <v>0.01</v>
      </c>
      <c r="G19" s="424" t="s">
        <v>487</v>
      </c>
      <c r="H19" s="427"/>
      <c r="I19" s="427"/>
      <c r="J19" s="427"/>
      <c r="K19" s="428"/>
      <c r="L19" s="2101"/>
      <c r="M19" s="2101"/>
      <c r="N19" s="2101"/>
    </row>
    <row r="20" spans="1:14" s="2099" customFormat="1" ht="13.5" customHeight="1">
      <c r="A20" s="1615" t="s">
        <v>2069</v>
      </c>
      <c r="B20" s="439" t="s">
        <v>488</v>
      </c>
      <c r="C20" s="3032">
        <f>F20</f>
        <v>0.01</v>
      </c>
      <c r="D20" s="449" t="s">
        <v>489</v>
      </c>
      <c r="E20" s="449"/>
      <c r="F20" s="466">
        <f>'数据-取费表'!B41</f>
        <v>0.01</v>
      </c>
      <c r="G20" s="1312" t="s">
        <v>490</v>
      </c>
      <c r="H20" s="427"/>
      <c r="I20" s="427"/>
      <c r="J20" s="427"/>
      <c r="K20" s="428"/>
      <c r="L20" s="2101"/>
      <c r="M20" s="2101"/>
      <c r="N20" s="2101"/>
    </row>
    <row r="21" spans="1:14" s="2101" customFormat="1" ht="13.5" customHeight="1">
      <c r="A21" s="1615" t="s">
        <v>2072</v>
      </c>
      <c r="B21" s="441" t="s">
        <v>477</v>
      </c>
      <c r="C21" s="450">
        <f ca="1">C22</f>
        <v>11290</v>
      </c>
      <c r="D21" s="447">
        <f ca="1">C23</f>
        <v>5.9999999999999995E-4</v>
      </c>
      <c r="E21" s="449" t="s">
        <v>491</v>
      </c>
      <c r="F21" s="451">
        <f ca="1">'数据-取费表'!B43</f>
        <v>4.7500000000000001E-2</v>
      </c>
      <c r="G21" s="1312" t="str">
        <f>IF('数据-取费表'!B25&lt;=1,"单利计息。","复利计息。")&amp;"建造成本、管理费用及销售费用产生的利息。"</f>
        <v>复利计息。建造成本、管理费用及销售费用产生的利息。</v>
      </c>
      <c r="H21" s="427"/>
      <c r="I21" s="427"/>
      <c r="J21" s="427"/>
      <c r="K21" s="428"/>
      <c r="L21" s="2098" t="s">
        <v>2716</v>
      </c>
    </row>
    <row r="22" spans="1:14" s="2100" customFormat="1" ht="13.5" customHeight="1">
      <c r="A22" s="1614" t="s">
        <v>2062</v>
      </c>
      <c r="B22" s="1313" t="s">
        <v>2697</v>
      </c>
      <c r="C22" s="467">
        <f ca="1">ROUND(IF('数据-取费表'!B25&lt;=1,(C18+C19)*F21*'数据-取费表'!B23/2,(C18+C19)*(POWER((1+F21),'数据-取费表'!B23/2)-1)),0)</f>
        <v>11290</v>
      </c>
      <c r="D22" s="452"/>
      <c r="E22" s="453"/>
      <c r="F22" s="454"/>
      <c r="G22" s="2579" t="str">
        <f>IF('数据-取费表'!B25&lt;=1,"((1)+(2))×年利率×建设期÷2","((1)+(2))×((1+年利率)^(建设期÷2)-1)")</f>
        <v>((1)+(2))×((1+年利率)^(建设期÷2)-1)</v>
      </c>
      <c r="H22" s="437"/>
      <c r="I22" s="437"/>
      <c r="J22" s="437"/>
      <c r="K22" s="438"/>
    </row>
    <row r="23" spans="1:14" s="2100" customFormat="1" ht="13.5" customHeight="1">
      <c r="A23" s="1614" t="s">
        <v>2063</v>
      </c>
      <c r="B23" s="1313" t="s">
        <v>492</v>
      </c>
      <c r="C23" s="468">
        <f ca="1">ROUND(IF('数据-取费表'!B25&lt;=1,F20*F21*'数据-取费表'!B23/2,F20*(POWER((1+F21),'数据-取费表'!B23/2)-1)),4)</f>
        <v>5.9999999999999995E-4</v>
      </c>
      <c r="D23" s="452"/>
      <c r="E23" s="453"/>
      <c r="F23" s="454"/>
      <c r="G23" s="2579" t="str">
        <f>IF('数据-取费表'!B25&lt;=1,"销售费用率×年利率×建设期÷2","销售费用率×((1+年利率)^(建设期÷2)-1)")</f>
        <v>销售费用率×((1+年利率)^(建设期÷2)-1)</v>
      </c>
      <c r="H23" s="437"/>
      <c r="I23" s="437"/>
      <c r="J23" s="437"/>
      <c r="K23" s="438"/>
    </row>
    <row r="24" spans="1:14" s="2100" customFormat="1" ht="13.5" customHeight="1">
      <c r="A24" s="1615" t="s">
        <v>2073</v>
      </c>
      <c r="B24" s="3034" t="s">
        <v>3119</v>
      </c>
      <c r="C24" s="458">
        <f ca="1">C25</f>
        <v>28357</v>
      </c>
      <c r="D24" s="469">
        <f ca="1">C26</f>
        <v>1.5E-3</v>
      </c>
      <c r="E24" s="449" t="s">
        <v>491</v>
      </c>
      <c r="F24" s="459">
        <f ca="1">IF(B1="",'数据-取费表'!Q19,INDIRECT("'数据-取费表'!q"&amp;$K$1))</f>
        <v>0.15</v>
      </c>
      <c r="G24" s="424"/>
      <c r="H24" s="427"/>
      <c r="I24" s="427"/>
      <c r="J24" s="427"/>
      <c r="K24" s="428"/>
    </row>
    <row r="25" spans="1:14" s="2100" customFormat="1" ht="13.5" customHeight="1">
      <c r="A25" s="1614" t="s">
        <v>2062</v>
      </c>
      <c r="B25" s="1313" t="s">
        <v>2698</v>
      </c>
      <c r="C25" s="470">
        <f ca="1">ROUND((C18+C19)*F24,0)</f>
        <v>28357</v>
      </c>
      <c r="D25" s="452"/>
      <c r="E25" s="453"/>
      <c r="F25" s="460"/>
      <c r="G25" s="1311" t="s">
        <v>2695</v>
      </c>
      <c r="H25" s="437"/>
      <c r="I25" s="437"/>
      <c r="J25" s="437"/>
      <c r="K25" s="438"/>
    </row>
    <row r="26" spans="1:14" s="2100" customFormat="1" ht="13.5" customHeight="1">
      <c r="A26" s="1614" t="s">
        <v>2063</v>
      </c>
      <c r="B26" s="1313" t="s">
        <v>493</v>
      </c>
      <c r="C26" s="471">
        <f ca="1">ROUND(F20*F24,4)</f>
        <v>1.5E-3</v>
      </c>
      <c r="D26" s="452"/>
      <c r="E26" s="461"/>
      <c r="F26" s="460"/>
      <c r="G26" s="1311" t="s">
        <v>494</v>
      </c>
      <c r="H26" s="437"/>
      <c r="I26" s="437"/>
      <c r="J26" s="437"/>
      <c r="K26" s="438"/>
    </row>
    <row r="27" spans="1:14" s="2100" customFormat="1" ht="13.5" customHeight="1">
      <c r="A27" s="1618" t="s">
        <v>2081</v>
      </c>
      <c r="B27" s="439" t="s">
        <v>495</v>
      </c>
      <c r="C27" s="3033">
        <f>ROUND(F27/(1+'数据-取费表'!B45),4)</f>
        <v>5.2400000000000002E-2</v>
      </c>
      <c r="D27" s="442" t="s">
        <v>3117</v>
      </c>
      <c r="E27" s="442"/>
      <c r="F27" s="446">
        <f>'数据-取费表'!B44</f>
        <v>5.5000000000000007E-2</v>
      </c>
      <c r="G27" s="1935" t="s">
        <v>2519</v>
      </c>
      <c r="H27" s="427"/>
      <c r="I27" s="427"/>
      <c r="J27" s="427"/>
      <c r="K27" s="428"/>
    </row>
    <row r="28" spans="1:14" s="2101" customFormat="1" ht="13.5" customHeight="1">
      <c r="A28" s="1618" t="s">
        <v>2082</v>
      </c>
      <c r="B28" s="456" t="s">
        <v>496</v>
      </c>
      <c r="C28" s="450">
        <f ca="1">ROUND((C18+C19+C21+C24)/(1-C20-D21-D24-C27),0)</f>
        <v>244459</v>
      </c>
      <c r="D28" s="457"/>
      <c r="E28" s="449"/>
      <c r="F28" s="451"/>
      <c r="G28" s="1312" t="s">
        <v>2696</v>
      </c>
      <c r="H28" s="427"/>
      <c r="I28" s="427"/>
      <c r="J28" s="427"/>
      <c r="K28" s="428"/>
    </row>
    <row r="29" spans="1:14" s="2101" customFormat="1" ht="13.5" customHeight="1">
      <c r="A29" s="1618" t="s">
        <v>2083</v>
      </c>
      <c r="B29" s="456" t="s">
        <v>497</v>
      </c>
      <c r="C29" s="472">
        <f ca="1">IF(B1="",'数据-取费表'!N19,INDIRECT("'数据-取费表'!N"&amp;$K$1))</f>
        <v>0</v>
      </c>
      <c r="D29" s="473"/>
      <c r="E29" s="474"/>
      <c r="F29" s="475"/>
      <c r="G29" s="424"/>
      <c r="H29" s="427"/>
      <c r="I29" s="427"/>
      <c r="J29" s="427"/>
      <c r="K29" s="428"/>
    </row>
    <row r="30" spans="1:14" s="2101" customFormat="1" ht="13.5" customHeight="1">
      <c r="A30" s="423">
        <v>2</v>
      </c>
      <c r="B30" s="456" t="s">
        <v>498</v>
      </c>
      <c r="C30" s="477">
        <f ca="1">ROUND(C28*C29,0)</f>
        <v>0</v>
      </c>
      <c r="D30" s="473"/>
      <c r="E30" s="478"/>
      <c r="F30" s="479"/>
      <c r="G30" s="1314" t="s">
        <v>499</v>
      </c>
      <c r="H30" s="476"/>
      <c r="I30" s="476"/>
      <c r="J30" s="427"/>
      <c r="K30" s="428"/>
    </row>
    <row r="31" spans="1:14" s="2106" customFormat="1" ht="13.5" customHeight="1">
      <c r="A31" s="2494" t="s">
        <v>2079</v>
      </c>
      <c r="B31" s="1315"/>
      <c r="C31" s="480">
        <f>ROUND(C6*F31/(1+'数据-取费表'!B45),0)</f>
        <v>5238</v>
      </c>
      <c r="D31" s="1316"/>
      <c r="E31" s="1316"/>
      <c r="F31" s="481">
        <f>'数据-取费表'!B44</f>
        <v>5.5000000000000007E-2</v>
      </c>
      <c r="G31" s="1317"/>
      <c r="H31" s="1317"/>
      <c r="I31" s="1317"/>
      <c r="J31" s="1318"/>
      <c r="K31" s="1319"/>
    </row>
    <row r="32" spans="1:14" s="2062" customFormat="1" ht="13.5" customHeight="1" thickBot="1">
      <c r="A32" s="462" t="s">
        <v>2080</v>
      </c>
      <c r="B32" s="463"/>
      <c r="C32" s="464">
        <f ca="1">IF('数据-取费表'!B23&lt;=1,(C6-C30-C31)/(1+F21*'数据-取费表'!B23+F24)/(1+'数据-取费表'!B51+'数据-取费表'!B52),(C6-C30-C31)/(1+(POWER((1+F21),'数据-取费表'!B23)-1)+F24)/(1+'数据-取费表'!B51+'数据-取费表'!B52))</f>
        <v>72235.905760951995</v>
      </c>
      <c r="D32" s="463"/>
      <c r="E32" s="463"/>
      <c r="F32" s="463"/>
      <c r="G32" s="2495" t="s">
        <v>2717</v>
      </c>
      <c r="H32" s="463"/>
      <c r="I32" s="463"/>
      <c r="J32" s="463"/>
      <c r="K32" s="46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C49" sqref="C49"/>
    </sheetView>
  </sheetViews>
  <sheetFormatPr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82" t="s">
        <v>500</v>
      </c>
      <c r="B1" s="483"/>
      <c r="C1" s="484" t="s">
        <v>501</v>
      </c>
      <c r="D1" s="485" t="s">
        <v>502</v>
      </c>
      <c r="E1" s="486"/>
      <c r="F1" s="408"/>
      <c r="G1" s="486"/>
      <c r="H1" s="486"/>
      <c r="I1" s="486"/>
      <c r="J1" s="486"/>
      <c r="K1" s="487"/>
      <c r="L1" s="1543"/>
      <c r="M1" s="1544"/>
      <c r="N1" s="1544"/>
      <c r="O1" s="1544"/>
      <c r="P1" s="1545"/>
      <c r="Q1" s="1545"/>
      <c r="R1" s="1545"/>
      <c r="S1" s="1545"/>
      <c r="T1" s="1545"/>
      <c r="U1" s="1545"/>
      <c r="V1" s="1545"/>
      <c r="W1" s="1545"/>
      <c r="X1" s="1545"/>
      <c r="Y1" s="1545"/>
      <c r="Z1" s="1545"/>
      <c r="AA1" s="1545"/>
      <c r="AB1" s="1545"/>
      <c r="AC1" s="1546"/>
      <c r="AD1" s="1320"/>
    </row>
    <row r="2" spans="1:30" s="1321" customFormat="1" ht="28.5" customHeight="1">
      <c r="A2" s="403" t="s">
        <v>450</v>
      </c>
      <c r="B2" s="488">
        <f>F68</f>
        <v>928760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c r="AD2" s="1320"/>
    </row>
    <row r="3" spans="1:30" s="1321" customFormat="1" ht="28.5" customHeight="1">
      <c r="A3" s="1360" t="s">
        <v>1893</v>
      </c>
      <c r="B3" s="490">
        <f>ROUND(B2*10000/'数据-汇总表'!E3,0)</f>
        <v>18302</v>
      </c>
      <c r="C3" s="2038"/>
      <c r="D3" s="2582"/>
      <c r="E3" s="2038"/>
      <c r="F3" s="2038"/>
      <c r="G3" s="2108"/>
      <c r="H3" s="2108"/>
      <c r="I3" s="2108"/>
      <c r="J3" s="2108"/>
      <c r="K3" s="2110"/>
      <c r="L3" s="2111"/>
      <c r="M3" s="2112"/>
      <c r="N3" s="2112"/>
      <c r="O3" s="2112"/>
      <c r="P3" s="1545"/>
      <c r="Q3" s="1545"/>
      <c r="R3" s="1545"/>
      <c r="S3" s="1545"/>
      <c r="T3" s="1545"/>
      <c r="U3" s="1545"/>
      <c r="V3" s="1545"/>
      <c r="W3" s="1545"/>
      <c r="X3" s="1545"/>
      <c r="Y3" s="1545"/>
      <c r="Z3" s="1545"/>
      <c r="AA3" s="1545"/>
      <c r="AB3" s="1547"/>
      <c r="AC3" s="408"/>
    </row>
    <row r="4" spans="1:30" s="1321" customFormat="1" ht="28.5" customHeight="1">
      <c r="A4" s="491" t="s">
        <v>504</v>
      </c>
      <c r="B4" s="407">
        <f>IF(B48="单位面积地价",C50,ROUND(B2*10000/'数据-汇总表'!D3,0))</f>
        <v>81449</v>
      </c>
      <c r="C4" s="2038"/>
      <c r="D4" s="2582"/>
      <c r="E4" s="2038"/>
      <c r="F4" s="2038"/>
      <c r="G4" s="2108"/>
      <c r="H4" s="2108"/>
      <c r="I4" s="2108"/>
      <c r="J4" s="2108"/>
      <c r="K4" s="2110"/>
      <c r="L4" s="2111"/>
      <c r="M4" s="2112"/>
      <c r="N4" s="2112"/>
      <c r="O4" s="2112"/>
      <c r="P4" s="1545"/>
      <c r="Q4" s="1545"/>
      <c r="R4" s="1545"/>
      <c r="S4" s="1545"/>
      <c r="T4" s="1545"/>
      <c r="U4" s="1545"/>
      <c r="V4" s="1545"/>
      <c r="W4" s="1545"/>
      <c r="X4" s="1545"/>
      <c r="Y4" s="1545"/>
      <c r="Z4" s="1545"/>
      <c r="AA4" s="1545"/>
      <c r="AB4" s="1545"/>
      <c r="AC4" s="408"/>
    </row>
    <row r="5" spans="1:30" s="1321" customFormat="1" ht="28.5" customHeight="1" thickBot="1">
      <c r="A5" s="409"/>
      <c r="B5" s="410">
        <f>ROUND(B2/('数据-汇总表'!D3/666.67),0)</f>
        <v>5430</v>
      </c>
      <c r="C5" s="411" t="s">
        <v>452</v>
      </c>
      <c r="D5" s="2038"/>
      <c r="E5" s="2038"/>
      <c r="F5" s="2038"/>
      <c r="G5" s="2108"/>
      <c r="H5" s="2108"/>
      <c r="I5" s="2108"/>
      <c r="J5" s="2108"/>
      <c r="K5" s="2110"/>
      <c r="L5" s="2111"/>
      <c r="M5" s="2112"/>
      <c r="N5" s="2112"/>
      <c r="O5" s="2112"/>
      <c r="P5" s="1545"/>
      <c r="Q5" s="1545"/>
      <c r="R5" s="1545"/>
      <c r="S5" s="1545"/>
      <c r="T5" s="1545"/>
      <c r="U5" s="1545"/>
      <c r="V5" s="1545"/>
      <c r="W5" s="1545"/>
      <c r="X5" s="1545"/>
      <c r="Y5" s="1545"/>
      <c r="Z5" s="1545"/>
      <c r="AA5" s="1545"/>
      <c r="AB5" s="1545"/>
      <c r="AC5" s="408"/>
    </row>
    <row r="6" spans="1:30" ht="20.25">
      <c r="A6" s="492" t="s">
        <v>505</v>
      </c>
      <c r="B6" s="493"/>
      <c r="C6" s="3402" t="s">
        <v>506</v>
      </c>
      <c r="D6" s="3403"/>
      <c r="E6" s="3402" t="s">
        <v>507</v>
      </c>
      <c r="F6" s="3403"/>
      <c r="G6" s="3402" t="s">
        <v>508</v>
      </c>
      <c r="H6" s="3403"/>
      <c r="I6" s="3402" t="s">
        <v>509</v>
      </c>
      <c r="J6" s="3403"/>
      <c r="K6" s="494" t="s">
        <v>510</v>
      </c>
      <c r="L6" s="2113"/>
      <c r="M6" s="2112"/>
      <c r="N6" s="2112"/>
      <c r="O6" s="2114"/>
      <c r="P6" s="3404" t="s">
        <v>511</v>
      </c>
      <c r="Q6" s="3405"/>
      <c r="R6" s="3410" t="s">
        <v>507</v>
      </c>
      <c r="S6" s="3411"/>
      <c r="T6" s="3410" t="s">
        <v>508</v>
      </c>
      <c r="U6" s="3411"/>
      <c r="V6" s="3397" t="s">
        <v>509</v>
      </c>
      <c r="W6" s="3397"/>
      <c r="X6" s="1548"/>
      <c r="Y6" s="3410" t="s">
        <v>511</v>
      </c>
      <c r="Z6" s="3411"/>
      <c r="AA6" s="3399" t="s">
        <v>507</v>
      </c>
      <c r="AB6" s="3400" t="s">
        <v>508</v>
      </c>
      <c r="AC6" s="3399" t="s">
        <v>509</v>
      </c>
    </row>
    <row r="7" spans="1:30" ht="20.25">
      <c r="A7" s="495"/>
      <c r="B7" s="496"/>
      <c r="C7" s="3420" t="s">
        <v>3253</v>
      </c>
      <c r="D7" s="3421"/>
      <c r="E7" s="3418" t="str">
        <f>[1]土地案例!A13</f>
        <v>大兴区黄村镇四街、五街、六街村项目DX00-0208-6001等地块</v>
      </c>
      <c r="F7" s="3419"/>
      <c r="G7" s="3418" t="str">
        <f>[1]土地案例!A56</f>
        <v>顺义新城第21街区21-18-001a、21-18-001c地块R2二类居住用地、C9其他公共设施用地</v>
      </c>
      <c r="H7" s="3419"/>
      <c r="I7" s="3418" t="str">
        <f>[1]土地案例!A57</f>
        <v>昌平区沙河镇北沙河北侧(丽春湖土地一级开发项目)LCH-008地块R2二类居住用地</v>
      </c>
      <c r="J7" s="3419"/>
      <c r="K7" s="494"/>
      <c r="L7" s="2113"/>
      <c r="M7" s="2112"/>
      <c r="N7" s="2112"/>
      <c r="O7" s="2114"/>
      <c r="P7" s="3406"/>
      <c r="Q7" s="3407"/>
      <c r="R7" s="3412"/>
      <c r="S7" s="3413"/>
      <c r="T7" s="3412"/>
      <c r="U7" s="3413"/>
      <c r="V7" s="3397"/>
      <c r="W7" s="3397"/>
      <c r="X7" s="1548"/>
      <c r="Y7" s="3412"/>
      <c r="Z7" s="3413"/>
      <c r="AA7" s="3400"/>
      <c r="AB7" s="3400"/>
      <c r="AC7" s="3400"/>
    </row>
    <row r="8" spans="1:30" ht="21" thickBot="1">
      <c r="A8" s="495"/>
      <c r="B8" s="496"/>
      <c r="C8" s="3422" t="str">
        <f>[8]项目基本情况!F9</f>
        <v>昌平区南邵镇（中关村科技园昌平园东区二期）0303-07地块住宅混合公建用地（配建“限价商品住房”）</v>
      </c>
      <c r="D8" s="3423"/>
      <c r="E8" s="3424" t="str">
        <f>[1]土地案例!F13</f>
        <v>大兴区黄村镇四街、五街、六街村项目DX00-0208-6001等地块</v>
      </c>
      <c r="F8" s="3425"/>
      <c r="G8" s="3416" t="str">
        <f>[1]土地案例!F56</f>
        <v>顺义新城第21街区</v>
      </c>
      <c r="H8" s="3417"/>
      <c r="I8" s="3416" t="str">
        <f>[1]土地案例!F57</f>
        <v>昌平区沙河镇北沙河北侧</v>
      </c>
      <c r="J8" s="3417"/>
      <c r="K8" s="494" t="s">
        <v>517</v>
      </c>
      <c r="L8" s="2113"/>
      <c r="M8" s="2112"/>
      <c r="N8" s="2112"/>
      <c r="O8" s="2114"/>
      <c r="P8" s="3408"/>
      <c r="Q8" s="3409"/>
      <c r="R8" s="3412"/>
      <c r="S8" s="3413"/>
      <c r="T8" s="3414"/>
      <c r="U8" s="3415"/>
      <c r="V8" s="3397"/>
      <c r="W8" s="3397"/>
      <c r="X8" s="1548"/>
      <c r="Y8" s="3414"/>
      <c r="Z8" s="3415"/>
      <c r="AA8" s="3401"/>
      <c r="AB8" s="3401"/>
      <c r="AC8" s="3401"/>
    </row>
    <row r="9" spans="1:30" s="1199" customFormat="1" ht="21" thickBot="1">
      <c r="A9" s="2929"/>
      <c r="B9" s="2936" t="s">
        <v>518</v>
      </c>
      <c r="C9" s="2928">
        <f>'数据-取费表'!B2</f>
        <v>42898</v>
      </c>
      <c r="D9" s="500">
        <v>100</v>
      </c>
      <c r="E9" s="3143" t="str">
        <f>[1]土地案例!S13</f>
        <v>2016-02-23</v>
      </c>
      <c r="F9" s="502">
        <f>SUMIF(72:72,YEAR(E9)&amp;"-"&amp;INT((MONTH(E9)+2)/3),73:73)</f>
        <v>95</v>
      </c>
      <c r="G9" s="3149" t="str">
        <f>[1]土地案例!S56</f>
        <v>2014-07-14</v>
      </c>
      <c r="H9" s="500">
        <f>SUMIF(72:72,YEAR(G9)&amp;"-"&amp;INT((MONTH(G9)+2)/3),73:73)</f>
        <v>89</v>
      </c>
      <c r="I9" s="3149" t="str">
        <f>[1]土地案例!S57</f>
        <v>2014-07-14</v>
      </c>
      <c r="J9" s="500">
        <f>SUMIF(72:72,YEAR(I9)&amp;"-"&amp;INT((MONTH(I9)+2)/3),73:73)</f>
        <v>89</v>
      </c>
      <c r="K9" s="504"/>
      <c r="L9" s="2115"/>
      <c r="M9" s="2112"/>
      <c r="N9" s="2112"/>
      <c r="O9" s="2116"/>
      <c r="P9" s="3431" t="s">
        <v>519</v>
      </c>
      <c r="Q9" s="3433"/>
      <c r="R9" s="1549" t="s">
        <v>8</v>
      </c>
      <c r="S9" s="1550">
        <f t="shared" ref="S9:S17" si="0">F9</f>
        <v>95</v>
      </c>
      <c r="T9" s="1549" t="s">
        <v>8</v>
      </c>
      <c r="U9" s="1550">
        <f t="shared" ref="U9:U17" si="1">H9</f>
        <v>89</v>
      </c>
      <c r="V9" s="1549" t="s">
        <v>8</v>
      </c>
      <c r="W9" s="1550">
        <f t="shared" ref="W9:W17" si="2">J9</f>
        <v>89</v>
      </c>
      <c r="X9" s="1551"/>
      <c r="Y9" s="3431" t="s">
        <v>519</v>
      </c>
      <c r="Z9" s="3432"/>
      <c r="AA9" s="1552">
        <f>D9/F9</f>
        <v>1.0526315789473684</v>
      </c>
      <c r="AB9" s="1552">
        <f>D9/H9</f>
        <v>1.1235955056179776</v>
      </c>
      <c r="AC9" s="1552">
        <f>D9/J9</f>
        <v>1.1235955056179776</v>
      </c>
    </row>
    <row r="10" spans="1:30" s="1199" customFormat="1" ht="21" thickBot="1">
      <c r="A10" s="2930"/>
      <c r="B10" s="2937" t="s">
        <v>520</v>
      </c>
      <c r="C10" s="3138" t="s">
        <v>521</v>
      </c>
      <c r="D10" s="500">
        <v>100</v>
      </c>
      <c r="E10" s="3144" t="s">
        <v>521</v>
      </c>
      <c r="F10" s="502">
        <f>SUMIF(75:75,E10,76:76)-SUMIF(75:75,C10,76:76)+100</f>
        <v>100</v>
      </c>
      <c r="G10" s="3144" t="s">
        <v>3266</v>
      </c>
      <c r="H10" s="500">
        <f>SUMIF(75:75,G10,76:76)-SUMIF(75:75,C10,76:76)+100</f>
        <v>100</v>
      </c>
      <c r="I10" s="3144" t="s">
        <v>521</v>
      </c>
      <c r="J10" s="500">
        <f>SUMIF(75:75,I10,76:76)-SUMIF(75:75,C10,76:76)+100</f>
        <v>100</v>
      </c>
      <c r="K10" s="504"/>
      <c r="L10" s="2115"/>
      <c r="M10" s="2112"/>
      <c r="N10" s="2112"/>
      <c r="O10" s="2116"/>
      <c r="P10" s="3431" t="s">
        <v>522</v>
      </c>
      <c r="Q10" s="3432"/>
      <c r="R10" s="1549" t="s">
        <v>8</v>
      </c>
      <c r="S10" s="1550">
        <f t="shared" si="0"/>
        <v>100</v>
      </c>
      <c r="T10" s="1549" t="s">
        <v>8</v>
      </c>
      <c r="U10" s="1550">
        <f t="shared" si="1"/>
        <v>100</v>
      </c>
      <c r="V10" s="1549" t="s">
        <v>8</v>
      </c>
      <c r="W10" s="1550">
        <f t="shared" si="2"/>
        <v>100</v>
      </c>
      <c r="X10" s="1551"/>
      <c r="Y10" s="3431" t="s">
        <v>522</v>
      </c>
      <c r="Z10" s="3432"/>
      <c r="AA10" s="1552">
        <f t="shared" ref="AA10:AA47" si="3">D10/F10</f>
        <v>1</v>
      </c>
      <c r="AB10" s="1552">
        <f t="shared" ref="AB10:AB47" si="4">D10/H10</f>
        <v>1</v>
      </c>
      <c r="AC10" s="1552">
        <f t="shared" ref="AC10:AC47" si="5">D10/J10</f>
        <v>1</v>
      </c>
    </row>
    <row r="11" spans="1:30" s="1199" customFormat="1" ht="20.25">
      <c r="A11" s="2931"/>
      <c r="B11" s="2938" t="s">
        <v>3039</v>
      </c>
      <c r="C11" s="2926" t="s">
        <v>2583</v>
      </c>
      <c r="D11" s="231">
        <v>100</v>
      </c>
      <c r="E11" s="506" t="s">
        <v>2583</v>
      </c>
      <c r="F11" s="231">
        <f>SUMIF(77:77,E11,78:78)-SUMIF(77:77,C11,78:78)+100</f>
        <v>100</v>
      </c>
      <c r="G11" s="506" t="s">
        <v>2583</v>
      </c>
      <c r="H11" s="231">
        <f>SUMIF(77:77,G11,78:78)-SUMIF(77:77,C11,78:78)+100</f>
        <v>100</v>
      </c>
      <c r="I11" s="506" t="s">
        <v>2583</v>
      </c>
      <c r="J11" s="231">
        <f>SUMIF(77:77,I11,78:78)-SUMIF(77:77,C11,78:78)+100</f>
        <v>100</v>
      </c>
      <c r="K11" s="504"/>
      <c r="L11" s="2115"/>
      <c r="M11" s="2112"/>
      <c r="N11" s="2112"/>
      <c r="O11" s="2117"/>
      <c r="P11" s="3396" t="s">
        <v>524</v>
      </c>
      <c r="Q11" s="1130" t="str">
        <f t="shared" ref="Q11:Q17" si="6">B11</f>
        <v>用途</v>
      </c>
      <c r="R11" s="1549" t="s">
        <v>8</v>
      </c>
      <c r="S11" s="1550">
        <f t="shared" si="0"/>
        <v>100</v>
      </c>
      <c r="T11" s="1549" t="s">
        <v>8</v>
      </c>
      <c r="U11" s="1550">
        <f t="shared" si="1"/>
        <v>100</v>
      </c>
      <c r="V11" s="1549" t="s">
        <v>8</v>
      </c>
      <c r="W11" s="1550">
        <f t="shared" si="2"/>
        <v>100</v>
      </c>
      <c r="X11" s="1551"/>
      <c r="Y11" s="3343" t="s">
        <v>525</v>
      </c>
      <c r="Z11" s="1129" t="str">
        <f t="shared" ref="Z11:Z17" si="7">Q11</f>
        <v>用途</v>
      </c>
      <c r="AA11" s="1552">
        <f t="shared" si="3"/>
        <v>1</v>
      </c>
      <c r="AB11" s="1552">
        <f t="shared" si="4"/>
        <v>1</v>
      </c>
      <c r="AC11" s="1552">
        <f t="shared" si="5"/>
        <v>1</v>
      </c>
    </row>
    <row r="12" spans="1:30" s="1323" customFormat="1" ht="28.5">
      <c r="A12" s="2932"/>
      <c r="B12" s="2937" t="s">
        <v>3040</v>
      </c>
      <c r="C12" s="3139">
        <f>项目基本情况!D19</f>
        <v>68.459999999999994</v>
      </c>
      <c r="D12" s="232">
        <v>100</v>
      </c>
      <c r="E12" s="508" t="str">
        <f>[1]土地案例!AB13</f>
        <v>居住70年、商业40年、办公50年</v>
      </c>
      <c r="F12" s="232">
        <f>ROUND(100/'数据-取费表'!G19,0)</f>
        <v>101</v>
      </c>
      <c r="G12" s="508" t="str">
        <f>[1]土地案例!AB56</f>
        <v>居住70年、商业40年、综合50年</v>
      </c>
      <c r="H12" s="232">
        <f>ROUND(100/'数据-取费表'!G19,0)</f>
        <v>101</v>
      </c>
      <c r="I12" s="508" t="str">
        <f>[1]土地案例!AB57</f>
        <v>住宅70年、商业40年、综合50年</v>
      </c>
      <c r="J12" s="232">
        <f>ROUND(100/'数据-取费表'!G19,0)</f>
        <v>101</v>
      </c>
      <c r="K12" s="511"/>
      <c r="L12" s="2118"/>
      <c r="M12" s="2112"/>
      <c r="N12" s="2112"/>
      <c r="O12" s="2119"/>
      <c r="P12" s="3396"/>
      <c r="Q12" s="1130" t="str">
        <f t="shared" si="6"/>
        <v>土地使用年限（年）</v>
      </c>
      <c r="R12" s="1549" t="s">
        <v>8</v>
      </c>
      <c r="S12" s="1550">
        <f t="shared" si="0"/>
        <v>101</v>
      </c>
      <c r="T12" s="1549" t="s">
        <v>8</v>
      </c>
      <c r="U12" s="1550">
        <f t="shared" si="1"/>
        <v>101</v>
      </c>
      <c r="V12" s="1549" t="s">
        <v>8</v>
      </c>
      <c r="W12" s="1550">
        <f t="shared" si="2"/>
        <v>101</v>
      </c>
      <c r="X12" s="1551"/>
      <c r="Y12" s="3343"/>
      <c r="Z12" s="1129" t="str">
        <f t="shared" si="7"/>
        <v>土地使用年限（年）</v>
      </c>
      <c r="AA12" s="1552">
        <f t="shared" si="3"/>
        <v>0.99009900990099009</v>
      </c>
      <c r="AB12" s="1552">
        <f t="shared" si="4"/>
        <v>0.99009900990099009</v>
      </c>
      <c r="AC12" s="1552">
        <f t="shared" si="5"/>
        <v>0.99009900990099009</v>
      </c>
    </row>
    <row r="13" spans="1:30" ht="20.25">
      <c r="A13" s="2933"/>
      <c r="B13" s="2937" t="s">
        <v>3041</v>
      </c>
      <c r="C13" s="514">
        <f>'数据-汇总表'!I7</f>
        <v>4.45</v>
      </c>
      <c r="D13" s="232">
        <v>100</v>
      </c>
      <c r="E13" s="513">
        <f>[1]土地案例!M13</f>
        <v>2.67</v>
      </c>
      <c r="F13" s="232">
        <f>LOOKUP(E13,82:82,83:83)-LOOKUP(C13,82:82,83:83)+100</f>
        <v>102</v>
      </c>
      <c r="G13" s="514">
        <f>[1]土地案例!M56</f>
        <v>0.97</v>
      </c>
      <c r="H13" s="232">
        <f>LOOKUP(G13,82:82,83:83)-LOOKUP(C13,82:82,83:83)+100</f>
        <v>104</v>
      </c>
      <c r="I13" s="513">
        <f>[1]土地案例!M57</f>
        <v>1.05</v>
      </c>
      <c r="J13" s="232">
        <f>LOOKUP(I13,82:82,83:83)-LOOKUP(C13,82:82,83:83)+100</f>
        <v>103</v>
      </c>
      <c r="K13" s="515">
        <v>1</v>
      </c>
      <c r="L13" s="2120"/>
      <c r="M13" s="2112"/>
      <c r="N13" s="2112"/>
      <c r="O13" s="2121"/>
      <c r="P13" s="3396"/>
      <c r="Q13" s="1130" t="str">
        <f t="shared" si="6"/>
        <v>容积率</v>
      </c>
      <c r="R13" s="1549" t="s">
        <v>8</v>
      </c>
      <c r="S13" s="1550">
        <f t="shared" si="0"/>
        <v>102</v>
      </c>
      <c r="T13" s="1549" t="s">
        <v>8</v>
      </c>
      <c r="U13" s="1550">
        <f t="shared" si="1"/>
        <v>104</v>
      </c>
      <c r="V13" s="1549" t="s">
        <v>8</v>
      </c>
      <c r="W13" s="1550">
        <f t="shared" si="2"/>
        <v>103</v>
      </c>
      <c r="X13" s="1551"/>
      <c r="Y13" s="3343"/>
      <c r="Z13" s="1129" t="str">
        <f t="shared" si="7"/>
        <v>容积率</v>
      </c>
      <c r="AA13" s="1552">
        <f t="shared" si="3"/>
        <v>0.98039215686274506</v>
      </c>
      <c r="AB13" s="1552">
        <f t="shared" si="4"/>
        <v>0.96153846153846156</v>
      </c>
      <c r="AC13" s="1552">
        <f t="shared" si="5"/>
        <v>0.970873786407767</v>
      </c>
    </row>
    <row r="14" spans="1:30" s="1199" customFormat="1" ht="27">
      <c r="A14" s="2930"/>
      <c r="B14" s="2939" t="s">
        <v>3042</v>
      </c>
      <c r="C14" s="3140" t="s">
        <v>3308</v>
      </c>
      <c r="D14" s="518">
        <v>100</v>
      </c>
      <c r="E14" s="3140" t="s">
        <v>3257</v>
      </c>
      <c r="F14" s="232">
        <f>SUMIF(84:84,E14,85:85)-SUMIF(84:84,C14,85:85)+100</f>
        <v>110</v>
      </c>
      <c r="G14" s="3140" t="s">
        <v>3254</v>
      </c>
      <c r="H14" s="232">
        <f>SUMIF(84:84,G14,85:85)-SUMIF(84:84,C14,85:85)+100</f>
        <v>120</v>
      </c>
      <c r="I14" s="3140" t="s">
        <v>3254</v>
      </c>
      <c r="J14" s="232">
        <f>SUMIF(84:84,I14,85:85)-SUMIF(84:84,C14,85:85)+100</f>
        <v>120</v>
      </c>
      <c r="K14" s="511"/>
      <c r="L14" s="2115"/>
      <c r="M14" s="2112"/>
      <c r="N14" s="2112"/>
      <c r="O14" s="2117"/>
      <c r="P14" s="3396"/>
      <c r="Q14" s="1130" t="str">
        <f t="shared" si="6"/>
        <v>配建</v>
      </c>
      <c r="R14" s="1549" t="s">
        <v>8</v>
      </c>
      <c r="S14" s="1550">
        <f t="shared" si="0"/>
        <v>110</v>
      </c>
      <c r="T14" s="1549" t="s">
        <v>8</v>
      </c>
      <c r="U14" s="1550">
        <f t="shared" si="1"/>
        <v>120</v>
      </c>
      <c r="V14" s="1549" t="s">
        <v>8</v>
      </c>
      <c r="W14" s="1550">
        <f t="shared" si="2"/>
        <v>120</v>
      </c>
      <c r="X14" s="1551"/>
      <c r="Y14" s="3343"/>
      <c r="Z14" s="1129" t="str">
        <f t="shared" si="7"/>
        <v>配建</v>
      </c>
      <c r="AA14" s="1552">
        <f>D14/F14</f>
        <v>0.90909090909090906</v>
      </c>
      <c r="AB14" s="1552">
        <f>D14/H14</f>
        <v>0.83333333333333337</v>
      </c>
      <c r="AC14" s="1552">
        <f>D14/J14</f>
        <v>0.83333333333333337</v>
      </c>
    </row>
    <row r="15" spans="1:30" ht="20.25">
      <c r="A15" s="2934"/>
      <c r="B15" s="3178" t="s">
        <v>3309</v>
      </c>
      <c r="C15" s="891">
        <f>'数据-汇总表'!F26+'数据-汇总表'!F27</f>
        <v>93822</v>
      </c>
      <c r="D15" s="520">
        <v>100</v>
      </c>
      <c r="E15" s="521">
        <v>15000</v>
      </c>
      <c r="F15" s="232">
        <f>SUMIF(86:86,E15,87:87)-SUMIF(86:86,C15,87:87)+100</f>
        <v>103</v>
      </c>
      <c r="G15" s="522">
        <v>0</v>
      </c>
      <c r="H15" s="520">
        <f>SUMIF(86:86,G15,87:87)-SUMIF(86:86,C15,87:87)+100</f>
        <v>104</v>
      </c>
      <c r="I15" s="522">
        <v>0</v>
      </c>
      <c r="J15" s="520">
        <f>SUMIF(86:86,I15,87:87)-SUMIF(86:86,C15,87:87)+100</f>
        <v>104</v>
      </c>
      <c r="K15" s="511"/>
      <c r="L15" s="2122"/>
      <c r="M15" s="2112"/>
      <c r="N15" s="2112"/>
      <c r="O15" s="2121"/>
      <c r="P15" s="3396"/>
      <c r="Q15" s="1130" t="str">
        <f t="shared" si="6"/>
        <v>配建面积</v>
      </c>
      <c r="R15" s="1549" t="s">
        <v>8</v>
      </c>
      <c r="S15" s="1550">
        <f t="shared" si="0"/>
        <v>103</v>
      </c>
      <c r="T15" s="1549" t="s">
        <v>8</v>
      </c>
      <c r="U15" s="1550">
        <f t="shared" si="1"/>
        <v>104</v>
      </c>
      <c r="V15" s="1549" t="s">
        <v>8</v>
      </c>
      <c r="W15" s="1550">
        <f t="shared" si="2"/>
        <v>104</v>
      </c>
      <c r="X15" s="1551"/>
      <c r="Y15" s="3343"/>
      <c r="Z15" s="1129" t="str">
        <f t="shared" si="7"/>
        <v>配建面积</v>
      </c>
      <c r="AA15" s="1552">
        <f>D15/F15</f>
        <v>0.970873786407767</v>
      </c>
      <c r="AB15" s="1552">
        <f>D15/H15</f>
        <v>0.96153846153846156</v>
      </c>
      <c r="AC15" s="1552">
        <f>D15/J15</f>
        <v>0.96153846153846156</v>
      </c>
    </row>
    <row r="16" spans="1:30" ht="21" thickBot="1">
      <c r="A16" s="2935"/>
      <c r="B16" s="2941"/>
      <c r="C16" s="894"/>
      <c r="D16" s="526">
        <v>100</v>
      </c>
      <c r="E16" s="521"/>
      <c r="F16" s="526">
        <f>SUMIF(88:88,E16,89:89)-SUMIF(88:88,C16,89:89)+100</f>
        <v>100</v>
      </c>
      <c r="G16" s="522"/>
      <c r="H16" s="526">
        <f>SUMIF(88:88,G16,89:89)-SUMIF(88:88,C16,89:89)+100</f>
        <v>100</v>
      </c>
      <c r="I16" s="522"/>
      <c r="J16" s="526">
        <f>SUMIF(88:88,I16,89:89)-SUMIF(88:88,C16,89:89)+100</f>
        <v>100</v>
      </c>
      <c r="K16" s="511"/>
      <c r="L16" s="2122"/>
      <c r="M16" s="2112"/>
      <c r="N16" s="2112"/>
      <c r="O16" s="2121"/>
      <c r="P16" s="3396"/>
      <c r="Q16" s="1130">
        <f t="shared" si="6"/>
        <v>0</v>
      </c>
      <c r="R16" s="1549" t="s">
        <v>8</v>
      </c>
      <c r="S16" s="1550">
        <f t="shared" si="0"/>
        <v>100</v>
      </c>
      <c r="T16" s="1549" t="s">
        <v>8</v>
      </c>
      <c r="U16" s="1550">
        <f t="shared" si="1"/>
        <v>100</v>
      </c>
      <c r="V16" s="1549" t="s">
        <v>8</v>
      </c>
      <c r="W16" s="1550">
        <f t="shared" si="2"/>
        <v>100</v>
      </c>
      <c r="X16" s="1551"/>
      <c r="Y16" s="3343"/>
      <c r="Z16" s="1129">
        <f t="shared" si="7"/>
        <v>0</v>
      </c>
      <c r="AA16" s="1552">
        <f>D16/F16</f>
        <v>1</v>
      </c>
      <c r="AB16" s="1552">
        <f>D16/H16</f>
        <v>1</v>
      </c>
      <c r="AC16" s="1552">
        <f>D16/J16</f>
        <v>1</v>
      </c>
    </row>
    <row r="17" spans="1:29" ht="152.25" customHeight="1">
      <c r="A17" s="2927" t="s">
        <v>3037</v>
      </c>
      <c r="B17" s="558" t="s">
        <v>278</v>
      </c>
      <c r="C17" s="528" t="str">
        <f>估价对象房地状况!C15</f>
        <v>估价对象周边居住用地比例合宜，周边有路劲世界城和北京风景等住宅小区、居住规模较大，社区发展完善程度较好，综合评价居住社区成熟度较好</v>
      </c>
      <c r="D17" s="531">
        <v>100</v>
      </c>
      <c r="E17" s="3145" t="s">
        <v>3258</v>
      </c>
      <c r="F17" s="529">
        <f>SUMIF(90:90,E18,91:91)-SUMIF(90:90,C18,91:91)+100</f>
        <v>100</v>
      </c>
      <c r="G17" s="3150" t="s">
        <v>3267</v>
      </c>
      <c r="H17" s="529">
        <f>SUMIF(90:90,G18,91:91)-SUMIF(90:90,C18,91:91)+100</f>
        <v>100</v>
      </c>
      <c r="I17" s="3145" t="s">
        <v>3273</v>
      </c>
      <c r="J17" s="529">
        <f>SUMIF(90:90,I18,91:91)-SUMIF(90:90,C18,91:91)+100</f>
        <v>100</v>
      </c>
      <c r="K17" s="515">
        <v>5</v>
      </c>
      <c r="L17" s="2122"/>
      <c r="M17" s="2112"/>
      <c r="N17" s="2112"/>
      <c r="O17" s="2121"/>
      <c r="P17" s="3434" t="s">
        <v>529</v>
      </c>
      <c r="Q17" s="1553" t="str">
        <f t="shared" si="6"/>
        <v>居住社区成熟度</v>
      </c>
      <c r="R17" s="1554" t="s">
        <v>8</v>
      </c>
      <c r="S17" s="1555">
        <f t="shared" si="0"/>
        <v>100</v>
      </c>
      <c r="T17" s="1554" t="s">
        <v>8</v>
      </c>
      <c r="U17" s="1555">
        <f t="shared" si="1"/>
        <v>100</v>
      </c>
      <c r="V17" s="1554" t="s">
        <v>8</v>
      </c>
      <c r="W17" s="1555">
        <f t="shared" si="2"/>
        <v>100</v>
      </c>
      <c r="X17" s="1548"/>
      <c r="Y17" s="3434" t="s">
        <v>529</v>
      </c>
      <c r="Z17" s="1556" t="str">
        <f t="shared" si="7"/>
        <v>居住社区成熟度</v>
      </c>
      <c r="AA17" s="1557">
        <f t="shared" si="3"/>
        <v>1</v>
      </c>
      <c r="AB17" s="1557">
        <f t="shared" si="4"/>
        <v>1</v>
      </c>
      <c r="AC17" s="1557">
        <f t="shared" si="5"/>
        <v>1</v>
      </c>
    </row>
    <row r="18" spans="1:29" ht="20.25">
      <c r="A18" s="512"/>
      <c r="B18" s="533"/>
      <c r="C18" s="534" t="s">
        <v>1072</v>
      </c>
      <c r="D18" s="537"/>
      <c r="E18" s="556" t="s">
        <v>1072</v>
      </c>
      <c r="F18" s="535"/>
      <c r="G18" s="534" t="s">
        <v>1072</v>
      </c>
      <c r="H18" s="539"/>
      <c r="I18" s="3154" t="s">
        <v>1072</v>
      </c>
      <c r="J18" s="535"/>
      <c r="K18" s="511"/>
      <c r="L18" s="2122"/>
      <c r="M18" s="2112"/>
      <c r="N18" s="2112"/>
      <c r="O18" s="2121"/>
      <c r="P18" s="3435"/>
      <c r="Q18" s="1553"/>
      <c r="R18" s="1554"/>
      <c r="S18" s="1555"/>
      <c r="T18" s="1554"/>
      <c r="U18" s="1555"/>
      <c r="V18" s="1554"/>
      <c r="W18" s="1555"/>
      <c r="X18" s="1548"/>
      <c r="Y18" s="3435"/>
      <c r="Z18" s="1556"/>
      <c r="AA18" s="1557">
        <v>1</v>
      </c>
      <c r="AB18" s="1557">
        <v>1</v>
      </c>
      <c r="AC18" s="1557">
        <v>1</v>
      </c>
    </row>
    <row r="19" spans="1:29" ht="98.25" customHeight="1">
      <c r="A19" s="512"/>
      <c r="B19" s="540" t="s">
        <v>532</v>
      </c>
      <c r="C19" s="541" t="str">
        <f>估价对象房地状况!C16</f>
        <v>估价对象周边商业用地较少，周边2km仅有小超市、商业规模较小，综合评价商业繁华度较差</v>
      </c>
      <c r="D19" s="543">
        <v>100</v>
      </c>
      <c r="E19" s="3146" t="s">
        <v>3259</v>
      </c>
      <c r="F19" s="539">
        <f>SUMIF(92:92,E20,93:93)-SUMIF(92:92,C20,93:93)+100</f>
        <v>105</v>
      </c>
      <c r="G19" s="3151" t="s">
        <v>3268</v>
      </c>
      <c r="H19" s="545">
        <f>SUMIF(92:92,G20,93:93)-SUMIF(92:92,C20,93:93)+100</f>
        <v>100</v>
      </c>
      <c r="I19" s="3146" t="s">
        <v>3274</v>
      </c>
      <c r="J19" s="545">
        <f>SUMIF(92:92,I20,93:93)-SUMIF(92:92,C20,93:93)+100</f>
        <v>105</v>
      </c>
      <c r="K19" s="515">
        <v>5</v>
      </c>
      <c r="L19" s="2122"/>
      <c r="M19" s="2112"/>
      <c r="N19" s="2112"/>
      <c r="O19" s="2121"/>
      <c r="P19" s="3435"/>
      <c r="Q19" s="1553" t="str">
        <f>B19</f>
        <v>商业繁华度</v>
      </c>
      <c r="R19" s="1554" t="s">
        <v>8</v>
      </c>
      <c r="S19" s="1555">
        <f>F19</f>
        <v>105</v>
      </c>
      <c r="T19" s="1554" t="s">
        <v>8</v>
      </c>
      <c r="U19" s="1555">
        <f>H19</f>
        <v>100</v>
      </c>
      <c r="V19" s="1554" t="s">
        <v>8</v>
      </c>
      <c r="W19" s="1555">
        <f>J19</f>
        <v>105</v>
      </c>
      <c r="X19" s="1548"/>
      <c r="Y19" s="3435"/>
      <c r="Z19" s="1556" t="str">
        <f>Q19</f>
        <v>商业繁华度</v>
      </c>
      <c r="AA19" s="1557">
        <f t="shared" si="3"/>
        <v>0.95238095238095233</v>
      </c>
      <c r="AB19" s="1557">
        <f t="shared" si="4"/>
        <v>1</v>
      </c>
      <c r="AC19" s="1557">
        <f t="shared" si="5"/>
        <v>0.95238095238095233</v>
      </c>
    </row>
    <row r="20" spans="1:29" ht="20.25">
      <c r="A20" s="512"/>
      <c r="B20" s="546"/>
      <c r="C20" s="547" t="s">
        <v>1075</v>
      </c>
      <c r="D20" s="543"/>
      <c r="E20" s="853" t="s">
        <v>1073</v>
      </c>
      <c r="F20" s="539"/>
      <c r="G20" s="547" t="s">
        <v>1075</v>
      </c>
      <c r="H20" s="535"/>
      <c r="I20" s="853" t="s">
        <v>1073</v>
      </c>
      <c r="J20" s="535"/>
      <c r="K20" s="511"/>
      <c r="L20" s="2122"/>
      <c r="M20" s="2112"/>
      <c r="N20" s="2112"/>
      <c r="O20" s="2121"/>
      <c r="P20" s="3435"/>
      <c r="Q20" s="1553"/>
      <c r="R20" s="1554"/>
      <c r="S20" s="1555"/>
      <c r="T20" s="1554"/>
      <c r="U20" s="1555"/>
      <c r="V20" s="1554"/>
      <c r="W20" s="1555"/>
      <c r="X20" s="1548"/>
      <c r="Y20" s="3435"/>
      <c r="Z20" s="1556"/>
      <c r="AA20" s="1557">
        <v>1</v>
      </c>
      <c r="AB20" s="1557">
        <v>1</v>
      </c>
      <c r="AC20" s="1557">
        <v>1</v>
      </c>
    </row>
    <row r="21" spans="1:29" ht="123.75" customHeight="1">
      <c r="A21" s="512"/>
      <c r="B21" s="540" t="s">
        <v>533</v>
      </c>
      <c r="C21" s="541" t="str">
        <f>估价对象房地状况!C17</f>
        <v>估价对象周边办公用地比例合宜，周边有企业墅等办公楼、办公规模一般，综合评价办公集聚程度一般</v>
      </c>
      <c r="D21" s="551">
        <v>100</v>
      </c>
      <c r="E21" s="3147" t="s">
        <v>3260</v>
      </c>
      <c r="F21" s="545">
        <f>SUMIF(94:94,E22,95:95)-SUMIF(94:94,C22,95:95)+100</f>
        <v>100</v>
      </c>
      <c r="G21" s="3152" t="s">
        <v>3269</v>
      </c>
      <c r="H21" s="539">
        <f>SUMIF(94:94,G22,95:95)-SUMIF(94:94,C22,95:95)+100</f>
        <v>95</v>
      </c>
      <c r="I21" s="3147" t="s">
        <v>3275</v>
      </c>
      <c r="J21" s="539">
        <f>SUMIF(94:94,I22,95:95)-SUMIF(94:94,C22,95:95)+100</f>
        <v>100</v>
      </c>
      <c r="K21" s="515">
        <v>5</v>
      </c>
      <c r="L21" s="2122"/>
      <c r="M21" s="2112"/>
      <c r="N21" s="2112"/>
      <c r="O21" s="2121"/>
      <c r="P21" s="3435"/>
      <c r="Q21" s="1553" t="str">
        <f>B21</f>
        <v>办公集聚程度</v>
      </c>
      <c r="R21" s="1554" t="s">
        <v>8</v>
      </c>
      <c r="S21" s="1555">
        <f>F21</f>
        <v>100</v>
      </c>
      <c r="T21" s="1554" t="s">
        <v>8</v>
      </c>
      <c r="U21" s="1555">
        <f>H21</f>
        <v>95</v>
      </c>
      <c r="V21" s="1554" t="s">
        <v>8</v>
      </c>
      <c r="W21" s="1555">
        <f>J21</f>
        <v>100</v>
      </c>
      <c r="X21" s="1548"/>
      <c r="Y21" s="3435"/>
      <c r="Z21" s="1556" t="str">
        <f>Q21</f>
        <v>办公集聚程度</v>
      </c>
      <c r="AA21" s="1557">
        <f t="shared" si="3"/>
        <v>1</v>
      </c>
      <c r="AB21" s="1557">
        <f t="shared" si="4"/>
        <v>1.0526315789473684</v>
      </c>
      <c r="AC21" s="1557">
        <f t="shared" si="5"/>
        <v>1</v>
      </c>
    </row>
    <row r="22" spans="1:29" ht="20.25">
      <c r="A22" s="512"/>
      <c r="B22" s="546"/>
      <c r="C22" s="534" t="s">
        <v>1073</v>
      </c>
      <c r="D22" s="537"/>
      <c r="E22" s="556" t="s">
        <v>1073</v>
      </c>
      <c r="F22" s="535"/>
      <c r="G22" s="534" t="s">
        <v>1075</v>
      </c>
      <c r="H22" s="535"/>
      <c r="I22" s="556" t="s">
        <v>1073</v>
      </c>
      <c r="J22" s="535"/>
      <c r="K22" s="511"/>
      <c r="L22" s="2122"/>
      <c r="M22" s="2112"/>
      <c r="N22" s="2112"/>
      <c r="O22" s="2121"/>
      <c r="P22" s="3435"/>
      <c r="Q22" s="1553"/>
      <c r="R22" s="1554"/>
      <c r="S22" s="1555"/>
      <c r="T22" s="1554"/>
      <c r="U22" s="1555"/>
      <c r="V22" s="1554"/>
      <c r="W22" s="1555"/>
      <c r="X22" s="1548"/>
      <c r="Y22" s="3435"/>
      <c r="Z22" s="1556"/>
      <c r="AA22" s="1557">
        <v>1</v>
      </c>
      <c r="AB22" s="1557">
        <v>1</v>
      </c>
      <c r="AC22" s="1557">
        <v>1</v>
      </c>
    </row>
    <row r="23" spans="1:29" ht="129.75" customHeight="1">
      <c r="A23" s="512"/>
      <c r="B23" s="540" t="s">
        <v>534</v>
      </c>
      <c r="C23" s="553" t="str">
        <f>估价对象房地状况!C18</f>
        <v>估价对象周边有326、643等公交线路、紧邻昌平线，公共交通通达情况；项目自身有停车位、停车便捷程度较好，综合评价交通便捷度较好</v>
      </c>
      <c r="D23" s="543">
        <v>100</v>
      </c>
      <c r="E23" s="3146" t="s">
        <v>3261</v>
      </c>
      <c r="F23" s="545">
        <f>SUMIF(96:96,E24,97:97)-SUMIF(96:96,C24,97:97)+100</f>
        <v>98</v>
      </c>
      <c r="G23" s="3151" t="s">
        <v>3270</v>
      </c>
      <c r="H23" s="539">
        <f>SUMIF(96:96,G24,97:97)-SUMIF(96:96,C24,97:97)+100</f>
        <v>96</v>
      </c>
      <c r="I23" s="3146" t="s">
        <v>3276</v>
      </c>
      <c r="J23" s="539">
        <f>SUMIF(96:96,I24,97:97)-SUMIF(96:96,C24,97:97)+100</f>
        <v>96</v>
      </c>
      <c r="K23" s="515">
        <v>2</v>
      </c>
      <c r="L23" s="2122"/>
      <c r="M23" s="2112"/>
      <c r="N23" s="2112"/>
      <c r="O23" s="2121"/>
      <c r="P23" s="3435"/>
      <c r="Q23" s="1553" t="str">
        <f>B23</f>
        <v>交通便捷度</v>
      </c>
      <c r="R23" s="1554" t="s">
        <v>8</v>
      </c>
      <c r="S23" s="1555">
        <f>F23</f>
        <v>98</v>
      </c>
      <c r="T23" s="1554" t="s">
        <v>8</v>
      </c>
      <c r="U23" s="1555">
        <f>H23</f>
        <v>96</v>
      </c>
      <c r="V23" s="1554" t="s">
        <v>8</v>
      </c>
      <c r="W23" s="1555">
        <f>J23</f>
        <v>96</v>
      </c>
      <c r="X23" s="1548"/>
      <c r="Y23" s="3435"/>
      <c r="Z23" s="1556" t="str">
        <f>Q23</f>
        <v>交通便捷度</v>
      </c>
      <c r="AA23" s="1557">
        <f t="shared" si="3"/>
        <v>1.0204081632653061</v>
      </c>
      <c r="AB23" s="1557">
        <f t="shared" si="4"/>
        <v>1.0416666666666667</v>
      </c>
      <c r="AC23" s="1557">
        <f t="shared" si="5"/>
        <v>1.0416666666666667</v>
      </c>
    </row>
    <row r="24" spans="1:29" ht="20.25">
      <c r="A24" s="512"/>
      <c r="B24" s="558"/>
      <c r="C24" s="534" t="s">
        <v>1072</v>
      </c>
      <c r="D24" s="537"/>
      <c r="E24" s="556" t="s">
        <v>1073</v>
      </c>
      <c r="F24" s="535"/>
      <c r="G24" s="534" t="s">
        <v>1075</v>
      </c>
      <c r="H24" s="535"/>
      <c r="I24" s="556" t="s">
        <v>1075</v>
      </c>
      <c r="J24" s="535"/>
      <c r="K24" s="511"/>
      <c r="L24" s="2122"/>
      <c r="M24" s="2112"/>
      <c r="N24" s="2112"/>
      <c r="O24" s="2121"/>
      <c r="P24" s="3435"/>
      <c r="Q24" s="1553"/>
      <c r="R24" s="1554"/>
      <c r="S24" s="1555"/>
      <c r="T24" s="1554"/>
      <c r="U24" s="1555"/>
      <c r="V24" s="1554"/>
      <c r="W24" s="1555"/>
      <c r="X24" s="1548"/>
      <c r="Y24" s="3435"/>
      <c r="Z24" s="1556"/>
      <c r="AA24" s="1557">
        <v>1</v>
      </c>
      <c r="AB24" s="1557">
        <v>1</v>
      </c>
      <c r="AC24" s="1557">
        <v>1</v>
      </c>
    </row>
    <row r="25" spans="1:29" ht="73.5" customHeight="1">
      <c r="A25" s="495"/>
      <c r="B25" s="236" t="s">
        <v>536</v>
      </c>
      <c r="C25" s="553" t="str">
        <f>估价对象房地状况!C19</f>
        <v>零星有其他用地，基本不影响本宗地</v>
      </c>
      <c r="D25" s="543">
        <v>100</v>
      </c>
      <c r="E25" s="3146" t="s">
        <v>1069</v>
      </c>
      <c r="F25" s="545">
        <f>SUMIF(98:98,E26,99:99)-SUMIF(98:98,C26,99:99)+100</f>
        <v>100</v>
      </c>
      <c r="G25" s="3151" t="s">
        <v>1069</v>
      </c>
      <c r="H25" s="539">
        <f>SUMIF(98:98,G26,99:99)-SUMIF(98:98,C26,99:99)+100</f>
        <v>100</v>
      </c>
      <c r="I25" s="3146" t="s">
        <v>1069</v>
      </c>
      <c r="J25" s="539">
        <f>SUMIF(98:98,I26,99:99)-SUMIF(98:98,C26,99:99)+100</f>
        <v>100</v>
      </c>
      <c r="K25" s="515">
        <v>2</v>
      </c>
      <c r="L25" s="2122"/>
      <c r="M25" s="2112"/>
      <c r="N25" s="2112"/>
      <c r="O25" s="2121"/>
      <c r="P25" s="3435"/>
      <c r="Q25" s="1553" t="str">
        <f t="shared" ref="Q25:Q39" si="8">B25</f>
        <v>区域土地利用方向</v>
      </c>
      <c r="R25" s="1554" t="s">
        <v>8</v>
      </c>
      <c r="S25" s="1555">
        <f>F25</f>
        <v>100</v>
      </c>
      <c r="T25" s="1554" t="s">
        <v>8</v>
      </c>
      <c r="U25" s="1555">
        <f>H25</f>
        <v>100</v>
      </c>
      <c r="V25" s="1554" t="s">
        <v>8</v>
      </c>
      <c r="W25" s="1555">
        <f>J25</f>
        <v>100</v>
      </c>
      <c r="X25" s="1548"/>
      <c r="Y25" s="3435"/>
      <c r="Z25" s="1556" t="str">
        <f>Q25</f>
        <v>区域土地利用方向</v>
      </c>
      <c r="AA25" s="1557">
        <f t="shared" si="3"/>
        <v>1</v>
      </c>
      <c r="AB25" s="1557">
        <f t="shared" si="4"/>
        <v>1</v>
      </c>
      <c r="AC25" s="1557">
        <f t="shared" si="5"/>
        <v>1</v>
      </c>
    </row>
    <row r="26" spans="1:29" ht="20.25">
      <c r="A26" s="495"/>
      <c r="B26" s="986"/>
      <c r="C26" s="534" t="s">
        <v>1072</v>
      </c>
      <c r="D26" s="537"/>
      <c r="E26" s="556" t="s">
        <v>1072</v>
      </c>
      <c r="F26" s="535"/>
      <c r="G26" s="534" t="s">
        <v>1072</v>
      </c>
      <c r="H26" s="535"/>
      <c r="I26" s="556" t="s">
        <v>1072</v>
      </c>
      <c r="J26" s="535"/>
      <c r="K26" s="511"/>
      <c r="L26" s="2122"/>
      <c r="M26" s="2112"/>
      <c r="N26" s="2112"/>
      <c r="O26" s="2121"/>
      <c r="P26" s="3435"/>
      <c r="Q26" s="1553"/>
      <c r="R26" s="1554"/>
      <c r="S26" s="1555"/>
      <c r="T26" s="1554"/>
      <c r="U26" s="1555"/>
      <c r="V26" s="1554"/>
      <c r="W26" s="1555"/>
      <c r="X26" s="1548"/>
      <c r="Y26" s="3435"/>
      <c r="Z26" s="1556"/>
      <c r="AA26" s="1557"/>
      <c r="AB26" s="1557"/>
      <c r="AC26" s="1557"/>
    </row>
    <row r="27" spans="1:29" ht="75.75" customHeight="1">
      <c r="A27" s="495"/>
      <c r="B27" s="558" t="s">
        <v>537</v>
      </c>
      <c r="C27" s="541" t="str">
        <f>估价对象房地状况!C20</f>
        <v>区域自然环境：白浮泉公园等；人文环境：无；综合评价环境状况一般</v>
      </c>
      <c r="D27" s="543">
        <v>100</v>
      </c>
      <c r="E27" s="3148" t="s">
        <v>3262</v>
      </c>
      <c r="F27" s="539">
        <f>SUMIF(100:100,E28,101:101)-SUMIF(100:100,C28,101:101)+100</f>
        <v>102</v>
      </c>
      <c r="G27" s="3153" t="s">
        <v>3271</v>
      </c>
      <c r="H27" s="539">
        <f>SUMIF(100:100,G28,101:101)-SUMIF(100:100,C28,101:101)+100</f>
        <v>100</v>
      </c>
      <c r="I27" s="3148" t="s">
        <v>3271</v>
      </c>
      <c r="J27" s="539">
        <f>SUMIF(100:100,I28,101:101)-SUMIF(100:100,C28,101:101)+100</f>
        <v>100</v>
      </c>
      <c r="K27" s="515">
        <v>2</v>
      </c>
      <c r="L27" s="2122"/>
      <c r="M27" s="2112"/>
      <c r="N27" s="2112"/>
      <c r="O27" s="2121"/>
      <c r="P27" s="3435"/>
      <c r="Q27" s="1553" t="str">
        <f t="shared" si="8"/>
        <v>自然及人文环境状况</v>
      </c>
      <c r="R27" s="1554" t="s">
        <v>8</v>
      </c>
      <c r="S27" s="1555">
        <f>F27</f>
        <v>102</v>
      </c>
      <c r="T27" s="1554" t="s">
        <v>8</v>
      </c>
      <c r="U27" s="1555">
        <f>H27</f>
        <v>100</v>
      </c>
      <c r="V27" s="1554" t="s">
        <v>8</v>
      </c>
      <c r="W27" s="1555">
        <f>J27</f>
        <v>100</v>
      </c>
      <c r="X27" s="1548"/>
      <c r="Y27" s="3435"/>
      <c r="Z27" s="1556" t="str">
        <f>Q27</f>
        <v>自然及人文环境状况</v>
      </c>
      <c r="AA27" s="1557">
        <f t="shared" si="3"/>
        <v>0.98039215686274506</v>
      </c>
      <c r="AB27" s="1557">
        <f t="shared" si="4"/>
        <v>1</v>
      </c>
      <c r="AC27" s="1557">
        <f t="shared" si="5"/>
        <v>1</v>
      </c>
    </row>
    <row r="28" spans="1:29" ht="20.25">
      <c r="A28" s="495"/>
      <c r="B28" s="546"/>
      <c r="C28" s="534" t="s">
        <v>1073</v>
      </c>
      <c r="D28" s="537"/>
      <c r="E28" s="556" t="s">
        <v>1072</v>
      </c>
      <c r="F28" s="535"/>
      <c r="G28" s="534" t="s">
        <v>1073</v>
      </c>
      <c r="H28" s="535"/>
      <c r="I28" s="556" t="s">
        <v>1073</v>
      </c>
      <c r="J28" s="535"/>
      <c r="K28" s="511"/>
      <c r="L28" s="2122"/>
      <c r="M28" s="2112"/>
      <c r="N28" s="2112"/>
      <c r="O28" s="2121"/>
      <c r="P28" s="3435"/>
      <c r="Q28" s="1553"/>
      <c r="R28" s="1554"/>
      <c r="S28" s="1555"/>
      <c r="T28" s="1554"/>
      <c r="U28" s="1555"/>
      <c r="V28" s="1554"/>
      <c r="W28" s="1555"/>
      <c r="X28" s="1548"/>
      <c r="Y28" s="3435"/>
      <c r="Z28" s="1556"/>
      <c r="AA28" s="1557">
        <v>1</v>
      </c>
      <c r="AB28" s="1557">
        <v>1</v>
      </c>
      <c r="AC28" s="1557">
        <v>1</v>
      </c>
    </row>
    <row r="29" spans="1:29" s="1199" customFormat="1" ht="56.25" customHeight="1">
      <c r="A29" s="557"/>
      <c r="B29" s="2604" t="s">
        <v>2817</v>
      </c>
      <c r="C29" s="553" t="str">
        <f>估价对象房地状况!C21</f>
        <v>估价对象所在区域公共配套设施较齐备；</v>
      </c>
      <c r="D29" s="543">
        <v>100</v>
      </c>
      <c r="E29" s="3146" t="s">
        <v>3263</v>
      </c>
      <c r="F29" s="539">
        <f>SUMIF(102:102,E30,103:103)-SUMIF(102:102,C30,103:103)+100</f>
        <v>100</v>
      </c>
      <c r="G29" s="3151" t="s">
        <v>3263</v>
      </c>
      <c r="H29" s="539">
        <f>SUMIF(102:102,G30,103:103)-SUMIF(102:102,C30,103:103)+100</f>
        <v>100</v>
      </c>
      <c r="I29" s="3148" t="s">
        <v>3277</v>
      </c>
      <c r="J29" s="539">
        <f>SUMIF(102:102,I30,103:103)-SUMIF(102:102,C30,103:103)+100</f>
        <v>98</v>
      </c>
      <c r="K29" s="515">
        <v>2</v>
      </c>
      <c r="L29" s="2115"/>
      <c r="M29" s="2112"/>
      <c r="N29" s="2112"/>
      <c r="O29" s="2117"/>
      <c r="P29" s="3435"/>
      <c r="Q29" s="1130" t="str">
        <f t="shared" si="8"/>
        <v>公共配套设施</v>
      </c>
      <c r="R29" s="1549" t="s">
        <v>8</v>
      </c>
      <c r="S29" s="1550">
        <f>F29</f>
        <v>100</v>
      </c>
      <c r="T29" s="1549" t="s">
        <v>8</v>
      </c>
      <c r="U29" s="1550">
        <f>H29</f>
        <v>100</v>
      </c>
      <c r="V29" s="1549" t="s">
        <v>8</v>
      </c>
      <c r="W29" s="1550">
        <f>J29</f>
        <v>98</v>
      </c>
      <c r="X29" s="1551"/>
      <c r="Y29" s="3435"/>
      <c r="Z29" s="1129" t="str">
        <f>Q29</f>
        <v>公共配套设施</v>
      </c>
      <c r="AA29" s="1557">
        <f>D29/F29</f>
        <v>1</v>
      </c>
      <c r="AB29" s="1557">
        <f>D29/H29</f>
        <v>1</v>
      </c>
      <c r="AC29" s="1557">
        <f>D29/J29</f>
        <v>1.0204081632653061</v>
      </c>
    </row>
    <row r="30" spans="1:29" s="1199" customFormat="1" ht="20.25">
      <c r="A30" s="557"/>
      <c r="B30" s="546"/>
      <c r="C30" s="559" t="s">
        <v>1072</v>
      </c>
      <c r="D30" s="537"/>
      <c r="E30" s="556" t="s">
        <v>1072</v>
      </c>
      <c r="F30" s="535"/>
      <c r="G30" s="534" t="s">
        <v>1072</v>
      </c>
      <c r="H30" s="535"/>
      <c r="I30" s="556" t="s">
        <v>1073</v>
      </c>
      <c r="J30" s="535"/>
      <c r="K30" s="511"/>
      <c r="L30" s="2115"/>
      <c r="M30" s="2112"/>
      <c r="N30" s="2112"/>
      <c r="O30" s="2117"/>
      <c r="P30" s="3435"/>
      <c r="Q30" s="1130"/>
      <c r="R30" s="1549"/>
      <c r="S30" s="1550"/>
      <c r="T30" s="1549"/>
      <c r="U30" s="1550"/>
      <c r="V30" s="1549"/>
      <c r="W30" s="1550"/>
      <c r="X30" s="1551"/>
      <c r="Y30" s="3435"/>
      <c r="Z30" s="1129"/>
      <c r="AA30" s="1557">
        <v>1</v>
      </c>
      <c r="AB30" s="1557">
        <v>1</v>
      </c>
      <c r="AC30" s="1557">
        <v>1</v>
      </c>
    </row>
    <row r="31" spans="1:29" s="1199" customFormat="1" ht="28.5">
      <c r="A31" s="557"/>
      <c r="B31" s="2604" t="s">
        <v>2818</v>
      </c>
      <c r="C31" s="553" t="str">
        <f>估价对象房地状况!C22</f>
        <v>基础设施水平七通一平</v>
      </c>
      <c r="D31" s="543">
        <v>100</v>
      </c>
      <c r="E31" s="3146" t="s">
        <v>3264</v>
      </c>
      <c r="F31" s="539">
        <f>SUMIF(104:104,E32,105:105)-SUMIF(104:104,C32,105:105)+100</f>
        <v>100</v>
      </c>
      <c r="G31" s="3151" t="s">
        <v>3264</v>
      </c>
      <c r="H31" s="539">
        <f>SUMIF(104:104,G32,105:105)-SUMIF(104:104,C32,105:105)+100</f>
        <v>100</v>
      </c>
      <c r="I31" s="3146" t="s">
        <v>3264</v>
      </c>
      <c r="J31" s="539">
        <f>SUMIF(104:104,I32,105:105)-SUMIF(104:104,C32,105:105)+100</f>
        <v>100</v>
      </c>
      <c r="K31" s="515">
        <v>1</v>
      </c>
      <c r="L31" s="2115"/>
      <c r="M31" s="2112"/>
      <c r="N31" s="2112"/>
      <c r="O31" s="2117"/>
      <c r="P31" s="3435"/>
      <c r="Q31" s="2590" t="str">
        <f t="shared" ref="Q31" si="9">B31</f>
        <v>基础设施水平</v>
      </c>
      <c r="R31" s="1549" t="s">
        <v>8</v>
      </c>
      <c r="S31" s="1550">
        <f>F31</f>
        <v>100</v>
      </c>
      <c r="T31" s="1549" t="s">
        <v>8</v>
      </c>
      <c r="U31" s="1550">
        <f>H31</f>
        <v>100</v>
      </c>
      <c r="V31" s="1549" t="s">
        <v>8</v>
      </c>
      <c r="W31" s="1550">
        <f>J31</f>
        <v>100</v>
      </c>
      <c r="X31" s="1551"/>
      <c r="Y31" s="3435"/>
      <c r="Z31" s="2587" t="str">
        <f>Q31</f>
        <v>基础设施水平</v>
      </c>
      <c r="AA31" s="1557">
        <f>D31/F31</f>
        <v>1</v>
      </c>
      <c r="AB31" s="1557">
        <f>D31/H31</f>
        <v>1</v>
      </c>
      <c r="AC31" s="1557">
        <f>D31/J31</f>
        <v>1</v>
      </c>
    </row>
    <row r="32" spans="1:29" s="1199" customFormat="1" ht="20.25">
      <c r="A32" s="557"/>
      <c r="B32" s="546"/>
      <c r="C32" s="559" t="s">
        <v>2805</v>
      </c>
      <c r="D32" s="537"/>
      <c r="E32" s="2605" t="s">
        <v>2805</v>
      </c>
      <c r="F32" s="535"/>
      <c r="G32" s="559" t="s">
        <v>2805</v>
      </c>
      <c r="H32" s="535"/>
      <c r="I32" s="559" t="s">
        <v>2805</v>
      </c>
      <c r="J32" s="535"/>
      <c r="K32" s="511"/>
      <c r="L32" s="2115"/>
      <c r="M32" s="2112"/>
      <c r="N32" s="2112"/>
      <c r="O32" s="2117"/>
      <c r="P32" s="3435"/>
      <c r="Q32" s="2590"/>
      <c r="R32" s="1549"/>
      <c r="S32" s="1550"/>
      <c r="T32" s="1549"/>
      <c r="U32" s="1550"/>
      <c r="V32" s="1549"/>
      <c r="W32" s="1550"/>
      <c r="X32" s="1551"/>
      <c r="Y32" s="3435"/>
      <c r="Z32" s="2587"/>
      <c r="AA32" s="1557">
        <v>1</v>
      </c>
      <c r="AB32" s="1557">
        <v>1</v>
      </c>
      <c r="AC32" s="1557">
        <v>1</v>
      </c>
    </row>
    <row r="33" spans="1:29" ht="20.25">
      <c r="A33" s="512"/>
      <c r="B33" s="546" t="s">
        <v>539</v>
      </c>
      <c r="C33" s="560" t="s">
        <v>2584</v>
      </c>
      <c r="D33" s="555">
        <v>100</v>
      </c>
      <c r="E33" s="563" t="s">
        <v>2584</v>
      </c>
      <c r="F33" s="520">
        <f>SUMIF(106:106,E33,107:107)-SUMIF(106:106,C33,107:107)+100</f>
        <v>100</v>
      </c>
      <c r="G33" s="560" t="s">
        <v>2584</v>
      </c>
      <c r="H33" s="520">
        <f>SUMIF(106:106,G33,107:107)-SUMIF(106:106,C33,107:107)+100</f>
        <v>100</v>
      </c>
      <c r="I33" s="560" t="s">
        <v>2584</v>
      </c>
      <c r="J33" s="520">
        <f>SUMIF(106:106,I33,107:107)-SUMIF(106:106,C33,107:107)+100</f>
        <v>100</v>
      </c>
      <c r="K33" s="3156">
        <v>1</v>
      </c>
      <c r="L33" s="2122"/>
      <c r="M33" s="2112"/>
      <c r="N33" s="2112"/>
      <c r="O33" s="2121"/>
      <c r="P33" s="3435"/>
      <c r="Q33" s="1553" t="str">
        <f t="shared" si="8"/>
        <v>临街状况</v>
      </c>
      <c r="R33" s="1554" t="s">
        <v>8</v>
      </c>
      <c r="S33" s="1555">
        <f t="shared" ref="S33:S47" si="10">F33</f>
        <v>100</v>
      </c>
      <c r="T33" s="1554" t="s">
        <v>8</v>
      </c>
      <c r="U33" s="1555">
        <f t="shared" ref="U33:U47" si="11">H33</f>
        <v>100</v>
      </c>
      <c r="V33" s="1554" t="s">
        <v>8</v>
      </c>
      <c r="W33" s="1555">
        <f t="shared" ref="W33:W47" si="12">J33</f>
        <v>100</v>
      </c>
      <c r="X33" s="1548"/>
      <c r="Y33" s="3435"/>
      <c r="Z33" s="1556" t="str">
        <f t="shared" ref="Z33:Z47" si="13">Q33</f>
        <v>临街状况</v>
      </c>
      <c r="AA33" s="1557">
        <f t="shared" si="3"/>
        <v>1</v>
      </c>
      <c r="AB33" s="1557">
        <f t="shared" si="4"/>
        <v>1</v>
      </c>
      <c r="AC33" s="1557">
        <f t="shared" si="5"/>
        <v>1</v>
      </c>
    </row>
    <row r="34" spans="1:29" ht="27">
      <c r="A34" s="512"/>
      <c r="B34" s="558" t="s">
        <v>540</v>
      </c>
      <c r="C34" s="3141" t="str">
        <f>[1]估价对象房地状况!C10</f>
        <v>城市支路——南中路</v>
      </c>
      <c r="D34" s="543">
        <v>100</v>
      </c>
      <c r="E34" s="3148" t="s">
        <v>3265</v>
      </c>
      <c r="F34" s="539">
        <f>SUMIF(108:108,E35,109:109)-SUMIF(108:108,C35,109:109)+100</f>
        <v>100</v>
      </c>
      <c r="G34" s="3148" t="s">
        <v>3272</v>
      </c>
      <c r="H34" s="539">
        <f>SUMIF(108:108,G35,109:109)-SUMIF(108:108,C35,109:109)+100</f>
        <v>100</v>
      </c>
      <c r="I34" s="3148" t="s">
        <v>3278</v>
      </c>
      <c r="J34" s="539">
        <f>SUMIF(108:108,I35,109:109)-SUMIF(108:108,C35,109:109)+100</f>
        <v>100</v>
      </c>
      <c r="K34" s="3156">
        <v>1.5</v>
      </c>
      <c r="L34" s="2122"/>
      <c r="M34" s="2112"/>
      <c r="N34" s="2112"/>
      <c r="O34" s="2121"/>
      <c r="P34" s="3435"/>
      <c r="Q34" s="1553" t="str">
        <f t="shared" si="8"/>
        <v>毗邻道路的类型与等级</v>
      </c>
      <c r="R34" s="1554" t="s">
        <v>8</v>
      </c>
      <c r="S34" s="1555">
        <f t="shared" si="10"/>
        <v>100</v>
      </c>
      <c r="T34" s="1554" t="s">
        <v>8</v>
      </c>
      <c r="U34" s="1555">
        <f t="shared" si="11"/>
        <v>100</v>
      </c>
      <c r="V34" s="1554" t="s">
        <v>8</v>
      </c>
      <c r="W34" s="1555">
        <f t="shared" si="12"/>
        <v>100</v>
      </c>
      <c r="X34" s="1548"/>
      <c r="Y34" s="3435"/>
      <c r="Z34" s="1556" t="str">
        <f t="shared" si="13"/>
        <v>毗邻道路的类型与等级</v>
      </c>
      <c r="AA34" s="1557">
        <f t="shared" si="3"/>
        <v>1</v>
      </c>
      <c r="AB34" s="1557">
        <f t="shared" si="4"/>
        <v>1</v>
      </c>
      <c r="AC34" s="1557">
        <f t="shared" si="5"/>
        <v>1</v>
      </c>
    </row>
    <row r="35" spans="1:29" ht="20.25">
      <c r="A35" s="512"/>
      <c r="B35" s="546"/>
      <c r="C35" s="534" t="s">
        <v>1890</v>
      </c>
      <c r="D35" s="537"/>
      <c r="E35" s="556" t="s">
        <v>1890</v>
      </c>
      <c r="F35" s="535"/>
      <c r="G35" s="534" t="s">
        <v>1890</v>
      </c>
      <c r="H35" s="535"/>
      <c r="I35" s="556" t="s">
        <v>1890</v>
      </c>
      <c r="J35" s="535"/>
      <c r="K35" s="561"/>
      <c r="L35" s="2122"/>
      <c r="M35" s="2112"/>
      <c r="N35" s="2112"/>
      <c r="O35" s="2121"/>
      <c r="P35" s="3435"/>
      <c r="Q35" s="1553"/>
      <c r="R35" s="1554"/>
      <c r="S35" s="1555"/>
      <c r="T35" s="1554"/>
      <c r="U35" s="1555"/>
      <c r="V35" s="1554"/>
      <c r="W35" s="1555"/>
      <c r="X35" s="1548"/>
      <c r="Y35" s="3435"/>
      <c r="Z35" s="1556"/>
      <c r="AA35" s="1557">
        <v>1</v>
      </c>
      <c r="AB35" s="1557">
        <v>1</v>
      </c>
      <c r="AC35" s="1557">
        <v>1</v>
      </c>
    </row>
    <row r="36" spans="1:29" ht="20.25">
      <c r="A36" s="512"/>
      <c r="B36" s="562" t="s">
        <v>542</v>
      </c>
      <c r="C36" s="560"/>
      <c r="D36" s="555">
        <v>100</v>
      </c>
      <c r="E36" s="563"/>
      <c r="F36" s="520">
        <f>SUMIF(110:110,E36,111:111)-SUMIF(110:110,C36,111:111)+100</f>
        <v>100</v>
      </c>
      <c r="G36" s="560"/>
      <c r="H36" s="520">
        <f>SUMIF(110:110,G36,111:111)-SUMIF(110:110,C36,111:111)+100</f>
        <v>100</v>
      </c>
      <c r="I36" s="563"/>
      <c r="J36" s="520">
        <f>SUMIF(110:110,I36,111:111)-SUMIF(110:110,C36,111:111)+100</f>
        <v>100</v>
      </c>
      <c r="K36" s="564"/>
      <c r="L36" s="2122"/>
      <c r="M36" s="2112"/>
      <c r="N36" s="2112"/>
      <c r="O36" s="2121"/>
      <c r="P36" s="3435"/>
      <c r="Q36" s="1553" t="str">
        <f t="shared" si="8"/>
        <v>土地级别</v>
      </c>
      <c r="R36" s="1554" t="s">
        <v>8</v>
      </c>
      <c r="S36" s="1555">
        <f t="shared" si="10"/>
        <v>100</v>
      </c>
      <c r="T36" s="1554" t="s">
        <v>8</v>
      </c>
      <c r="U36" s="1555">
        <f t="shared" si="11"/>
        <v>100</v>
      </c>
      <c r="V36" s="1554" t="s">
        <v>8</v>
      </c>
      <c r="W36" s="1555">
        <f t="shared" si="12"/>
        <v>100</v>
      </c>
      <c r="X36" s="1548"/>
      <c r="Y36" s="3435"/>
      <c r="Z36" s="1556" t="str">
        <f t="shared" si="13"/>
        <v>土地级别</v>
      </c>
      <c r="AA36" s="1557">
        <f t="shared" si="3"/>
        <v>1</v>
      </c>
      <c r="AB36" s="1557">
        <f t="shared" si="4"/>
        <v>1</v>
      </c>
      <c r="AC36" s="1557">
        <f t="shared" si="5"/>
        <v>1</v>
      </c>
    </row>
    <row r="37" spans="1:29" ht="20.25">
      <c r="A37" s="495"/>
      <c r="B37" s="565"/>
      <c r="C37" s="566"/>
      <c r="D37" s="555">
        <v>100</v>
      </c>
      <c r="E37" s="522"/>
      <c r="F37" s="520">
        <f>SUMIF(112:112,E37,113:113)-SUMIF(112:112,C37,113:113)+100</f>
        <v>100</v>
      </c>
      <c r="G37" s="522"/>
      <c r="H37" s="520">
        <f>SUMIF(112:112,G37,113:113)-SUMIF(112:112,C37,113:113)+100</f>
        <v>100</v>
      </c>
      <c r="I37" s="3155"/>
      <c r="J37" s="520">
        <f>SUMIF(112:112,I37,113:113)-SUMIF(112:112,C37,113:113)+100</f>
        <v>100</v>
      </c>
      <c r="K37" s="561"/>
      <c r="L37" s="2122"/>
      <c r="M37" s="2112"/>
      <c r="N37" s="2112"/>
      <c r="O37" s="2121"/>
      <c r="P37" s="3435"/>
      <c r="Q37" s="1553">
        <f t="shared" si="8"/>
        <v>0</v>
      </c>
      <c r="R37" s="1554" t="s">
        <v>8</v>
      </c>
      <c r="S37" s="1555">
        <f t="shared" si="10"/>
        <v>100</v>
      </c>
      <c r="T37" s="1554" t="s">
        <v>8</v>
      </c>
      <c r="U37" s="1555">
        <f t="shared" si="11"/>
        <v>100</v>
      </c>
      <c r="V37" s="1554" t="s">
        <v>8</v>
      </c>
      <c r="W37" s="1555">
        <f t="shared" si="12"/>
        <v>100</v>
      </c>
      <c r="X37" s="1548"/>
      <c r="Y37" s="3435"/>
      <c r="Z37" s="1556">
        <f t="shared" si="13"/>
        <v>0</v>
      </c>
      <c r="AA37" s="1557">
        <f t="shared" si="3"/>
        <v>1</v>
      </c>
      <c r="AB37" s="1557">
        <f t="shared" si="4"/>
        <v>1</v>
      </c>
      <c r="AC37" s="1557">
        <f t="shared" si="5"/>
        <v>1</v>
      </c>
    </row>
    <row r="38" spans="1:29" ht="20.25">
      <c r="A38" s="567"/>
      <c r="B38" s="568"/>
      <c r="C38" s="566"/>
      <c r="D38" s="555">
        <v>100</v>
      </c>
      <c r="E38" s="522"/>
      <c r="F38" s="520">
        <f>SUMIF(114:114,E39,115:115)-SUMIF(114:114,C39,115:115)+100</f>
        <v>100</v>
      </c>
      <c r="G38" s="566"/>
      <c r="H38" s="520">
        <f>SUMIF(114:114,G38,115:115)-SUMIF(114:114,C38,115:115)+100</f>
        <v>100</v>
      </c>
      <c r="I38" s="522"/>
      <c r="J38" s="520">
        <f>SUMIF(114:114,I38,115:115)-SUMIF(114:114,C38,115:115)+100</f>
        <v>100</v>
      </c>
      <c r="K38" s="561"/>
      <c r="L38" s="2122"/>
      <c r="M38" s="2112"/>
      <c r="N38" s="2112"/>
      <c r="O38" s="2121"/>
      <c r="P38" s="3436" t="s">
        <v>543</v>
      </c>
      <c r="Q38" s="1553">
        <f t="shared" si="8"/>
        <v>0</v>
      </c>
      <c r="R38" s="1554" t="s">
        <v>8</v>
      </c>
      <c r="S38" s="1555">
        <f t="shared" si="10"/>
        <v>100</v>
      </c>
      <c r="T38" s="1554" t="s">
        <v>8</v>
      </c>
      <c r="U38" s="1555">
        <f t="shared" si="11"/>
        <v>100</v>
      </c>
      <c r="V38" s="1554" t="s">
        <v>8</v>
      </c>
      <c r="W38" s="1555">
        <f t="shared" si="12"/>
        <v>100</v>
      </c>
      <c r="X38" s="1548"/>
      <c r="Y38" s="3437" t="s">
        <v>543</v>
      </c>
      <c r="Z38" s="1556">
        <f t="shared" si="13"/>
        <v>0</v>
      </c>
      <c r="AA38" s="1557">
        <f t="shared" si="3"/>
        <v>1</v>
      </c>
      <c r="AB38" s="1557">
        <f t="shared" si="4"/>
        <v>1</v>
      </c>
      <c r="AC38" s="1557">
        <f t="shared" si="5"/>
        <v>1</v>
      </c>
    </row>
    <row r="39" spans="1:29" s="1324" customFormat="1" ht="21" thickBot="1">
      <c r="A39" s="569"/>
      <c r="B39" s="570"/>
      <c r="C39" s="571"/>
      <c r="D39" s="720">
        <v>100</v>
      </c>
      <c r="E39" s="573"/>
      <c r="F39" s="526">
        <f>SUMIF(116:116,E39,117:117)-SUMIF(116:116,C39,117:117)+100</f>
        <v>100</v>
      </c>
      <c r="G39" s="721"/>
      <c r="H39" s="526">
        <f>SUMIF(116:116,G39,117:117)-SUMIF(116:116,C39,117:117)+100</f>
        <v>100</v>
      </c>
      <c r="I39" s="573"/>
      <c r="J39" s="526">
        <f>SUMIF(116:116,I39,117:117)-SUMIF(116:116,C39,117:117)+100</f>
        <v>100</v>
      </c>
      <c r="K39" s="561"/>
      <c r="L39" s="2120"/>
      <c r="M39" s="2112"/>
      <c r="N39" s="2112"/>
      <c r="O39" s="2123"/>
      <c r="P39" s="3437"/>
      <c r="Q39" s="1553">
        <f t="shared" si="8"/>
        <v>0</v>
      </c>
      <c r="R39" s="1558" t="s">
        <v>8</v>
      </c>
      <c r="S39" s="1559">
        <f t="shared" si="10"/>
        <v>100</v>
      </c>
      <c r="T39" s="1558" t="s">
        <v>8</v>
      </c>
      <c r="U39" s="1559">
        <f t="shared" si="11"/>
        <v>100</v>
      </c>
      <c r="V39" s="1558" t="s">
        <v>8</v>
      </c>
      <c r="W39" s="1559">
        <f t="shared" si="12"/>
        <v>100</v>
      </c>
      <c r="X39" s="1560"/>
      <c r="Y39" s="3437"/>
      <c r="Z39" s="1561">
        <f t="shared" si="13"/>
        <v>0</v>
      </c>
      <c r="AA39" s="1557">
        <f t="shared" si="3"/>
        <v>1</v>
      </c>
      <c r="AB39" s="1557">
        <f t="shared" si="4"/>
        <v>1</v>
      </c>
      <c r="AC39" s="1557">
        <f t="shared" si="5"/>
        <v>1</v>
      </c>
    </row>
    <row r="40" spans="1:29" ht="20.25">
      <c r="A40" s="2925" t="s">
        <v>3038</v>
      </c>
      <c r="B40" s="575" t="s">
        <v>545</v>
      </c>
      <c r="C40" s="3142">
        <f>'数据-基础表'!A3</f>
        <v>123699.99999999999</v>
      </c>
      <c r="D40" s="577">
        <v>100</v>
      </c>
      <c r="E40" s="576">
        <f>[1]土地案例!K13</f>
        <v>45195.85</v>
      </c>
      <c r="F40" s="577">
        <f>LOOKUP(E40,119:119,120:120)-LOOKUP(C40,119:119,120:120)+100</f>
        <v>98</v>
      </c>
      <c r="G40" s="576">
        <f>[1]土地案例!K56</f>
        <v>103665</v>
      </c>
      <c r="H40" s="577">
        <f>LOOKUP(G40,119:119,120:120)-LOOKUP(C40,119:119,120:120)+100</f>
        <v>100</v>
      </c>
      <c r="I40" s="578">
        <f>[1]土地案例!K57</f>
        <v>78813.75</v>
      </c>
      <c r="J40" s="577">
        <f>LOOKUP(I40,119:119,120:120)-LOOKUP(C40,119:119,120:120)+100</f>
        <v>99</v>
      </c>
      <c r="K40" s="561"/>
      <c r="L40" s="2122"/>
      <c r="M40" s="2112"/>
      <c r="N40" s="2112"/>
      <c r="O40" s="2121"/>
      <c r="P40" s="3437"/>
      <c r="Q40" s="1553" t="str">
        <f>B40</f>
        <v>宗地面积</v>
      </c>
      <c r="R40" s="1554" t="s">
        <v>8</v>
      </c>
      <c r="S40" s="1555">
        <f t="shared" si="10"/>
        <v>98</v>
      </c>
      <c r="T40" s="1554" t="s">
        <v>8</v>
      </c>
      <c r="U40" s="1555">
        <f t="shared" si="11"/>
        <v>100</v>
      </c>
      <c r="V40" s="1554" t="s">
        <v>8</v>
      </c>
      <c r="W40" s="1555">
        <f t="shared" si="12"/>
        <v>99</v>
      </c>
      <c r="X40" s="1548"/>
      <c r="Y40" s="3437"/>
      <c r="Z40" s="1556" t="str">
        <f t="shared" si="13"/>
        <v>宗地面积</v>
      </c>
      <c r="AA40" s="1557">
        <f t="shared" si="3"/>
        <v>1.0204081632653061</v>
      </c>
      <c r="AB40" s="1557">
        <f t="shared" si="4"/>
        <v>1</v>
      </c>
      <c r="AC40" s="1557">
        <f t="shared" si="5"/>
        <v>1.0101010101010102</v>
      </c>
    </row>
    <row r="41" spans="1:29" ht="20.25">
      <c r="A41" s="574"/>
      <c r="B41" s="507" t="s">
        <v>546</v>
      </c>
      <c r="C41" s="554" t="s">
        <v>2589</v>
      </c>
      <c r="D41" s="520">
        <v>100</v>
      </c>
      <c r="E41" s="554" t="s">
        <v>2589</v>
      </c>
      <c r="F41" s="520">
        <f>SUMIF(121:121,E41,122:122)-SUMIF(121:121,C41,122:122)+100</f>
        <v>100</v>
      </c>
      <c r="G41" s="554" t="s">
        <v>2589</v>
      </c>
      <c r="H41" s="520">
        <f>SUMIF(121:121,G41,122:122)-SUMIF(121:121,C41,122:122)+100</f>
        <v>100</v>
      </c>
      <c r="I41" s="554" t="s">
        <v>2585</v>
      </c>
      <c r="J41" s="520">
        <f>SUMIF(121:121,I41,122:122)-SUMIF(121:121,C41,122:122)+100</f>
        <v>101</v>
      </c>
      <c r="K41" s="564">
        <v>1</v>
      </c>
      <c r="L41" s="2122"/>
      <c r="M41" s="2112"/>
      <c r="N41" s="2112"/>
      <c r="O41" s="2121"/>
      <c r="P41" s="3437"/>
      <c r="Q41" s="1553" t="str">
        <f t="shared" ref="Q41:Q47" si="14">B41</f>
        <v>宗地形状</v>
      </c>
      <c r="R41" s="1554" t="s">
        <v>8</v>
      </c>
      <c r="S41" s="1555">
        <f t="shared" si="10"/>
        <v>100</v>
      </c>
      <c r="T41" s="1554" t="s">
        <v>8</v>
      </c>
      <c r="U41" s="1555">
        <f t="shared" si="11"/>
        <v>100</v>
      </c>
      <c r="V41" s="1554" t="s">
        <v>8</v>
      </c>
      <c r="W41" s="1555">
        <f t="shared" si="12"/>
        <v>101</v>
      </c>
      <c r="X41" s="1548"/>
      <c r="Y41" s="3437"/>
      <c r="Z41" s="1556" t="str">
        <f t="shared" si="13"/>
        <v>宗地形状</v>
      </c>
      <c r="AA41" s="1557">
        <f t="shared" si="3"/>
        <v>1</v>
      </c>
      <c r="AB41" s="1557">
        <f t="shared" si="4"/>
        <v>1</v>
      </c>
      <c r="AC41" s="1557">
        <f t="shared" si="5"/>
        <v>0.99009900990099009</v>
      </c>
    </row>
    <row r="42" spans="1:29" ht="20.25">
      <c r="A42" s="574"/>
      <c r="B42" s="507" t="s">
        <v>547</v>
      </c>
      <c r="C42" s="554" t="s">
        <v>3255</v>
      </c>
      <c r="D42" s="520">
        <v>100</v>
      </c>
      <c r="E42" s="554" t="s">
        <v>3255</v>
      </c>
      <c r="F42" s="520">
        <f>SUMIF(123:123,E42,124:124)-SUMIF(123:123,C42,124:124)+100</f>
        <v>100</v>
      </c>
      <c r="G42" s="554" t="s">
        <v>3255</v>
      </c>
      <c r="H42" s="520">
        <f>SUMIF(123:123,G42,124:124)-SUMIF(123:123,C42,124:124)+100</f>
        <v>100</v>
      </c>
      <c r="I42" s="554" t="s">
        <v>3255</v>
      </c>
      <c r="J42" s="520">
        <f>SUMIF(123:123,I42,124:124)-SUMIF(123:123,C42,124:124)+100</f>
        <v>100</v>
      </c>
      <c r="K42" s="564">
        <v>1.5</v>
      </c>
      <c r="L42" s="2122"/>
      <c r="M42" s="2112"/>
      <c r="N42" s="2112"/>
      <c r="O42" s="2121"/>
      <c r="P42" s="3437"/>
      <c r="Q42" s="1553" t="str">
        <f t="shared" si="14"/>
        <v>临街宽度及深度</v>
      </c>
      <c r="R42" s="1554" t="s">
        <v>8</v>
      </c>
      <c r="S42" s="1555">
        <f t="shared" si="10"/>
        <v>100</v>
      </c>
      <c r="T42" s="1554" t="s">
        <v>8</v>
      </c>
      <c r="U42" s="1555">
        <f t="shared" si="11"/>
        <v>100</v>
      </c>
      <c r="V42" s="1554" t="s">
        <v>8</v>
      </c>
      <c r="W42" s="1555">
        <f t="shared" si="12"/>
        <v>100</v>
      </c>
      <c r="X42" s="1548"/>
      <c r="Y42" s="3437"/>
      <c r="Z42" s="1556" t="str">
        <f t="shared" si="13"/>
        <v>临街宽度及深度</v>
      </c>
      <c r="AA42" s="1557">
        <f t="shared" si="3"/>
        <v>1</v>
      </c>
      <c r="AB42" s="1557">
        <f t="shared" si="4"/>
        <v>1</v>
      </c>
      <c r="AC42" s="1557">
        <f t="shared" si="5"/>
        <v>1</v>
      </c>
    </row>
    <row r="43" spans="1:29" s="1199" customFormat="1" ht="20.25">
      <c r="A43" s="580"/>
      <c r="B43" s="1870" t="s">
        <v>2679</v>
      </c>
      <c r="C43" s="911" t="s">
        <v>3256</v>
      </c>
      <c r="D43" s="232">
        <v>100</v>
      </c>
      <c r="E43" s="911" t="s">
        <v>1903</v>
      </c>
      <c r="F43" s="520">
        <f>SUMIF(125:125,E43,126:126)-SUMIF(125:125,C43,126:126)+100</f>
        <v>99</v>
      </c>
      <c r="G43" s="911" t="s">
        <v>1903</v>
      </c>
      <c r="H43" s="520">
        <f>SUMIF(125:125,G43,126:126)-SUMIF(125:125,C43,126:126)+100</f>
        <v>99</v>
      </c>
      <c r="I43" s="911" t="s">
        <v>3279</v>
      </c>
      <c r="J43" s="520">
        <f>SUMIF(125:125,I43,126:126)-SUMIF(125:125,C43,126:126)+100</f>
        <v>96</v>
      </c>
      <c r="K43" s="564">
        <v>1</v>
      </c>
      <c r="L43" s="2115"/>
      <c r="M43" s="2112"/>
      <c r="N43" s="2112"/>
      <c r="O43" s="2117"/>
      <c r="P43" s="3437"/>
      <c r="Q43" s="1553" t="str">
        <f t="shared" si="14"/>
        <v>宗地开发程度</v>
      </c>
      <c r="R43" s="1549" t="s">
        <v>8</v>
      </c>
      <c r="S43" s="1550">
        <f t="shared" si="10"/>
        <v>99</v>
      </c>
      <c r="T43" s="1549" t="s">
        <v>8</v>
      </c>
      <c r="U43" s="1550">
        <f t="shared" si="11"/>
        <v>99</v>
      </c>
      <c r="V43" s="1549" t="s">
        <v>8</v>
      </c>
      <c r="W43" s="1550">
        <f t="shared" si="12"/>
        <v>96</v>
      </c>
      <c r="X43" s="1551"/>
      <c r="Y43" s="3437"/>
      <c r="Z43" s="1129" t="str">
        <f t="shared" si="13"/>
        <v>宗地开发程度</v>
      </c>
      <c r="AA43" s="1552">
        <f t="shared" si="3"/>
        <v>1.0101010101010102</v>
      </c>
      <c r="AB43" s="1552">
        <f t="shared" si="4"/>
        <v>1.0101010101010102</v>
      </c>
      <c r="AC43" s="1552">
        <f t="shared" si="5"/>
        <v>1.0416666666666667</v>
      </c>
    </row>
    <row r="44" spans="1:29" ht="20.25">
      <c r="A44" s="574"/>
      <c r="B44" s="507" t="s">
        <v>551</v>
      </c>
      <c r="C44" s="554" t="s">
        <v>1072</v>
      </c>
      <c r="D44" s="520">
        <v>100</v>
      </c>
      <c r="E44" s="554" t="s">
        <v>1072</v>
      </c>
      <c r="F44" s="520">
        <f>SUMIF(127:127,E44,128:128)-SUMIF(127:127,C44,128:128)+100</f>
        <v>100</v>
      </c>
      <c r="G44" s="554" t="s">
        <v>1072</v>
      </c>
      <c r="H44" s="520">
        <f>SUMIF(127:127,G44,128:128)-SUMIF(127:127,C44,128:128)+100</f>
        <v>100</v>
      </c>
      <c r="I44" s="554" t="s">
        <v>1072</v>
      </c>
      <c r="J44" s="520">
        <f>SUMIF(127:127,I44,128:128)-SUMIF(127:127,C44,128:128)+100</f>
        <v>100</v>
      </c>
      <c r="K44" s="564">
        <v>1</v>
      </c>
      <c r="L44" s="2122"/>
      <c r="M44" s="2112"/>
      <c r="N44" s="2112"/>
      <c r="O44" s="2121"/>
      <c r="P44" s="3437" t="s">
        <v>543</v>
      </c>
      <c r="Q44" s="1553" t="str">
        <f t="shared" si="14"/>
        <v>工程地质条件</v>
      </c>
      <c r="R44" s="1554" t="s">
        <v>8</v>
      </c>
      <c r="S44" s="1555">
        <f t="shared" si="10"/>
        <v>100</v>
      </c>
      <c r="T44" s="1554" t="s">
        <v>8</v>
      </c>
      <c r="U44" s="1555">
        <f t="shared" si="11"/>
        <v>100</v>
      </c>
      <c r="V44" s="1554" t="s">
        <v>8</v>
      </c>
      <c r="W44" s="1555">
        <f t="shared" si="12"/>
        <v>100</v>
      </c>
      <c r="X44" s="1548"/>
      <c r="Y44" s="3437" t="s">
        <v>543</v>
      </c>
      <c r="Z44" s="1556" t="str">
        <f t="shared" si="13"/>
        <v>工程地质条件</v>
      </c>
      <c r="AA44" s="1557">
        <f t="shared" si="3"/>
        <v>1</v>
      </c>
      <c r="AB44" s="1557">
        <f t="shared" si="4"/>
        <v>1</v>
      </c>
      <c r="AC44" s="1557">
        <f t="shared" si="5"/>
        <v>1</v>
      </c>
    </row>
    <row r="45" spans="1:29" ht="20.25">
      <c r="A45" s="574"/>
      <c r="B45" s="582"/>
      <c r="C45" s="522"/>
      <c r="D45" s="520">
        <v>100</v>
      </c>
      <c r="E45" s="522"/>
      <c r="F45" s="520">
        <f>SUMIF(129:129,E45,130:130)-SUMIF(129:129,C45,130:130)+100</f>
        <v>100</v>
      </c>
      <c r="G45" s="522"/>
      <c r="H45" s="520">
        <f>SUMIF(129:129,G45,130:130)-SUMIF(129:129,C45,130:130)+100</f>
        <v>100</v>
      </c>
      <c r="I45" s="521"/>
      <c r="J45" s="520">
        <f>SUMIF(129:129,I45,130:130)-SUMIF(129:129,C45,130:130)+100</f>
        <v>100</v>
      </c>
      <c r="K45" s="561"/>
      <c r="L45" s="2122"/>
      <c r="M45" s="2112"/>
      <c r="N45" s="2112"/>
      <c r="O45" s="2121"/>
      <c r="P45" s="3437"/>
      <c r="Q45" s="1553">
        <f t="shared" si="14"/>
        <v>0</v>
      </c>
      <c r="R45" s="1554" t="s">
        <v>8</v>
      </c>
      <c r="S45" s="1555">
        <f t="shared" si="10"/>
        <v>100</v>
      </c>
      <c r="T45" s="1554" t="s">
        <v>8</v>
      </c>
      <c r="U45" s="1555">
        <f t="shared" si="11"/>
        <v>100</v>
      </c>
      <c r="V45" s="1554" t="s">
        <v>8</v>
      </c>
      <c r="W45" s="1555">
        <f t="shared" si="12"/>
        <v>100</v>
      </c>
      <c r="X45" s="1548"/>
      <c r="Y45" s="3437"/>
      <c r="Z45" s="1556">
        <f t="shared" si="13"/>
        <v>0</v>
      </c>
      <c r="AA45" s="1557">
        <f t="shared" si="3"/>
        <v>1</v>
      </c>
      <c r="AB45" s="1557">
        <f t="shared" si="4"/>
        <v>1</v>
      </c>
      <c r="AC45" s="1557">
        <f t="shared" si="5"/>
        <v>1</v>
      </c>
    </row>
    <row r="46" spans="1:29" ht="20.25">
      <c r="A46" s="574"/>
      <c r="B46" s="582"/>
      <c r="C46" s="522"/>
      <c r="D46" s="520">
        <v>100</v>
      </c>
      <c r="E46" s="522"/>
      <c r="F46" s="520">
        <f>SUMIF(131:131,E46,132:132)-SUMIF(131:131,C46,132:132)+100</f>
        <v>100</v>
      </c>
      <c r="G46" s="522"/>
      <c r="H46" s="520">
        <f>SUMIF(131:131,G46,132:132)-SUMIF(131:131,C46,132:132)+100</f>
        <v>100</v>
      </c>
      <c r="I46" s="521"/>
      <c r="J46" s="520">
        <f>SUMIF(131:131,I46,132:132)-SUMIF(131:131,C46,132:132)+100</f>
        <v>100</v>
      </c>
      <c r="K46" s="561"/>
      <c r="L46" s="2122"/>
      <c r="M46" s="2112"/>
      <c r="N46" s="2112"/>
      <c r="O46" s="2121"/>
      <c r="P46" s="3437"/>
      <c r="Q46" s="1553">
        <f t="shared" si="14"/>
        <v>0</v>
      </c>
      <c r="R46" s="1554" t="s">
        <v>8</v>
      </c>
      <c r="S46" s="1555">
        <f t="shared" si="10"/>
        <v>100</v>
      </c>
      <c r="T46" s="1554" t="s">
        <v>8</v>
      </c>
      <c r="U46" s="1555">
        <f t="shared" si="11"/>
        <v>100</v>
      </c>
      <c r="V46" s="1554" t="s">
        <v>8</v>
      </c>
      <c r="W46" s="1555">
        <f t="shared" si="12"/>
        <v>100</v>
      </c>
      <c r="X46" s="1548"/>
      <c r="Y46" s="3437"/>
      <c r="Z46" s="1556">
        <f t="shared" si="13"/>
        <v>0</v>
      </c>
      <c r="AA46" s="1557">
        <f t="shared" si="3"/>
        <v>1</v>
      </c>
      <c r="AB46" s="1557">
        <f t="shared" si="4"/>
        <v>1</v>
      </c>
      <c r="AC46" s="1557">
        <f t="shared" si="5"/>
        <v>1</v>
      </c>
    </row>
    <row r="47" spans="1:29" s="1324" customFormat="1" ht="21" thickBot="1">
      <c r="A47" s="583"/>
      <c r="B47" s="582"/>
      <c r="C47" s="584"/>
      <c r="D47" s="585">
        <v>100</v>
      </c>
      <c r="E47" s="522"/>
      <c r="F47" s="526">
        <f>SUMIF(133:133,E47,134:134)-SUMIF(133:133,C47,134:134)+100</f>
        <v>100</v>
      </c>
      <c r="G47" s="522"/>
      <c r="H47" s="526">
        <f>SUMIF(133:133,G47,134:134)-SUMIF(133:133,C47,134:134)+100</f>
        <v>100</v>
      </c>
      <c r="I47" s="522"/>
      <c r="J47" s="526">
        <f>SUMIF(133:133,I47,134:134)-SUMIF(133:133,C47,134:134)+100</f>
        <v>100</v>
      </c>
      <c r="K47" s="586"/>
      <c r="L47" s="2120"/>
      <c r="M47" s="2112"/>
      <c r="N47" s="2112"/>
      <c r="O47" s="2123"/>
      <c r="P47" s="3437"/>
      <c r="Q47" s="1553">
        <f t="shared" si="14"/>
        <v>0</v>
      </c>
      <c r="R47" s="1558" t="s">
        <v>8</v>
      </c>
      <c r="S47" s="1559">
        <f t="shared" si="10"/>
        <v>100</v>
      </c>
      <c r="T47" s="1558" t="s">
        <v>8</v>
      </c>
      <c r="U47" s="1559">
        <f t="shared" si="11"/>
        <v>100</v>
      </c>
      <c r="V47" s="1558" t="s">
        <v>8</v>
      </c>
      <c r="W47" s="1559">
        <f t="shared" si="12"/>
        <v>100</v>
      </c>
      <c r="X47" s="1560"/>
      <c r="Y47" s="3437"/>
      <c r="Z47" s="1561">
        <f t="shared" si="13"/>
        <v>0</v>
      </c>
      <c r="AA47" s="1557">
        <f t="shared" si="3"/>
        <v>1</v>
      </c>
      <c r="AB47" s="1557">
        <f t="shared" si="4"/>
        <v>1</v>
      </c>
      <c r="AC47" s="1557">
        <f t="shared" si="5"/>
        <v>1</v>
      </c>
    </row>
    <row r="48" spans="1:29" ht="20.25">
      <c r="A48" s="587" t="s">
        <v>552</v>
      </c>
      <c r="B48" s="588" t="s">
        <v>2297</v>
      </c>
      <c r="C48" s="589" t="s">
        <v>1</v>
      </c>
      <c r="D48" s="590"/>
      <c r="E48" s="2642">
        <f>ROUND([1]土地案例!Y13,0)</f>
        <v>32339</v>
      </c>
      <c r="F48" s="592"/>
      <c r="G48" s="2644">
        <f>ROUND([1]土地案例!Y56,0)</f>
        <v>29264</v>
      </c>
      <c r="H48" s="594"/>
      <c r="I48" s="2642">
        <f>ROUND([1]土地案例!Y57,0)</f>
        <v>28156</v>
      </c>
      <c r="J48" s="594"/>
      <c r="K48" s="1325"/>
      <c r="L48" s="2124"/>
      <c r="M48" s="2112"/>
      <c r="N48" s="2112"/>
      <c r="O48" s="2125"/>
      <c r="P48" s="3396" t="str">
        <f>A48</f>
        <v>成交单价</v>
      </c>
      <c r="Q48" s="3396"/>
      <c r="R48" s="3397">
        <f>E48</f>
        <v>32339</v>
      </c>
      <c r="S48" s="3397"/>
      <c r="T48" s="3397">
        <f>G48</f>
        <v>29264</v>
      </c>
      <c r="U48" s="3397"/>
      <c r="V48" s="3397">
        <f>I48</f>
        <v>28156</v>
      </c>
      <c r="W48" s="3397"/>
      <c r="X48" s="1540"/>
      <c r="Y48" s="1562"/>
      <c r="Z48" s="1540"/>
      <c r="AA48" s="1540"/>
      <c r="AB48" s="1540"/>
      <c r="AC48" s="1540"/>
    </row>
    <row r="49" spans="1:29" ht="21" thickBot="1">
      <c r="A49" s="595" t="s">
        <v>2972</v>
      </c>
      <c r="B49" s="596"/>
      <c r="C49" s="597">
        <f>R50</f>
        <v>27373</v>
      </c>
      <c r="D49" s="598"/>
      <c r="E49" s="597">
        <f>R49</f>
        <v>28640</v>
      </c>
      <c r="F49" s="599"/>
      <c r="G49" s="600">
        <f>T49</f>
        <v>27781</v>
      </c>
      <c r="H49" s="598"/>
      <c r="I49" s="597">
        <f>V49</f>
        <v>25698</v>
      </c>
      <c r="J49" s="598"/>
      <c r="K49" s="1326"/>
      <c r="L49" s="2124"/>
      <c r="M49" s="2112"/>
      <c r="N49" s="2112"/>
      <c r="O49" s="2125"/>
      <c r="P49" s="3396" t="str">
        <f>A49</f>
        <v>比较价格（元/平方米）</v>
      </c>
      <c r="Q49" s="3396"/>
      <c r="R49" s="3398">
        <f>ROUND(PRODUCT(R48,AA9:AA47),0)</f>
        <v>28640</v>
      </c>
      <c r="S49" s="3398"/>
      <c r="T49" s="3398">
        <f>ROUND(PRODUCT(T48,AB9:AB47),0)</f>
        <v>27781</v>
      </c>
      <c r="U49" s="3398"/>
      <c r="V49" s="3398">
        <f>ROUND(PRODUCT(V48,AC9:AC47),0)</f>
        <v>25698</v>
      </c>
      <c r="W49" s="3398"/>
      <c r="X49" s="1540"/>
      <c r="Y49" s="1540"/>
      <c r="Z49" s="1540"/>
      <c r="AA49" s="1540"/>
      <c r="AB49" s="1540"/>
      <c r="AC49" s="1540"/>
    </row>
    <row r="50" spans="1:29" ht="21" thickBot="1">
      <c r="A50" s="601" t="s">
        <v>2973</v>
      </c>
      <c r="B50" s="602"/>
      <c r="C50" s="603">
        <f>R50</f>
        <v>27373</v>
      </c>
      <c r="D50" s="603"/>
      <c r="E50" s="603"/>
      <c r="F50" s="603"/>
      <c r="G50" s="603"/>
      <c r="H50" s="603"/>
      <c r="I50" s="603"/>
      <c r="J50" s="603"/>
      <c r="K50" s="1327"/>
      <c r="L50" s="2124"/>
      <c r="M50" s="2112"/>
      <c r="N50" s="2112"/>
      <c r="O50" s="2125"/>
      <c r="P50" s="3393" t="str">
        <f>A50</f>
        <v>估价对象XX用房的比较价格（楼面单价，元/平方米）</v>
      </c>
      <c r="Q50" s="3394"/>
      <c r="R50" s="3395">
        <f>ROUND(AVERAGE(R49:V49),0)</f>
        <v>27373</v>
      </c>
      <c r="S50" s="3395"/>
      <c r="T50" s="3395"/>
      <c r="U50" s="3395"/>
      <c r="V50" s="3395"/>
      <c r="W50" s="3395"/>
      <c r="X50" s="1540"/>
      <c r="Y50" s="1540"/>
      <c r="Z50" s="1540"/>
      <c r="AA50" s="1540"/>
      <c r="AB50" s="1540"/>
      <c r="AC50" s="1540"/>
    </row>
    <row r="51" spans="1:29" ht="20.25">
      <c r="A51" s="2125"/>
      <c r="B51" s="2125"/>
      <c r="C51" s="2125"/>
      <c r="D51" s="2125"/>
      <c r="E51" s="2125"/>
      <c r="F51" s="2125"/>
      <c r="G51" s="2128"/>
      <c r="H51" s="2125"/>
      <c r="I51" s="2125"/>
      <c r="J51" s="2125"/>
      <c r="K51" s="2129"/>
      <c r="L51" s="2130"/>
      <c r="M51" s="2112"/>
      <c r="N51" s="2112"/>
      <c r="O51" s="2125"/>
      <c r="P51" s="1540"/>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0"/>
      <c r="Q52" s="2125"/>
      <c r="R52" s="2125"/>
      <c r="S52" s="2125"/>
      <c r="T52" s="2125"/>
      <c r="U52" s="2125"/>
      <c r="V52" s="2125"/>
      <c r="W52" s="2125"/>
      <c r="X52" s="2125"/>
      <c r="Y52" s="2125"/>
      <c r="Z52" s="2125"/>
      <c r="AA52" s="2125"/>
      <c r="AB52" s="2125"/>
      <c r="AC52" s="2125"/>
    </row>
    <row r="53" spans="1:29" ht="13.5" customHeight="1">
      <c r="A53" s="2125"/>
      <c r="B53" s="2125"/>
      <c r="C53" s="604" t="s">
        <v>553</v>
      </c>
      <c r="D53" s="605"/>
      <c r="E53" s="606">
        <f>IF(E48&lt;E49,E49/E48-1,E48/E49-1)</f>
        <v>0.12915502793296096</v>
      </c>
      <c r="F53" s="607" t="str">
        <f>IF(OR(E53&gt;=0.3,E53&lt;=-0.3),"超过30%","")</f>
        <v/>
      </c>
      <c r="G53" s="606">
        <f>IF(G48&lt;G49,G49/G48-1,G48/G49-1)</f>
        <v>5.3381807710305651E-2</v>
      </c>
      <c r="H53" s="607" t="str">
        <f>IF(OR(G53&gt;=0.3,G53&lt;=-0.3),"超过30%","")</f>
        <v/>
      </c>
      <c r="I53" s="606">
        <f>IF(I48&lt;I49,I49/I48-1,I48/I49-1)</f>
        <v>9.5649466884582424E-2</v>
      </c>
      <c r="J53" s="607" t="str">
        <f>IF(OR(I53&gt;=0.3,I53&lt;=-0.3),"超过30%","")</f>
        <v/>
      </c>
      <c r="K53" s="2129"/>
      <c r="L53" s="2130"/>
      <c r="M53" s="2112"/>
      <c r="N53" s="2112"/>
      <c r="O53" s="2125"/>
      <c r="P53" s="1540"/>
      <c r="Q53" s="2125"/>
      <c r="R53" s="2125"/>
      <c r="S53" s="2125"/>
      <c r="T53" s="2125"/>
      <c r="U53" s="2125"/>
      <c r="V53" s="2125"/>
      <c r="W53" s="2125"/>
      <c r="X53" s="2125"/>
      <c r="Y53" s="2125"/>
      <c r="Z53" s="2125"/>
      <c r="AA53" s="2125"/>
      <c r="AB53" s="2125"/>
      <c r="AC53" s="2125"/>
    </row>
    <row r="54" spans="1:29" ht="13.5" customHeight="1">
      <c r="A54" s="2125"/>
      <c r="B54" s="2125"/>
      <c r="C54" s="604" t="s">
        <v>554</v>
      </c>
      <c r="D54" s="608"/>
      <c r="E54" s="606">
        <f>IF(E49&lt;G49,G49/E49-1,E49/G49-1)</f>
        <v>3.0920413232065069E-2</v>
      </c>
      <c r="F54" s="607" t="str">
        <f>IF(OR(E54&gt;=0.2,E54&lt;=-0.2),"超过20%","")</f>
        <v/>
      </c>
      <c r="G54" s="606">
        <f>IF(G49&lt;I49,I49/G49-1,G49/I49-1)</f>
        <v>8.1056891586893887E-2</v>
      </c>
      <c r="H54" s="607" t="str">
        <f>IF(OR(G54&gt;=0.2,G54&lt;=-0.2),"超过20%","")</f>
        <v/>
      </c>
      <c r="I54" s="606">
        <f>IF(I49&lt;E49,E49/I49-1,I49/E49-1)</f>
        <v>0.11448361740213242</v>
      </c>
      <c r="J54" s="607" t="str">
        <f>IF(OR(I54&gt;=0.2,I54&lt;=-0.2),"超过20%","")</f>
        <v/>
      </c>
      <c r="K54" s="2129"/>
      <c r="L54" s="2130"/>
      <c r="M54" s="2112"/>
      <c r="N54" s="2112"/>
      <c r="O54" s="2125"/>
      <c r="P54" s="1540"/>
      <c r="Q54" s="2125"/>
      <c r="R54" s="2125"/>
      <c r="S54" s="2125"/>
      <c r="T54" s="2125"/>
      <c r="U54" s="2125"/>
      <c r="V54" s="2125"/>
      <c r="W54" s="2125"/>
      <c r="X54" s="2125"/>
      <c r="Y54" s="2125"/>
      <c r="Z54" s="2125"/>
      <c r="AA54" s="2125"/>
      <c r="AB54" s="2125"/>
      <c r="AC54" s="2125"/>
    </row>
    <row r="55" spans="1:29" s="1330" customFormat="1" ht="13.5" customHeight="1">
      <c r="A55" s="2126"/>
      <c r="B55" s="2126"/>
      <c r="C55" s="604" t="s">
        <v>555</v>
      </c>
      <c r="D55" s="608"/>
      <c r="E55" s="606">
        <f>IF(E48&lt;G48,G48/E48-1,E48/G48-1)</f>
        <v>0.10507791142700929</v>
      </c>
      <c r="F55" s="607" t="str">
        <f>IF(OR(E55&gt;=0.3,E55&lt;=-0.3),"超过30%","")</f>
        <v/>
      </c>
      <c r="G55" s="606">
        <f>IF(G48&lt;I48,I48/G48-1,G48/I48-1)</f>
        <v>3.9352180707486806E-2</v>
      </c>
      <c r="H55" s="607" t="str">
        <f>IF(OR(G55&gt;=0.3,G55&lt;=-0.3),"超过30%","")</f>
        <v/>
      </c>
      <c r="I55" s="606">
        <f>IF(I48&lt;E48,E48/I48-1,I48/E48-1)</f>
        <v>0.14856513709333719</v>
      </c>
      <c r="J55" s="607" t="str">
        <f>IF(OR(I55&gt;=0.3,I55&lt;=-0.3),"超过30%","")</f>
        <v/>
      </c>
      <c r="K55" s="2132"/>
      <c r="L55" s="2133"/>
      <c r="M55" s="2112"/>
      <c r="N55" s="2112"/>
      <c r="O55" s="2126"/>
      <c r="P55" s="1538"/>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38"/>
      <c r="Q56" s="2126"/>
      <c r="R56" s="2126"/>
      <c r="S56" s="2126"/>
      <c r="T56" s="2126"/>
      <c r="U56" s="2126"/>
      <c r="V56" s="2126"/>
      <c r="W56" s="2126"/>
      <c r="X56" s="2126"/>
      <c r="Y56" s="2126"/>
      <c r="Z56" s="2126"/>
      <c r="AA56" s="2126"/>
      <c r="AB56" s="2126"/>
      <c r="AC56" s="2126"/>
    </row>
    <row r="57" spans="1:29" ht="26.25" customHeight="1">
      <c r="A57" s="609" t="s">
        <v>556</v>
      </c>
      <c r="B57" s="610" t="s">
        <v>557</v>
      </c>
      <c r="C57" s="1541" t="s">
        <v>1936</v>
      </c>
      <c r="D57" s="2207" t="s">
        <v>2521</v>
      </c>
      <c r="E57" s="611" t="s">
        <v>558</v>
      </c>
      <c r="F57" s="612" t="s">
        <v>559</v>
      </c>
      <c r="G57" s="3426" t="s">
        <v>2509</v>
      </c>
      <c r="H57" s="3427"/>
      <c r="I57" s="1536" t="s">
        <v>1934</v>
      </c>
      <c r="J57" s="1536">
        <f>项目基本情况!F41</f>
        <v>0</v>
      </c>
      <c r="K57" s="2134" t="s">
        <v>1935</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13" t="s">
        <v>560</v>
      </c>
      <c r="B58" s="614">
        <f>C50</f>
        <v>27373</v>
      </c>
      <c r="C58" s="615">
        <v>1</v>
      </c>
      <c r="D58" s="2208">
        <v>1</v>
      </c>
      <c r="E58" s="615">
        <f>'数据-汇总表'!E8+'数据-汇总表'!E9</f>
        <v>328085.98000000004</v>
      </c>
      <c r="F58" s="616">
        <f t="shared" ref="F58:F67" si="15">ROUND(B58*E58/10000,0)</f>
        <v>898070</v>
      </c>
      <c r="G58" s="3428"/>
      <c r="H58" s="3429"/>
      <c r="I58" s="1537">
        <v>1</v>
      </c>
      <c r="J58" s="1537">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17" t="s">
        <v>561</v>
      </c>
      <c r="B59" s="618">
        <f>ROUND($C$50*C59*D59,0)</f>
        <v>4106</v>
      </c>
      <c r="C59" s="358">
        <f t="shared" ref="C59:C67" si="16">IF($C$57="北京市系数",I59,J59)</f>
        <v>0.6</v>
      </c>
      <c r="D59" s="2209">
        <v>0.25</v>
      </c>
      <c r="E59" s="619">
        <f>'数据-汇总表'!G23</f>
        <v>27687.38</v>
      </c>
      <c r="F59" s="616">
        <f t="shared" si="15"/>
        <v>11368</v>
      </c>
      <c r="G59" s="3430" t="s">
        <v>2510</v>
      </c>
      <c r="H59" s="1923" t="str">
        <f>项目基本情况!B43</f>
        <v>八级</v>
      </c>
      <c r="I59" s="1537">
        <f>SUMIF(修正!$A$45:$A$56,H59,修正!B45:B56)</f>
        <v>0.6</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17" t="s">
        <v>562</v>
      </c>
      <c r="B60" s="618">
        <f t="shared" ref="B60:B67" si="17">ROUND($C$50*C60*D60,0)</f>
        <v>2053</v>
      </c>
      <c r="C60" s="358">
        <f t="shared" si="16"/>
        <v>0.3</v>
      </c>
      <c r="D60" s="2209">
        <v>0.25</v>
      </c>
      <c r="E60" s="619">
        <f>'数据-汇总表'!G24</f>
        <v>27687.38</v>
      </c>
      <c r="F60" s="616">
        <f t="shared" si="15"/>
        <v>5684</v>
      </c>
      <c r="G60" s="3430"/>
      <c r="H60" s="1923" t="str">
        <f>项目基本情况!B43</f>
        <v>八级</v>
      </c>
      <c r="I60" s="1537">
        <f>SUMIF(修正!$A$45:$A$56,H60,修正!C45:C56)</f>
        <v>0.3</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17" t="s">
        <v>563</v>
      </c>
      <c r="B61" s="618">
        <f t="shared" si="17"/>
        <v>1369</v>
      </c>
      <c r="C61" s="358">
        <f t="shared" si="16"/>
        <v>0.2</v>
      </c>
      <c r="D61" s="2209">
        <v>0.25</v>
      </c>
      <c r="E61" s="619">
        <f>'数据-汇总表'!G25</f>
        <v>27687.379999999994</v>
      </c>
      <c r="F61" s="616">
        <f t="shared" si="15"/>
        <v>3790</v>
      </c>
      <c r="G61" s="3430"/>
      <c r="H61" s="1923" t="str">
        <f>项目基本情况!B43</f>
        <v>八级</v>
      </c>
      <c r="I61" s="1537">
        <f>SUMIF(修正!$A$45:$A$56,H61,修正!D45:D56)</f>
        <v>0.2</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17" t="s">
        <v>564</v>
      </c>
      <c r="B62" s="618">
        <f t="shared" si="17"/>
        <v>1369</v>
      </c>
      <c r="C62" s="358">
        <f t="shared" si="16"/>
        <v>0.2</v>
      </c>
      <c r="D62" s="2209">
        <v>0.25</v>
      </c>
      <c r="E62" s="619">
        <v>0</v>
      </c>
      <c r="F62" s="616">
        <f t="shared" si="15"/>
        <v>0</v>
      </c>
      <c r="G62" s="3430"/>
      <c r="H62" s="1923" t="str">
        <f>项目基本情况!B43</f>
        <v>八级</v>
      </c>
      <c r="I62" s="1537">
        <f>SUMIF(修正!$A$45:$A$56,H62,修正!E45:E56)</f>
        <v>0.2</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2" t="s">
        <v>2562</v>
      </c>
      <c r="B63" s="618">
        <f t="shared" si="17"/>
        <v>1369</v>
      </c>
      <c r="C63" s="358">
        <f t="shared" si="16"/>
        <v>0.2</v>
      </c>
      <c r="D63" s="2209">
        <v>0.25</v>
      </c>
      <c r="E63" s="621">
        <f>'数据-汇总表'!E11</f>
        <v>0</v>
      </c>
      <c r="F63" s="616">
        <f t="shared" si="15"/>
        <v>0</v>
      </c>
      <c r="G63" s="1920" t="s">
        <v>2511</v>
      </c>
      <c r="H63" s="1923" t="str">
        <f>项目基本情况!C43</f>
        <v>八级</v>
      </c>
      <c r="I63" s="1537">
        <f>SUMIF(修正!$A$45:$A$56,H63,修正!F45:F56)</f>
        <v>0.2</v>
      </c>
      <c r="J63" s="1539"/>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17" t="s">
        <v>565</v>
      </c>
      <c r="B64" s="618">
        <f t="shared" si="17"/>
        <v>1369</v>
      </c>
      <c r="C64" s="358">
        <f t="shared" si="16"/>
        <v>0.2</v>
      </c>
      <c r="D64" s="2209">
        <v>0.25</v>
      </c>
      <c r="E64" s="621">
        <f>'数据-汇总表'!E12</f>
        <v>0</v>
      </c>
      <c r="F64" s="616">
        <f t="shared" si="15"/>
        <v>0</v>
      </c>
      <c r="G64" s="1921" t="s">
        <v>1117</v>
      </c>
      <c r="H64" s="1919" t="str">
        <f>IF(G64="商业",项目基本情况!B43,IF(G64="办公",项目基本情况!C43,IF(G64="住宅",项目基本情况!D43,项目基本情况!E43)))</f>
        <v>八级</v>
      </c>
      <c r="I64" s="1537">
        <f>SUMIF(修正!$A$45:$A$56,H64,修正!G45:G56)</f>
        <v>0.2</v>
      </c>
      <c r="J64" s="1539"/>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17" t="s">
        <v>566</v>
      </c>
      <c r="B65" s="618">
        <f t="shared" si="17"/>
        <v>1026</v>
      </c>
      <c r="C65" s="358">
        <f t="shared" si="16"/>
        <v>0.15</v>
      </c>
      <c r="D65" s="2209">
        <v>0.25</v>
      </c>
      <c r="E65" s="621">
        <f>'数据-汇总表'!E13</f>
        <v>95982.26999999999</v>
      </c>
      <c r="F65" s="616">
        <f t="shared" si="15"/>
        <v>9848</v>
      </c>
      <c r="G65" s="1921" t="s">
        <v>1117</v>
      </c>
      <c r="H65" s="1919" t="str">
        <f>IF(G65="商业",项目基本情况!B43,IF(G65="办公",项目基本情况!C43,IF(G65="住宅",项目基本情况!D43,项目基本情况!E43)))</f>
        <v>八级</v>
      </c>
      <c r="I65" s="1537">
        <f>SUMIF(修正!$A$45:$A$56,H65,修正!H45:H56)</f>
        <v>0.15</v>
      </c>
      <c r="J65" s="1539"/>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17" t="s">
        <v>567</v>
      </c>
      <c r="B66" s="618">
        <f t="shared" si="17"/>
        <v>1026</v>
      </c>
      <c r="C66" s="358">
        <f t="shared" si="16"/>
        <v>0.15</v>
      </c>
      <c r="D66" s="2209">
        <v>0.25</v>
      </c>
      <c r="E66" s="621">
        <f>'数据-汇总表'!E14</f>
        <v>0</v>
      </c>
      <c r="F66" s="616">
        <f t="shared" si="15"/>
        <v>0</v>
      </c>
      <c r="G66" s="1920" t="s">
        <v>2510</v>
      </c>
      <c r="H66" s="1923" t="str">
        <f>项目基本情况!B43</f>
        <v>八级</v>
      </c>
      <c r="I66" s="1537">
        <f>SUMIF(修正!$A$45:$A$56,H66,修正!H45:H56)</f>
        <v>0.15</v>
      </c>
      <c r="J66" s="1539"/>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17" t="s">
        <v>568</v>
      </c>
      <c r="B67" s="618">
        <f t="shared" si="17"/>
        <v>1026</v>
      </c>
      <c r="C67" s="358">
        <f t="shared" si="16"/>
        <v>0.15</v>
      </c>
      <c r="D67" s="2209">
        <v>0.25</v>
      </c>
      <c r="E67" s="621">
        <f>'数据-汇总表'!E15</f>
        <v>0</v>
      </c>
      <c r="F67" s="616">
        <f t="shared" si="15"/>
        <v>0</v>
      </c>
      <c r="G67" s="1922" t="s">
        <v>2511</v>
      </c>
      <c r="H67" s="1924" t="str">
        <f>项目基本情况!C43</f>
        <v>八级</v>
      </c>
      <c r="I67" s="1537">
        <f>SUMIF(修正!$A$45:$A$56,H67,修正!H45:H56)</f>
        <v>0.15</v>
      </c>
      <c r="J67" s="1539"/>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22" t="s">
        <v>569</v>
      </c>
      <c r="B68" s="623" t="s">
        <v>17</v>
      </c>
      <c r="C68" s="623" t="s">
        <v>18</v>
      </c>
      <c r="D68" s="623" t="s">
        <v>2522</v>
      </c>
      <c r="E68" s="623">
        <f>IF(B48="楼面地价",SUM(E58:E67),'数据-汇总表'!D3)</f>
        <v>507130.39</v>
      </c>
      <c r="F68" s="624">
        <f>IF(B48="楼面地价",SUM(F58:F67),ROUND(C50*E68/10000,0))</f>
        <v>928760</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817" t="str">
        <f>YEAR(C9)&amp;"-"&amp;MONTH(C9)&amp;"-1"</f>
        <v>2017-6-1</v>
      </c>
      <c r="D70" s="2817">
        <f>EDATE(C70,-3)</f>
        <v>42795</v>
      </c>
      <c r="E70" s="2817">
        <f t="shared" ref="E70:N70" si="18">EDATE(D70,-3)</f>
        <v>42705</v>
      </c>
      <c r="F70" s="2817">
        <f t="shared" si="18"/>
        <v>42614</v>
      </c>
      <c r="G70" s="2817">
        <f t="shared" si="18"/>
        <v>42522</v>
      </c>
      <c r="H70" s="2817">
        <f t="shared" si="18"/>
        <v>42430</v>
      </c>
      <c r="I70" s="2817">
        <f t="shared" si="18"/>
        <v>42339</v>
      </c>
      <c r="J70" s="2817">
        <f t="shared" si="18"/>
        <v>42248</v>
      </c>
      <c r="K70" s="2817">
        <f t="shared" si="18"/>
        <v>42156</v>
      </c>
      <c r="L70" s="2817">
        <f t="shared" si="18"/>
        <v>42064</v>
      </c>
      <c r="M70" s="2817">
        <f t="shared" si="18"/>
        <v>41974</v>
      </c>
      <c r="N70" s="2817">
        <f t="shared" si="18"/>
        <v>41883</v>
      </c>
      <c r="O70" s="2125"/>
      <c r="P70" s="2125"/>
      <c r="Q70" s="2125"/>
      <c r="R70" s="2125"/>
      <c r="S70" s="2125"/>
      <c r="T70" s="2125"/>
      <c r="U70" s="2125"/>
      <c r="V70" s="2125"/>
      <c r="W70" s="2125"/>
      <c r="X70" s="2125"/>
      <c r="Y70" s="2125"/>
      <c r="Z70" s="2125"/>
      <c r="AA70" s="2125"/>
      <c r="AB70" s="2125"/>
      <c r="AC70" s="2125"/>
    </row>
    <row r="71" spans="1:29" ht="21.75" thickBot="1">
      <c r="A71" s="1565" t="s">
        <v>570</v>
      </c>
      <c r="B71" s="1540"/>
      <c r="C71" s="1564"/>
      <c r="D71" s="1564"/>
      <c r="E71" s="1564"/>
      <c r="F71" s="1566"/>
      <c r="G71" s="1566"/>
      <c r="H71" s="1564"/>
      <c r="I71" s="1564"/>
      <c r="J71" s="1564"/>
      <c r="K71" s="1567"/>
      <c r="L71" s="1563"/>
      <c r="M71" s="1564"/>
      <c r="N71" s="1564"/>
      <c r="O71" s="2137"/>
      <c r="P71" s="2137"/>
      <c r="Q71" s="2138"/>
      <c r="R71" s="2125"/>
      <c r="S71" s="2125"/>
      <c r="T71" s="2125"/>
      <c r="U71" s="2125"/>
      <c r="V71" s="2125"/>
      <c r="W71" s="2125"/>
      <c r="X71" s="2125"/>
      <c r="Y71" s="2125"/>
      <c r="Z71" s="2125"/>
      <c r="AA71" s="2125"/>
      <c r="AB71" s="2125"/>
      <c r="AC71" s="2125"/>
    </row>
    <row r="72" spans="1:29" s="1332" customFormat="1" ht="15">
      <c r="A72" s="2580" t="s">
        <v>2797</v>
      </c>
      <c r="B72" s="2581"/>
      <c r="C72" s="2812" t="str">
        <f>YEAR(C70)&amp;"-"&amp;ROUNDUP(MONTH(C70)/3,0)</f>
        <v>2017-2</v>
      </c>
      <c r="D72" s="2819" t="str">
        <f>YEAR(D70)&amp;"-"&amp;ROUNDUP(MONTH(D70)/3,0)</f>
        <v>2017-1</v>
      </c>
      <c r="E72" s="2819" t="str">
        <f t="shared" ref="E72:N72" si="19">YEAR(E70)&amp;"-"&amp;ROUNDUP(MONTH(E70)/3,0)</f>
        <v>2016-4</v>
      </c>
      <c r="F72" s="2819" t="str">
        <f t="shared" si="19"/>
        <v>2016-3</v>
      </c>
      <c r="G72" s="2819" t="str">
        <f t="shared" si="19"/>
        <v>2016-2</v>
      </c>
      <c r="H72" s="2819" t="str">
        <f t="shared" si="19"/>
        <v>2016-1</v>
      </c>
      <c r="I72" s="2819" t="str">
        <f t="shared" si="19"/>
        <v>2015-4</v>
      </c>
      <c r="J72" s="2819" t="str">
        <f t="shared" si="19"/>
        <v>2015-3</v>
      </c>
      <c r="K72" s="2819" t="str">
        <f t="shared" si="19"/>
        <v>2015-2</v>
      </c>
      <c r="L72" s="2819" t="str">
        <f t="shared" si="19"/>
        <v>2015-1</v>
      </c>
      <c r="M72" s="2819" t="str">
        <f t="shared" si="19"/>
        <v>2014-4</v>
      </c>
      <c r="N72" s="2819" t="str">
        <f t="shared" si="19"/>
        <v>2014-3</v>
      </c>
      <c r="O72" s="2139"/>
      <c r="P72" s="2140"/>
      <c r="Q72" s="2141"/>
      <c r="R72" s="2141"/>
      <c r="S72" s="2141"/>
      <c r="T72" s="2141"/>
      <c r="U72" s="2141"/>
      <c r="V72" s="2141"/>
      <c r="W72" s="2141"/>
      <c r="X72" s="2141"/>
      <c r="Y72" s="2141"/>
      <c r="Z72" s="2141"/>
      <c r="AA72" s="2141"/>
      <c r="AB72" s="2141"/>
      <c r="AC72" s="2141"/>
    </row>
    <row r="73" spans="1:29" s="1199" customFormat="1" ht="27" customHeight="1">
      <c r="A73" s="2824" t="s">
        <v>1117</v>
      </c>
      <c r="B73" s="459" t="str">
        <f>"北京市平均增长率"&amp;TEXT(SUMIF(基准地价!N21:N25,A73,基准地价!P21:P25),"0.00%")</f>
        <v>北京市平均增长率2.66%</v>
      </c>
      <c r="C73" s="874">
        <v>100</v>
      </c>
      <c r="D73" s="710">
        <v>99</v>
      </c>
      <c r="E73" s="710">
        <v>98</v>
      </c>
      <c r="F73" s="710">
        <v>97</v>
      </c>
      <c r="G73" s="710">
        <v>96</v>
      </c>
      <c r="H73" s="710">
        <v>95</v>
      </c>
      <c r="I73" s="710">
        <v>94</v>
      </c>
      <c r="J73" s="710">
        <v>93</v>
      </c>
      <c r="K73" s="710">
        <v>92</v>
      </c>
      <c r="L73" s="710">
        <v>91</v>
      </c>
      <c r="M73" s="2810">
        <v>90</v>
      </c>
      <c r="N73" s="2811">
        <v>89</v>
      </c>
      <c r="O73" s="2142"/>
      <c r="P73" s="2138"/>
      <c r="Q73" s="1969"/>
      <c r="R73" s="1969"/>
      <c r="S73" s="1969"/>
      <c r="T73" s="1969"/>
      <c r="U73" s="1969"/>
      <c r="V73" s="1969"/>
      <c r="W73" s="1969"/>
      <c r="X73" s="1969"/>
      <c r="Y73" s="1969"/>
      <c r="Z73" s="1969"/>
      <c r="AA73" s="1969"/>
      <c r="AB73" s="1969"/>
      <c r="AC73" s="1969"/>
    </row>
    <row r="74" spans="1:29" s="1199" customFormat="1" ht="15" customHeight="1" thickBot="1">
      <c r="A74" s="2814" t="s">
        <v>2923</v>
      </c>
      <c r="B74" s="2823"/>
      <c r="C74" s="2808"/>
      <c r="D74" s="2809"/>
      <c r="E74" s="2809"/>
      <c r="F74" s="2809"/>
      <c r="G74" s="2809"/>
      <c r="H74" s="2809"/>
      <c r="I74" s="2809"/>
      <c r="J74" s="2809"/>
      <c r="K74" s="2809"/>
      <c r="L74" s="2809"/>
      <c r="M74" s="2809"/>
      <c r="N74" s="2809"/>
      <c r="O74" s="2142"/>
      <c r="P74" s="2138"/>
      <c r="Q74" s="2138"/>
      <c r="R74" s="1969"/>
      <c r="S74" s="1969"/>
      <c r="T74" s="1969"/>
      <c r="U74" s="1969"/>
      <c r="V74" s="1969"/>
      <c r="W74" s="1969"/>
      <c r="X74" s="1969"/>
      <c r="Y74" s="1969"/>
      <c r="Z74" s="1969"/>
      <c r="AA74" s="1969"/>
      <c r="AB74" s="1969"/>
      <c r="AC74" s="1969"/>
    </row>
    <row r="75" spans="1:29" s="1199" customFormat="1" ht="15">
      <c r="A75" s="639" t="s">
        <v>520</v>
      </c>
      <c r="B75" s="628"/>
      <c r="C75" s="640" t="s">
        <v>572</v>
      </c>
      <c r="D75" s="641" t="s">
        <v>573</v>
      </c>
      <c r="E75" s="641"/>
      <c r="F75" s="641"/>
      <c r="G75" s="641"/>
      <c r="H75" s="641"/>
      <c r="I75" s="641"/>
      <c r="J75" s="641"/>
      <c r="K75" s="641"/>
      <c r="L75" s="642"/>
      <c r="M75" s="643"/>
      <c r="N75" s="2142"/>
      <c r="O75" s="2142"/>
      <c r="P75" s="2143"/>
      <c r="Q75" s="2138"/>
      <c r="R75" s="1969"/>
      <c r="S75" s="1969"/>
      <c r="T75" s="1969"/>
      <c r="U75" s="1969"/>
      <c r="V75" s="1969"/>
      <c r="W75" s="1969"/>
      <c r="X75" s="1969"/>
      <c r="Y75" s="1969"/>
      <c r="Z75" s="1969"/>
      <c r="AA75" s="1969"/>
      <c r="AB75" s="1969"/>
      <c r="AC75" s="1969"/>
    </row>
    <row r="76" spans="1:29" s="1199" customFormat="1" ht="15.75" thickBot="1">
      <c r="A76" s="639"/>
      <c r="B76" s="628"/>
      <c r="C76" s="629">
        <v>100</v>
      </c>
      <c r="D76" s="630">
        <v>98</v>
      </c>
      <c r="E76" s="630"/>
      <c r="F76" s="630"/>
      <c r="G76" s="630"/>
      <c r="H76" s="630"/>
      <c r="I76" s="630"/>
      <c r="J76" s="630"/>
      <c r="K76" s="630"/>
      <c r="L76" s="630"/>
      <c r="M76" s="632"/>
      <c r="N76" s="2142"/>
      <c r="O76" s="2142"/>
      <c r="P76" s="2138"/>
      <c r="Q76" s="2138"/>
      <c r="R76" s="1969"/>
      <c r="S76" s="1969"/>
      <c r="T76" s="1969"/>
      <c r="U76" s="1969"/>
      <c r="V76" s="1969"/>
      <c r="W76" s="1969"/>
      <c r="X76" s="1969"/>
      <c r="Y76" s="1969"/>
      <c r="Z76" s="1969"/>
      <c r="AA76" s="1969"/>
      <c r="AB76" s="1969"/>
      <c r="AC76" s="1969"/>
    </row>
    <row r="77" spans="1:29">
      <c r="A77" s="644" t="s">
        <v>574</v>
      </c>
      <c r="B77" s="645" t="s">
        <v>523</v>
      </c>
      <c r="C77" s="578" t="s">
        <v>3280</v>
      </c>
      <c r="D77" s="578" t="s">
        <v>3281</v>
      </c>
      <c r="E77" s="578"/>
      <c r="F77" s="578"/>
      <c r="G77" s="578"/>
      <c r="H77" s="578"/>
      <c r="I77" s="578"/>
      <c r="J77" s="578"/>
      <c r="K77" s="646"/>
      <c r="L77" s="647"/>
      <c r="M77" s="648"/>
      <c r="N77" s="2144"/>
      <c r="O77" s="2144"/>
      <c r="P77" s="2145"/>
      <c r="Q77" s="2138"/>
      <c r="R77" s="2125"/>
      <c r="S77" s="2125"/>
      <c r="T77" s="2125"/>
      <c r="U77" s="2125"/>
      <c r="V77" s="2125"/>
      <c r="W77" s="2125"/>
      <c r="X77" s="2125"/>
      <c r="Y77" s="2125"/>
      <c r="Z77" s="2125"/>
      <c r="AA77" s="2125"/>
      <c r="AB77" s="2125"/>
      <c r="AC77" s="2125"/>
    </row>
    <row r="78" spans="1:29" ht="15.75" thickBot="1">
      <c r="A78" s="649"/>
      <c r="B78" s="650"/>
      <c r="C78" s="651">
        <v>100</v>
      </c>
      <c r="D78" s="651">
        <v>100</v>
      </c>
      <c r="E78" s="651"/>
      <c r="F78" s="651"/>
      <c r="G78" s="651"/>
      <c r="H78" s="651"/>
      <c r="I78" s="651"/>
      <c r="J78" s="651"/>
      <c r="K78" s="651"/>
      <c r="L78" s="651"/>
      <c r="M78" s="652"/>
      <c r="N78" s="2146"/>
      <c r="O78" s="2146"/>
      <c r="P78" s="2145"/>
      <c r="Q78" s="2138"/>
      <c r="R78" s="2125"/>
      <c r="S78" s="2125"/>
      <c r="T78" s="2125"/>
      <c r="U78" s="2125"/>
      <c r="V78" s="2125"/>
      <c r="W78" s="2125"/>
      <c r="X78" s="2125"/>
      <c r="Y78" s="2125"/>
      <c r="Z78" s="2125"/>
      <c r="AA78" s="2125"/>
      <c r="AB78" s="2125"/>
      <c r="AC78" s="2125"/>
    </row>
    <row r="79" spans="1:29" ht="27.75" thickTop="1">
      <c r="A79" s="649"/>
      <c r="B79" s="653" t="s">
        <v>526</v>
      </c>
      <c r="C79" s="654"/>
      <c r="D79" s="654"/>
      <c r="E79" s="654"/>
      <c r="F79" s="654"/>
      <c r="G79" s="654"/>
      <c r="H79" s="654"/>
      <c r="I79" s="654"/>
      <c r="J79" s="654"/>
      <c r="K79" s="655"/>
      <c r="L79" s="656"/>
      <c r="M79" s="657"/>
      <c r="N79" s="2144"/>
      <c r="O79" s="2144"/>
      <c r="P79" s="2145"/>
      <c r="Q79" s="2138"/>
      <c r="R79" s="2125"/>
      <c r="S79" s="2125"/>
      <c r="T79" s="2125"/>
      <c r="U79" s="2125"/>
      <c r="V79" s="2125"/>
      <c r="W79" s="2125"/>
      <c r="X79" s="2125"/>
      <c r="Y79" s="2125"/>
      <c r="Z79" s="2125"/>
      <c r="AA79" s="2125"/>
      <c r="AB79" s="2125"/>
      <c r="AC79" s="2125"/>
    </row>
    <row r="80" spans="1:29" ht="15.75" thickBot="1">
      <c r="A80" s="649"/>
      <c r="B80" s="658"/>
      <c r="C80" s="659"/>
      <c r="D80" s="659"/>
      <c r="E80" s="659"/>
      <c r="F80" s="659"/>
      <c r="G80" s="659"/>
      <c r="H80" s="659"/>
      <c r="I80" s="659"/>
      <c r="J80" s="659"/>
      <c r="K80" s="659"/>
      <c r="L80" s="659"/>
      <c r="M80" s="660"/>
      <c r="N80" s="2146"/>
      <c r="O80" s="2146"/>
      <c r="P80" s="2145"/>
      <c r="Q80" s="2138"/>
      <c r="R80" s="2125"/>
      <c r="S80" s="2125"/>
      <c r="T80" s="2125"/>
      <c r="U80" s="2125"/>
      <c r="V80" s="2125"/>
      <c r="W80" s="2125"/>
      <c r="X80" s="2125"/>
      <c r="Y80" s="2125"/>
      <c r="Z80" s="2125"/>
      <c r="AA80" s="2125"/>
      <c r="AB80" s="2125"/>
      <c r="AC80" s="2125"/>
    </row>
    <row r="81" spans="1:29" ht="15.75" thickTop="1">
      <c r="A81" s="649"/>
      <c r="B81" s="661" t="s">
        <v>527</v>
      </c>
      <c r="C81" s="662" t="str">
        <f>C82&amp;"（含）"&amp;"-"&amp;D82</f>
        <v>0（含）-1</v>
      </c>
      <c r="D81" s="662" t="str">
        <f t="shared" ref="D81:L81" si="20">D82&amp;"（含）"&amp;"-"&amp;E82</f>
        <v>1（含）-2.1</v>
      </c>
      <c r="E81" s="662" t="str">
        <f t="shared" si="20"/>
        <v>2.1（含）-3</v>
      </c>
      <c r="F81" s="662" t="str">
        <f t="shared" si="20"/>
        <v>3（含）-4</v>
      </c>
      <c r="G81" s="662" t="str">
        <f t="shared" si="20"/>
        <v>4（含）-5</v>
      </c>
      <c r="H81" s="662" t="str">
        <f t="shared" si="20"/>
        <v>5（含）-</v>
      </c>
      <c r="I81" s="662" t="str">
        <f t="shared" si="20"/>
        <v>（含）-</v>
      </c>
      <c r="J81" s="662" t="str">
        <f t="shared" si="20"/>
        <v>（含）-</v>
      </c>
      <c r="K81" s="662" t="str">
        <f t="shared" si="20"/>
        <v>（含）-</v>
      </c>
      <c r="L81" s="662" t="str">
        <f t="shared" si="20"/>
        <v>（含）-</v>
      </c>
      <c r="M81" s="535"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49"/>
      <c r="B82" s="663"/>
      <c r="C82" s="521">
        <v>0</v>
      </c>
      <c r="D82" s="521">
        <v>1</v>
      </c>
      <c r="E82" s="521">
        <v>2.1</v>
      </c>
      <c r="F82" s="521">
        <v>3</v>
      </c>
      <c r="G82" s="521">
        <v>4</v>
      </c>
      <c r="H82" s="521">
        <v>5</v>
      </c>
      <c r="I82" s="521"/>
      <c r="J82" s="521"/>
      <c r="K82" s="664"/>
      <c r="L82" s="665"/>
      <c r="M82" s="666"/>
      <c r="N82" s="2144"/>
      <c r="O82" s="2144"/>
      <c r="P82" s="2145"/>
      <c r="Q82" s="2138"/>
      <c r="R82" s="2125"/>
      <c r="S82" s="2125"/>
      <c r="T82" s="2125"/>
      <c r="U82" s="2125"/>
      <c r="V82" s="2125"/>
      <c r="W82" s="2125"/>
      <c r="X82" s="2125"/>
      <c r="Y82" s="2125"/>
      <c r="Z82" s="2125"/>
      <c r="AA82" s="2125"/>
      <c r="AB82" s="2125"/>
      <c r="AC82" s="2125"/>
    </row>
    <row r="83" spans="1:29" ht="15.75" thickBot="1">
      <c r="A83" s="649"/>
      <c r="B83" s="650"/>
      <c r="C83" s="659">
        <v>100</v>
      </c>
      <c r="D83" s="659">
        <f>IF($B$48="单位面积地价",C83+$K13,C83-$K13)</f>
        <v>99</v>
      </c>
      <c r="E83" s="659">
        <f t="shared" ref="E83:M83" si="21">IF($B$48="单位面积地价",D83+$K13,D83-$K13)</f>
        <v>98</v>
      </c>
      <c r="F83" s="659">
        <f t="shared" si="21"/>
        <v>97</v>
      </c>
      <c r="G83" s="659">
        <f t="shared" si="21"/>
        <v>96</v>
      </c>
      <c r="H83" s="659">
        <f t="shared" si="21"/>
        <v>95</v>
      </c>
      <c r="I83" s="659">
        <f t="shared" si="21"/>
        <v>94</v>
      </c>
      <c r="J83" s="659">
        <f t="shared" si="21"/>
        <v>93</v>
      </c>
      <c r="K83" s="659">
        <f t="shared" si="21"/>
        <v>92</v>
      </c>
      <c r="L83" s="659">
        <f t="shared" si="21"/>
        <v>91</v>
      </c>
      <c r="M83" s="659">
        <f t="shared" si="21"/>
        <v>90</v>
      </c>
      <c r="N83" s="2146"/>
      <c r="O83" s="2146"/>
      <c r="P83" s="2145"/>
      <c r="Q83" s="2138"/>
      <c r="R83" s="2125"/>
      <c r="S83" s="2125"/>
      <c r="T83" s="2125"/>
      <c r="U83" s="2125"/>
      <c r="V83" s="2125"/>
      <c r="W83" s="2125"/>
      <c r="X83" s="2125"/>
      <c r="Y83" s="2125"/>
      <c r="Z83" s="2125"/>
      <c r="AA83" s="2125"/>
      <c r="AB83" s="2125"/>
      <c r="AC83" s="2125"/>
    </row>
    <row r="84" spans="1:29" s="1324" customFormat="1" ht="27.75" thickTop="1">
      <c r="A84" s="667"/>
      <c r="B84" s="653" t="str">
        <f>B14</f>
        <v>配建</v>
      </c>
      <c r="C84" s="3157" t="s">
        <v>3282</v>
      </c>
      <c r="D84" s="3158" t="str">
        <f>C14</f>
        <v>配建限价房、公租房</v>
      </c>
      <c r="E84" s="3159" t="str">
        <f>E14</f>
        <v>配件自住房</v>
      </c>
      <c r="F84" s="668"/>
      <c r="G84" s="668"/>
      <c r="H84" s="669"/>
      <c r="I84" s="669"/>
      <c r="J84" s="669"/>
      <c r="K84" s="669"/>
      <c r="L84" s="670"/>
      <c r="M84" s="67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67"/>
      <c r="B85" s="658"/>
      <c r="C85" s="3160">
        <v>100</v>
      </c>
      <c r="D85" s="3160">
        <v>80</v>
      </c>
      <c r="E85" s="3160">
        <v>90</v>
      </c>
      <c r="F85" s="651"/>
      <c r="G85" s="651"/>
      <c r="H85" s="651"/>
      <c r="I85" s="651"/>
      <c r="J85" s="651"/>
      <c r="K85" s="651"/>
      <c r="L85" s="651"/>
      <c r="M85" s="65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67"/>
      <c r="B86" s="653" t="str">
        <f>B15</f>
        <v>配建面积</v>
      </c>
      <c r="C86" s="3179">
        <v>0</v>
      </c>
      <c r="D86" s="3179">
        <f>E15</f>
        <v>15000</v>
      </c>
      <c r="E86" s="3179">
        <v>20000</v>
      </c>
      <c r="F86" s="3179">
        <v>40000</v>
      </c>
      <c r="G86" s="3179">
        <v>60000</v>
      </c>
      <c r="H86" s="3179">
        <v>80000</v>
      </c>
      <c r="I86" s="669">
        <f>C15</f>
        <v>93822</v>
      </c>
      <c r="J86" s="669"/>
      <c r="K86" s="669"/>
      <c r="L86" s="670"/>
      <c r="M86" s="67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67"/>
      <c r="B87" s="658"/>
      <c r="C87" s="3180">
        <v>100</v>
      </c>
      <c r="D87" s="3180">
        <v>99</v>
      </c>
      <c r="E87" s="3180">
        <v>99</v>
      </c>
      <c r="F87" s="3180">
        <v>98</v>
      </c>
      <c r="G87" s="3180">
        <v>97</v>
      </c>
      <c r="H87" s="3180">
        <v>96</v>
      </c>
      <c r="I87" s="673">
        <f>H87</f>
        <v>96</v>
      </c>
      <c r="J87" s="673"/>
      <c r="K87" s="673"/>
      <c r="L87" s="673"/>
      <c r="M87" s="67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67"/>
      <c r="B88" s="661">
        <f>B16</f>
        <v>0</v>
      </c>
      <c r="C88" s="641">
        <v>111</v>
      </c>
      <c r="D88" s="641">
        <v>222</v>
      </c>
      <c r="E88" s="641">
        <v>333</v>
      </c>
      <c r="F88" s="641">
        <v>444</v>
      </c>
      <c r="G88" s="641"/>
      <c r="H88" s="675"/>
      <c r="I88" s="675"/>
      <c r="J88" s="675"/>
      <c r="K88" s="675"/>
      <c r="L88" s="676"/>
      <c r="M88" s="67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78"/>
      <c r="B89" s="679"/>
      <c r="C89" s="680">
        <v>100</v>
      </c>
      <c r="D89" s="680">
        <v>98</v>
      </c>
      <c r="E89" s="680">
        <v>96</v>
      </c>
      <c r="F89" s="680">
        <v>94</v>
      </c>
      <c r="G89" s="680"/>
      <c r="H89" s="681"/>
      <c r="I89" s="681"/>
      <c r="J89" s="681"/>
      <c r="K89" s="681"/>
      <c r="L89" s="681"/>
      <c r="M89" s="682"/>
      <c r="N89" s="2147"/>
      <c r="O89" s="2147"/>
      <c r="P89" s="2148"/>
      <c r="Q89" s="2149"/>
      <c r="R89" s="2150"/>
      <c r="S89" s="2150"/>
      <c r="T89" s="2150"/>
      <c r="U89" s="2150"/>
      <c r="V89" s="2150"/>
      <c r="W89" s="2150"/>
      <c r="X89" s="2150"/>
      <c r="Y89" s="2150"/>
      <c r="Z89" s="2150"/>
      <c r="AA89" s="2150"/>
      <c r="AB89" s="2150"/>
      <c r="AC89" s="2150"/>
    </row>
    <row r="90" spans="1:29">
      <c r="A90" s="644" t="s">
        <v>528</v>
      </c>
      <c r="B90" s="645" t="s">
        <v>575</v>
      </c>
      <c r="C90" s="683" t="s">
        <v>576</v>
      </c>
      <c r="D90" s="683" t="s">
        <v>577</v>
      </c>
      <c r="E90" s="683" t="s">
        <v>578</v>
      </c>
      <c r="F90" s="683" t="s">
        <v>579</v>
      </c>
      <c r="G90" s="683" t="s">
        <v>580</v>
      </c>
      <c r="H90" s="684"/>
      <c r="I90" s="684"/>
      <c r="J90" s="684"/>
      <c r="K90" s="685"/>
      <c r="L90" s="686"/>
      <c r="M90" s="687"/>
      <c r="N90" s="2144"/>
      <c r="O90" s="2144"/>
      <c r="P90" s="2154"/>
      <c r="Q90" s="2138"/>
      <c r="R90" s="2125"/>
      <c r="S90" s="2125"/>
      <c r="T90" s="2125"/>
      <c r="U90" s="2125"/>
      <c r="V90" s="2125"/>
      <c r="W90" s="2125"/>
      <c r="X90" s="2125"/>
      <c r="Y90" s="2125"/>
      <c r="Z90" s="2125"/>
      <c r="AA90" s="2125"/>
      <c r="AB90" s="2125"/>
      <c r="AC90" s="2125"/>
    </row>
    <row r="91" spans="1:29" ht="15.75" thickBot="1">
      <c r="A91" s="649"/>
      <c r="B91" s="658"/>
      <c r="C91" s="659">
        <v>100</v>
      </c>
      <c r="D91" s="659">
        <f>C91-$K17</f>
        <v>95</v>
      </c>
      <c r="E91" s="659">
        <f>D91-$K17</f>
        <v>90</v>
      </c>
      <c r="F91" s="659">
        <f>E91-$K17</f>
        <v>85</v>
      </c>
      <c r="G91" s="659">
        <f>F91-$K17</f>
        <v>80</v>
      </c>
      <c r="H91" s="659"/>
      <c r="I91" s="659"/>
      <c r="J91" s="659"/>
      <c r="K91" s="659"/>
      <c r="L91" s="659"/>
      <c r="M91" s="660"/>
      <c r="N91" s="2146"/>
      <c r="O91" s="2146"/>
      <c r="P91" s="2145"/>
      <c r="Q91" s="2138"/>
      <c r="R91" s="2125"/>
      <c r="S91" s="2125"/>
      <c r="T91" s="2125"/>
      <c r="U91" s="2125"/>
      <c r="V91" s="2125"/>
      <c r="W91" s="2125"/>
      <c r="X91" s="2125"/>
      <c r="Y91" s="2125"/>
      <c r="Z91" s="2125"/>
      <c r="AA91" s="2125"/>
      <c r="AB91" s="2125"/>
      <c r="AC91" s="2125"/>
    </row>
    <row r="92" spans="1:29" ht="15.75" thickTop="1">
      <c r="A92" s="649"/>
      <c r="B92" s="653" t="s">
        <v>581</v>
      </c>
      <c r="C92" s="688" t="s">
        <v>576</v>
      </c>
      <c r="D92" s="688" t="s">
        <v>577</v>
      </c>
      <c r="E92" s="688" t="s">
        <v>578</v>
      </c>
      <c r="F92" s="688" t="s">
        <v>579</v>
      </c>
      <c r="G92" s="688" t="s">
        <v>580</v>
      </c>
      <c r="H92" s="654"/>
      <c r="I92" s="654"/>
      <c r="J92" s="654"/>
      <c r="K92" s="655"/>
      <c r="L92" s="656"/>
      <c r="M92" s="657"/>
      <c r="N92" s="2144"/>
      <c r="O92" s="2144"/>
      <c r="P92" s="2145"/>
      <c r="Q92" s="2138"/>
      <c r="R92" s="2125"/>
      <c r="S92" s="2125"/>
      <c r="T92" s="2125"/>
      <c r="U92" s="2125"/>
      <c r="V92" s="2125"/>
      <c r="W92" s="2125"/>
      <c r="X92" s="2125"/>
      <c r="Y92" s="2125"/>
      <c r="Z92" s="2125"/>
      <c r="AA92" s="2125"/>
      <c r="AB92" s="2125"/>
      <c r="AC92" s="2125"/>
    </row>
    <row r="93" spans="1:29" ht="15.75" thickBot="1">
      <c r="A93" s="649"/>
      <c r="B93" s="658"/>
      <c r="C93" s="659">
        <v>100</v>
      </c>
      <c r="D93" s="659">
        <f>C93-$K19</f>
        <v>95</v>
      </c>
      <c r="E93" s="659">
        <f>D93-$K19</f>
        <v>90</v>
      </c>
      <c r="F93" s="659">
        <f>E93-$K19</f>
        <v>85</v>
      </c>
      <c r="G93" s="659">
        <f>F93-$K19</f>
        <v>80</v>
      </c>
      <c r="H93" s="659"/>
      <c r="I93" s="659"/>
      <c r="J93" s="659"/>
      <c r="K93" s="659"/>
      <c r="L93" s="659"/>
      <c r="M93" s="660"/>
      <c r="N93" s="2146"/>
      <c r="O93" s="2146"/>
      <c r="P93" s="2145"/>
      <c r="Q93" s="2138"/>
      <c r="R93" s="2125"/>
      <c r="S93" s="2125"/>
      <c r="T93" s="2125"/>
      <c r="U93" s="2125"/>
      <c r="V93" s="2125"/>
      <c r="W93" s="2125"/>
      <c r="X93" s="2125"/>
      <c r="Y93" s="2125"/>
      <c r="Z93" s="2125"/>
      <c r="AA93" s="2125"/>
      <c r="AB93" s="2125"/>
      <c r="AC93" s="2125"/>
    </row>
    <row r="94" spans="1:29" ht="15.75" thickTop="1">
      <c r="A94" s="649"/>
      <c r="B94" s="653" t="s">
        <v>582</v>
      </c>
      <c r="C94" s="688" t="s">
        <v>576</v>
      </c>
      <c r="D94" s="688" t="s">
        <v>577</v>
      </c>
      <c r="E94" s="688" t="s">
        <v>578</v>
      </c>
      <c r="F94" s="688" t="s">
        <v>579</v>
      </c>
      <c r="G94" s="688" t="s">
        <v>580</v>
      </c>
      <c r="H94" s="654"/>
      <c r="I94" s="654"/>
      <c r="J94" s="654"/>
      <c r="K94" s="655"/>
      <c r="L94" s="656"/>
      <c r="M94" s="657"/>
      <c r="N94" s="2144"/>
      <c r="O94" s="2144"/>
      <c r="P94" s="2145"/>
      <c r="Q94" s="2138"/>
      <c r="R94" s="2125"/>
      <c r="S94" s="2125"/>
      <c r="T94" s="2125"/>
      <c r="U94" s="2125"/>
      <c r="V94" s="2125"/>
      <c r="W94" s="2125"/>
      <c r="X94" s="2125"/>
      <c r="Y94" s="2125"/>
      <c r="Z94" s="2125"/>
      <c r="AA94" s="2125"/>
      <c r="AB94" s="2125"/>
      <c r="AC94" s="2125"/>
    </row>
    <row r="95" spans="1:29" ht="15.75" thickBot="1">
      <c r="A95" s="649"/>
      <c r="B95" s="658"/>
      <c r="C95" s="659">
        <v>100</v>
      </c>
      <c r="D95" s="659">
        <f>C95-$K21</f>
        <v>95</v>
      </c>
      <c r="E95" s="659">
        <f>D95-$K21</f>
        <v>90</v>
      </c>
      <c r="F95" s="659">
        <f>E95-$K21</f>
        <v>85</v>
      </c>
      <c r="G95" s="659">
        <f>F95-$K21</f>
        <v>80</v>
      </c>
      <c r="H95" s="659"/>
      <c r="I95" s="659"/>
      <c r="J95" s="659"/>
      <c r="K95" s="659"/>
      <c r="L95" s="659"/>
      <c r="M95" s="660"/>
      <c r="N95" s="2146"/>
      <c r="O95" s="2146"/>
      <c r="P95" s="2145"/>
      <c r="Q95" s="2138"/>
      <c r="R95" s="2125"/>
      <c r="S95" s="2125"/>
      <c r="T95" s="2125"/>
      <c r="U95" s="2125"/>
      <c r="V95" s="2125"/>
      <c r="W95" s="2125"/>
      <c r="X95" s="2125"/>
      <c r="Y95" s="2125"/>
      <c r="Z95" s="2125"/>
      <c r="AA95" s="2125"/>
      <c r="AB95" s="2125"/>
      <c r="AC95" s="2125"/>
    </row>
    <row r="96" spans="1:29" ht="15.75" thickTop="1">
      <c r="A96" s="649"/>
      <c r="B96" s="653" t="s">
        <v>583</v>
      </c>
      <c r="C96" s="688" t="s">
        <v>576</v>
      </c>
      <c r="D96" s="688" t="s">
        <v>577</v>
      </c>
      <c r="E96" s="688" t="s">
        <v>578</v>
      </c>
      <c r="F96" s="688" t="s">
        <v>579</v>
      </c>
      <c r="G96" s="688" t="s">
        <v>580</v>
      </c>
      <c r="H96" s="654"/>
      <c r="I96" s="654"/>
      <c r="J96" s="654"/>
      <c r="K96" s="655"/>
      <c r="L96" s="656"/>
      <c r="M96" s="657"/>
      <c r="N96" s="2144"/>
      <c r="O96" s="2144"/>
      <c r="P96" s="2145"/>
      <c r="Q96" s="2138"/>
      <c r="R96" s="2125"/>
      <c r="S96" s="2125"/>
      <c r="T96" s="2125"/>
      <c r="U96" s="2125"/>
      <c r="V96" s="2125"/>
      <c r="W96" s="2125"/>
      <c r="X96" s="2125"/>
      <c r="Y96" s="2125"/>
      <c r="Z96" s="2125"/>
      <c r="AA96" s="2125"/>
      <c r="AB96" s="2125"/>
      <c r="AC96" s="2125"/>
    </row>
    <row r="97" spans="1:29" ht="15.75" thickBot="1">
      <c r="A97" s="649"/>
      <c r="B97" s="658"/>
      <c r="C97" s="659">
        <v>100</v>
      </c>
      <c r="D97" s="659">
        <f>C97-$K23</f>
        <v>98</v>
      </c>
      <c r="E97" s="659">
        <f>D97-$K23</f>
        <v>96</v>
      </c>
      <c r="F97" s="659">
        <f>E97-$K23</f>
        <v>94</v>
      </c>
      <c r="G97" s="659">
        <f>F97-$K23</f>
        <v>92</v>
      </c>
      <c r="H97" s="659"/>
      <c r="I97" s="659"/>
      <c r="J97" s="659"/>
      <c r="K97" s="659"/>
      <c r="L97" s="659"/>
      <c r="M97" s="660"/>
      <c r="N97" s="2146"/>
      <c r="O97" s="2146"/>
      <c r="P97" s="2145"/>
      <c r="Q97" s="2138"/>
      <c r="R97" s="2125"/>
      <c r="S97" s="2125"/>
      <c r="T97" s="2125"/>
      <c r="U97" s="2125"/>
      <c r="V97" s="2125"/>
      <c r="W97" s="2125"/>
      <c r="X97" s="2125"/>
      <c r="Y97" s="2125"/>
      <c r="Z97" s="2125"/>
      <c r="AA97" s="2125"/>
      <c r="AB97" s="2125"/>
      <c r="AC97" s="2125"/>
    </row>
    <row r="98" spans="1:29" s="1199" customFormat="1" ht="27.75" thickTop="1">
      <c r="A98" s="689"/>
      <c r="B98" s="653" t="s">
        <v>584</v>
      </c>
      <c r="C98" s="688" t="s">
        <v>576</v>
      </c>
      <c r="D98" s="688" t="s">
        <v>577</v>
      </c>
      <c r="E98" s="688" t="s">
        <v>578</v>
      </c>
      <c r="F98" s="688" t="s">
        <v>579</v>
      </c>
      <c r="G98" s="688" t="s">
        <v>580</v>
      </c>
      <c r="H98" s="688"/>
      <c r="I98" s="688"/>
      <c r="J98" s="688"/>
      <c r="K98" s="688"/>
      <c r="L98" s="690"/>
      <c r="M98" s="691"/>
      <c r="N98" s="2142"/>
      <c r="O98" s="2142"/>
      <c r="P98" s="2145"/>
      <c r="Q98" s="2138"/>
      <c r="R98" s="1969"/>
      <c r="S98" s="1969"/>
      <c r="T98" s="1969"/>
      <c r="U98" s="1969"/>
      <c r="V98" s="1969"/>
      <c r="W98" s="1969"/>
      <c r="X98" s="1969"/>
      <c r="Y98" s="1969"/>
      <c r="Z98" s="1969"/>
      <c r="AA98" s="1969"/>
      <c r="AB98" s="1969"/>
      <c r="AC98" s="1969"/>
    </row>
    <row r="99" spans="1:29" s="1199" customFormat="1" ht="15.75" thickBot="1">
      <c r="A99" s="689"/>
      <c r="B99" s="658"/>
      <c r="C99" s="692">
        <v>100</v>
      </c>
      <c r="D99" s="659">
        <f>C99-$K25</f>
        <v>98</v>
      </c>
      <c r="E99" s="659">
        <f>D99-$K25</f>
        <v>96</v>
      </c>
      <c r="F99" s="659">
        <f>E99-$K25</f>
        <v>94</v>
      </c>
      <c r="G99" s="659">
        <f>F99-$K25</f>
        <v>92</v>
      </c>
      <c r="H99" s="659"/>
      <c r="I99" s="659"/>
      <c r="J99" s="659"/>
      <c r="K99" s="659"/>
      <c r="L99" s="659"/>
      <c r="M99" s="660"/>
      <c r="N99" s="2146"/>
      <c r="O99" s="2146"/>
      <c r="P99" s="2145"/>
      <c r="Q99" s="2138"/>
      <c r="R99" s="1969"/>
      <c r="S99" s="1969"/>
      <c r="T99" s="1969"/>
      <c r="U99" s="1969"/>
      <c r="V99" s="1969"/>
      <c r="W99" s="1969"/>
      <c r="X99" s="1969"/>
      <c r="Y99" s="1969"/>
      <c r="Z99" s="1969"/>
      <c r="AA99" s="1969"/>
      <c r="AB99" s="1969"/>
      <c r="AC99" s="1969"/>
    </row>
    <row r="100" spans="1:29" s="1199" customFormat="1" ht="27.75" thickTop="1">
      <c r="A100" s="689"/>
      <c r="B100" s="653" t="s">
        <v>585</v>
      </c>
      <c r="C100" s="683" t="s">
        <v>576</v>
      </c>
      <c r="D100" s="683" t="s">
        <v>577</v>
      </c>
      <c r="E100" s="683" t="s">
        <v>578</v>
      </c>
      <c r="F100" s="683" t="s">
        <v>579</v>
      </c>
      <c r="G100" s="683" t="s">
        <v>580</v>
      </c>
      <c r="H100" s="688"/>
      <c r="I100" s="688"/>
      <c r="J100" s="688"/>
      <c r="K100" s="688"/>
      <c r="L100" s="688"/>
      <c r="M100" s="691"/>
      <c r="N100" s="2142"/>
      <c r="O100" s="2142"/>
      <c r="P100" s="2145"/>
      <c r="Q100" s="2138"/>
      <c r="R100" s="1969"/>
      <c r="S100" s="1969"/>
      <c r="T100" s="1969"/>
      <c r="U100" s="1969"/>
      <c r="V100" s="1969"/>
      <c r="W100" s="1969"/>
      <c r="X100" s="1969"/>
      <c r="Y100" s="1969"/>
      <c r="Z100" s="1969"/>
      <c r="AA100" s="1969"/>
      <c r="AB100" s="1969"/>
      <c r="AC100" s="1969"/>
    </row>
    <row r="101" spans="1:29" s="1199" customFormat="1" ht="15.75" thickBot="1">
      <c r="A101" s="689"/>
      <c r="B101" s="658"/>
      <c r="C101" s="659">
        <v>100</v>
      </c>
      <c r="D101" s="659">
        <f>C101-$K27</f>
        <v>98</v>
      </c>
      <c r="E101" s="659">
        <f>D101-$K27</f>
        <v>96</v>
      </c>
      <c r="F101" s="659">
        <f>E101-$K27</f>
        <v>94</v>
      </c>
      <c r="G101" s="659">
        <f>F101-$K27</f>
        <v>92</v>
      </c>
      <c r="H101" s="659"/>
      <c r="I101" s="659"/>
      <c r="J101" s="659"/>
      <c r="K101" s="659"/>
      <c r="L101" s="659"/>
      <c r="M101" s="660"/>
      <c r="N101" s="2146"/>
      <c r="O101" s="2146"/>
      <c r="P101" s="2145"/>
      <c r="Q101" s="2138"/>
      <c r="R101" s="1969"/>
      <c r="S101" s="1969"/>
      <c r="T101" s="1969"/>
      <c r="U101" s="1969"/>
      <c r="V101" s="1969"/>
      <c r="W101" s="1969"/>
      <c r="X101" s="1969"/>
      <c r="Y101" s="1969"/>
      <c r="Z101" s="1969"/>
      <c r="AA101" s="1969"/>
      <c r="AB101" s="1969"/>
      <c r="AC101" s="1969"/>
    </row>
    <row r="102" spans="1:29" s="1324" customFormat="1" ht="15.75" thickTop="1">
      <c r="A102" s="667"/>
      <c r="B102" s="1871" t="s">
        <v>2817</v>
      </c>
      <c r="C102" s="683" t="s">
        <v>576</v>
      </c>
      <c r="D102" s="683" t="s">
        <v>577</v>
      </c>
      <c r="E102" s="683" t="s">
        <v>578</v>
      </c>
      <c r="F102" s="683" t="s">
        <v>579</v>
      </c>
      <c r="G102" s="683" t="s">
        <v>580</v>
      </c>
      <c r="H102" s="693"/>
      <c r="I102" s="693"/>
      <c r="J102" s="693"/>
      <c r="K102" s="693"/>
      <c r="L102" s="694"/>
      <c r="M102" s="69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67"/>
      <c r="B103" s="658"/>
      <c r="C103" s="659">
        <v>100</v>
      </c>
      <c r="D103" s="659">
        <f>C103-$K29</f>
        <v>98</v>
      </c>
      <c r="E103" s="659">
        <f>D103-$K29</f>
        <v>96</v>
      </c>
      <c r="F103" s="659">
        <f>E103-$K29</f>
        <v>94</v>
      </c>
      <c r="G103" s="659">
        <f>F103-$K29</f>
        <v>92</v>
      </c>
      <c r="H103" s="696"/>
      <c r="I103" s="696"/>
      <c r="J103" s="696"/>
      <c r="K103" s="696"/>
      <c r="L103" s="696"/>
      <c r="M103" s="69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67"/>
      <c r="B104" s="2610" t="s">
        <v>2819</v>
      </c>
      <c r="C104" s="2611" t="s">
        <v>2820</v>
      </c>
      <c r="D104" s="2611" t="s">
        <v>2821</v>
      </c>
      <c r="E104" s="2611" t="s">
        <v>2822</v>
      </c>
      <c r="F104" s="2611" t="s">
        <v>2823</v>
      </c>
      <c r="G104" s="2611" t="s">
        <v>2824</v>
      </c>
      <c r="H104" s="693"/>
      <c r="I104" s="693"/>
      <c r="J104" s="693"/>
      <c r="K104" s="693"/>
      <c r="L104" s="693"/>
      <c r="M104" s="69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67"/>
      <c r="B105" s="661"/>
      <c r="C105" s="659">
        <v>100</v>
      </c>
      <c r="D105" s="659">
        <f>C105-$K31</f>
        <v>99</v>
      </c>
      <c r="E105" s="659">
        <f>D105-$K31</f>
        <v>98</v>
      </c>
      <c r="F105" s="659">
        <f>E105-$K31</f>
        <v>97</v>
      </c>
      <c r="G105" s="659">
        <f>F105-$K31</f>
        <v>96</v>
      </c>
      <c r="H105" s="663"/>
      <c r="I105" s="663"/>
      <c r="J105" s="663"/>
      <c r="K105" s="663"/>
      <c r="L105" s="663"/>
      <c r="M105" s="2603"/>
      <c r="N105" s="2147"/>
      <c r="O105" s="2147"/>
      <c r="P105" s="2148"/>
      <c r="Q105" s="2149"/>
      <c r="R105" s="2150"/>
      <c r="S105" s="2150"/>
      <c r="T105" s="2150"/>
      <c r="U105" s="2150"/>
      <c r="V105" s="2150"/>
      <c r="W105" s="2150"/>
      <c r="X105" s="2150"/>
      <c r="Y105" s="2150"/>
      <c r="Z105" s="2150"/>
      <c r="AA105" s="2150"/>
      <c r="AB105" s="2150"/>
      <c r="AC105" s="2150"/>
    </row>
    <row r="106" spans="1:29" ht="15.75" thickTop="1">
      <c r="A106" s="649"/>
      <c r="B106" s="653" t="str">
        <f>B33</f>
        <v>临街状况</v>
      </c>
      <c r="C106" s="654" t="s">
        <v>586</v>
      </c>
      <c r="D106" s="654" t="s">
        <v>587</v>
      </c>
      <c r="E106" s="654" t="s">
        <v>588</v>
      </c>
      <c r="F106" s="654" t="s">
        <v>589</v>
      </c>
      <c r="G106" s="654"/>
      <c r="H106" s="654"/>
      <c r="I106" s="654"/>
      <c r="J106" s="654"/>
      <c r="K106" s="655"/>
      <c r="L106" s="656"/>
      <c r="M106" s="657"/>
      <c r="N106" s="2144"/>
      <c r="O106" s="2144"/>
      <c r="P106" s="2145"/>
      <c r="Q106" s="2138"/>
      <c r="R106" s="2125"/>
      <c r="S106" s="2125"/>
      <c r="T106" s="2125"/>
      <c r="U106" s="2125"/>
      <c r="V106" s="2125"/>
      <c r="W106" s="2125"/>
      <c r="X106" s="2125"/>
      <c r="Y106" s="2125"/>
      <c r="Z106" s="2125"/>
      <c r="AA106" s="2125"/>
      <c r="AB106" s="2125"/>
      <c r="AC106" s="2125"/>
    </row>
    <row r="107" spans="1:29" ht="15.75" thickBot="1">
      <c r="A107" s="649"/>
      <c r="B107" s="658"/>
      <c r="C107" s="659">
        <v>100</v>
      </c>
      <c r="D107" s="659">
        <f>C107-$K33</f>
        <v>99</v>
      </c>
      <c r="E107" s="659">
        <f t="shared" ref="E107:M107" si="22">D107-$K33</f>
        <v>98</v>
      </c>
      <c r="F107" s="659">
        <f t="shared" si="22"/>
        <v>97</v>
      </c>
      <c r="G107" s="659">
        <f t="shared" si="22"/>
        <v>96</v>
      </c>
      <c r="H107" s="659">
        <f t="shared" si="22"/>
        <v>95</v>
      </c>
      <c r="I107" s="659">
        <f t="shared" si="22"/>
        <v>94</v>
      </c>
      <c r="J107" s="659">
        <f t="shared" si="22"/>
        <v>93</v>
      </c>
      <c r="K107" s="659">
        <f t="shared" si="22"/>
        <v>92</v>
      </c>
      <c r="L107" s="659">
        <f t="shared" si="22"/>
        <v>91</v>
      </c>
      <c r="M107" s="659">
        <f t="shared" si="22"/>
        <v>90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49"/>
      <c r="B108" s="653" t="s">
        <v>540</v>
      </c>
      <c r="C108" s="668" t="s">
        <v>590</v>
      </c>
      <c r="D108" s="668" t="s">
        <v>591</v>
      </c>
      <c r="E108" s="668" t="s">
        <v>592</v>
      </c>
      <c r="F108" s="668" t="s">
        <v>593</v>
      </c>
      <c r="G108" s="668" t="s">
        <v>594</v>
      </c>
      <c r="H108" s="698"/>
      <c r="I108" s="698"/>
      <c r="J108" s="698"/>
      <c r="K108" s="699"/>
      <c r="L108" s="700"/>
      <c r="M108" s="701"/>
      <c r="N108" s="2144"/>
      <c r="O108" s="2144"/>
      <c r="P108" s="2145"/>
      <c r="Q108" s="2138"/>
      <c r="R108" s="2125"/>
      <c r="S108" s="2125"/>
      <c r="T108" s="2125"/>
      <c r="U108" s="2125"/>
      <c r="V108" s="2125"/>
      <c r="W108" s="2125"/>
      <c r="X108" s="2125"/>
      <c r="Y108" s="2125"/>
      <c r="Z108" s="2125"/>
      <c r="AA108" s="2125"/>
      <c r="AB108" s="2125"/>
      <c r="AC108" s="2125"/>
    </row>
    <row r="109" spans="1:29" ht="15.75" thickBot="1">
      <c r="A109" s="649"/>
      <c r="B109" s="658"/>
      <c r="C109" s="659">
        <v>100</v>
      </c>
      <c r="D109" s="659">
        <f>C109-$K34</f>
        <v>98.5</v>
      </c>
      <c r="E109" s="659">
        <f t="shared" ref="E109:M109" si="23">D109-$K34</f>
        <v>97</v>
      </c>
      <c r="F109" s="659">
        <f t="shared" si="23"/>
        <v>95.5</v>
      </c>
      <c r="G109" s="659">
        <f t="shared" si="23"/>
        <v>94</v>
      </c>
      <c r="H109" s="659">
        <f t="shared" si="23"/>
        <v>92.5</v>
      </c>
      <c r="I109" s="659">
        <f t="shared" si="23"/>
        <v>91</v>
      </c>
      <c r="J109" s="659">
        <f t="shared" si="23"/>
        <v>89.5</v>
      </c>
      <c r="K109" s="659">
        <f t="shared" si="23"/>
        <v>88</v>
      </c>
      <c r="L109" s="659">
        <f t="shared" si="23"/>
        <v>86.5</v>
      </c>
      <c r="M109" s="659">
        <f t="shared" si="23"/>
        <v>85</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49"/>
      <c r="B110" s="653" t="s">
        <v>542</v>
      </c>
      <c r="C110" s="698" t="s">
        <v>595</v>
      </c>
      <c r="D110" s="698" t="s">
        <v>596</v>
      </c>
      <c r="E110" s="698" t="s">
        <v>597</v>
      </c>
      <c r="F110" s="698"/>
      <c r="G110" s="698"/>
      <c r="H110" s="698"/>
      <c r="I110" s="698"/>
      <c r="J110" s="698"/>
      <c r="K110" s="699"/>
      <c r="L110" s="700"/>
      <c r="M110" s="701"/>
      <c r="N110" s="2144"/>
      <c r="O110" s="2144"/>
      <c r="P110" s="2145"/>
      <c r="Q110" s="2138"/>
      <c r="R110" s="2125"/>
      <c r="S110" s="2125"/>
      <c r="T110" s="2125"/>
      <c r="U110" s="2125"/>
      <c r="V110" s="2125"/>
      <c r="W110" s="2125"/>
      <c r="X110" s="2125"/>
      <c r="Y110" s="2125"/>
      <c r="Z110" s="2125"/>
      <c r="AA110" s="2125"/>
      <c r="AB110" s="2125"/>
      <c r="AC110" s="2125"/>
    </row>
    <row r="111" spans="1:29" ht="15.75" thickBot="1">
      <c r="A111" s="649"/>
      <c r="B111" s="658"/>
      <c r="C111" s="659">
        <v>100</v>
      </c>
      <c r="D111" s="659">
        <f>C111-$K36</f>
        <v>100</v>
      </c>
      <c r="E111" s="659">
        <f t="shared" ref="E111:M111" si="24">D111-$K36</f>
        <v>100</v>
      </c>
      <c r="F111" s="659">
        <f t="shared" si="24"/>
        <v>100</v>
      </c>
      <c r="G111" s="659">
        <f t="shared" si="24"/>
        <v>100</v>
      </c>
      <c r="H111" s="659">
        <f t="shared" si="24"/>
        <v>100</v>
      </c>
      <c r="I111" s="659">
        <f t="shared" si="24"/>
        <v>100</v>
      </c>
      <c r="J111" s="659">
        <f t="shared" si="24"/>
        <v>100</v>
      </c>
      <c r="K111" s="659">
        <f t="shared" si="24"/>
        <v>100</v>
      </c>
      <c r="L111" s="659">
        <f t="shared" si="24"/>
        <v>100</v>
      </c>
      <c r="M111" s="659">
        <f t="shared" si="24"/>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49"/>
      <c r="B112" s="661">
        <f>B37</f>
        <v>0</v>
      </c>
      <c r="C112" s="668">
        <v>111</v>
      </c>
      <c r="D112" s="668">
        <v>222</v>
      </c>
      <c r="E112" s="668">
        <v>333</v>
      </c>
      <c r="F112" s="668">
        <v>444</v>
      </c>
      <c r="G112" s="702"/>
      <c r="H112" s="702"/>
      <c r="I112" s="702"/>
      <c r="J112" s="702"/>
      <c r="K112" s="703"/>
      <c r="L112" s="704"/>
      <c r="M112" s="705"/>
      <c r="N112" s="2144"/>
      <c r="O112" s="2144"/>
      <c r="P112" s="2145"/>
      <c r="Q112" s="2138"/>
      <c r="R112" s="2125"/>
      <c r="S112" s="2125"/>
      <c r="T112" s="2125"/>
      <c r="U112" s="2125"/>
      <c r="V112" s="2125"/>
      <c r="W112" s="2125"/>
      <c r="X112" s="2125"/>
      <c r="Y112" s="2125"/>
      <c r="Z112" s="2125"/>
      <c r="AA112" s="2125"/>
      <c r="AB112" s="2125"/>
      <c r="AC112" s="2125"/>
    </row>
    <row r="113" spans="1:29" ht="15.75" thickBot="1">
      <c r="A113" s="649"/>
      <c r="B113" s="679"/>
      <c r="C113" s="672">
        <v>100</v>
      </c>
      <c r="D113" s="672">
        <v>99</v>
      </c>
      <c r="E113" s="672">
        <v>98</v>
      </c>
      <c r="F113" s="672">
        <v>97</v>
      </c>
      <c r="G113" s="706"/>
      <c r="H113" s="706"/>
      <c r="I113" s="706"/>
      <c r="J113" s="706"/>
      <c r="K113" s="706"/>
      <c r="L113" s="706"/>
      <c r="M113" s="707"/>
      <c r="N113" s="2146"/>
      <c r="O113" s="2146"/>
      <c r="P113" s="2145"/>
      <c r="Q113" s="2138"/>
      <c r="R113" s="2125"/>
      <c r="S113" s="2125"/>
      <c r="T113" s="2125"/>
      <c r="U113" s="2125"/>
      <c r="V113" s="2125"/>
      <c r="W113" s="2125"/>
      <c r="X113" s="2125"/>
      <c r="Y113" s="2125"/>
      <c r="Z113" s="2125"/>
      <c r="AA113" s="2125"/>
      <c r="AB113" s="2125"/>
      <c r="AC113" s="2125"/>
    </row>
    <row r="114" spans="1:29" ht="15" thickTop="1">
      <c r="A114" s="567"/>
      <c r="B114" s="653">
        <f>B38</f>
        <v>0</v>
      </c>
      <c r="C114" s="641">
        <v>111</v>
      </c>
      <c r="D114" s="641">
        <v>222</v>
      </c>
      <c r="E114" s="641">
        <v>333</v>
      </c>
      <c r="F114" s="641">
        <v>444</v>
      </c>
      <c r="G114" s="698"/>
      <c r="H114" s="698"/>
      <c r="I114" s="698"/>
      <c r="J114" s="698"/>
      <c r="K114" s="699"/>
      <c r="L114" s="700"/>
      <c r="M114" s="701"/>
      <c r="N114" s="2144"/>
      <c r="O114" s="2144"/>
      <c r="P114" s="2145"/>
      <c r="Q114" s="2138"/>
      <c r="R114" s="2125"/>
      <c r="S114" s="2125"/>
      <c r="T114" s="2125"/>
      <c r="U114" s="2125"/>
      <c r="V114" s="2125"/>
      <c r="W114" s="2125"/>
      <c r="X114" s="2125"/>
      <c r="Y114" s="2125"/>
      <c r="Z114" s="2125"/>
      <c r="AA114" s="2125"/>
      <c r="AB114" s="2125"/>
      <c r="AC114" s="2125"/>
    </row>
    <row r="115" spans="1:29" ht="15.75" thickBot="1">
      <c r="A115" s="649"/>
      <c r="B115" s="658"/>
      <c r="C115" s="680">
        <v>100</v>
      </c>
      <c r="D115" s="680">
        <v>98</v>
      </c>
      <c r="E115" s="680">
        <v>96</v>
      </c>
      <c r="F115" s="680">
        <v>94</v>
      </c>
      <c r="G115" s="651"/>
      <c r="H115" s="651"/>
      <c r="I115" s="651"/>
      <c r="J115" s="651"/>
      <c r="K115" s="651"/>
      <c r="L115" s="651"/>
      <c r="M115" s="65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08"/>
      <c r="B116" s="709">
        <f>B39</f>
        <v>0</v>
      </c>
      <c r="C116" s="710">
        <v>111</v>
      </c>
      <c r="D116" s="710">
        <v>222</v>
      </c>
      <c r="E116" s="710">
        <v>333</v>
      </c>
      <c r="F116" s="710">
        <v>444</v>
      </c>
      <c r="G116" s="710"/>
      <c r="H116" s="710"/>
      <c r="I116" s="710"/>
      <c r="J116" s="711"/>
      <c r="K116" s="711"/>
      <c r="L116" s="712"/>
      <c r="M116" s="71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67"/>
      <c r="B117" s="661"/>
      <c r="C117" s="630">
        <v>100</v>
      </c>
      <c r="D117" s="572">
        <v>97</v>
      </c>
      <c r="E117" s="572">
        <v>94</v>
      </c>
      <c r="F117" s="572">
        <v>91</v>
      </c>
      <c r="G117" s="572"/>
      <c r="H117" s="572"/>
      <c r="I117" s="572"/>
      <c r="J117" s="572"/>
      <c r="K117" s="572"/>
      <c r="L117" s="572"/>
      <c r="M117" s="714"/>
      <c r="N117" s="2146"/>
      <c r="O117" s="2146"/>
      <c r="P117" s="2148"/>
      <c r="Q117" s="2149"/>
      <c r="R117" s="2150"/>
      <c r="S117" s="2150"/>
      <c r="T117" s="2150"/>
      <c r="U117" s="2150"/>
      <c r="V117" s="2150"/>
      <c r="W117" s="2150"/>
      <c r="X117" s="2150"/>
      <c r="Y117" s="2150"/>
      <c r="Z117" s="2150"/>
      <c r="AA117" s="2150"/>
      <c r="AB117" s="2150"/>
      <c r="AC117" s="2150"/>
    </row>
    <row r="118" spans="1:29" ht="28.5">
      <c r="A118" s="644" t="s">
        <v>544</v>
      </c>
      <c r="B118" s="645" t="s">
        <v>598</v>
      </c>
      <c r="C118" s="578" t="str">
        <f t="shared" ref="C118:L118" si="25">C119&amp;"(含)"&amp;"-"&amp;D119</f>
        <v>0(含)-50000</v>
      </c>
      <c r="D118" s="578" t="str">
        <f t="shared" si="25"/>
        <v>50000(含)-100000</v>
      </c>
      <c r="E118" s="578" t="str">
        <f t="shared" si="25"/>
        <v>100000(含)-1500000</v>
      </c>
      <c r="F118" s="578" t="str">
        <f t="shared" si="25"/>
        <v>1500000(含)-200000</v>
      </c>
      <c r="G118" s="578" t="str">
        <f t="shared" si="25"/>
        <v>200000(含)-</v>
      </c>
      <c r="H118" s="578" t="str">
        <f t="shared" si="25"/>
        <v>(含)-</v>
      </c>
      <c r="I118" s="578" t="str">
        <f t="shared" si="25"/>
        <v>(含)-</v>
      </c>
      <c r="J118" s="2350" t="str">
        <f t="shared" si="25"/>
        <v>(含)-</v>
      </c>
      <c r="K118" s="2350" t="str">
        <f t="shared" si="25"/>
        <v>(含)-</v>
      </c>
      <c r="L118" s="2351" t="str">
        <f t="shared" si="25"/>
        <v>(含)-</v>
      </c>
      <c r="M118" s="2352"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49"/>
      <c r="B119" s="661"/>
      <c r="C119" s="3161">
        <v>0</v>
      </c>
      <c r="D119" s="3161">
        <v>50000</v>
      </c>
      <c r="E119" s="3161">
        <v>100000</v>
      </c>
      <c r="F119" s="3161">
        <v>1500000</v>
      </c>
      <c r="G119" s="3161">
        <v>200000</v>
      </c>
      <c r="H119" s="710"/>
      <c r="I119" s="710"/>
      <c r="J119" s="2353"/>
      <c r="K119" s="2353"/>
      <c r="L119" s="2354"/>
      <c r="M119" s="2355"/>
      <c r="N119" s="2144"/>
      <c r="O119" s="2144"/>
      <c r="P119" s="2145"/>
      <c r="Q119" s="2138"/>
      <c r="R119" s="2125"/>
      <c r="S119" s="2125"/>
      <c r="T119" s="2125"/>
      <c r="U119" s="2125"/>
      <c r="V119" s="2125"/>
      <c r="W119" s="2125"/>
      <c r="X119" s="2125"/>
      <c r="Y119" s="2125"/>
      <c r="Z119" s="2125"/>
      <c r="AA119" s="2125"/>
      <c r="AB119" s="2125"/>
      <c r="AC119" s="2125"/>
    </row>
    <row r="120" spans="1:29" ht="15.75" thickBot="1">
      <c r="A120" s="649"/>
      <c r="B120" s="658"/>
      <c r="C120" s="3162">
        <v>100</v>
      </c>
      <c r="D120" s="3163">
        <v>101</v>
      </c>
      <c r="E120" s="3163">
        <v>102</v>
      </c>
      <c r="F120" s="3163">
        <v>103</v>
      </c>
      <c r="G120" s="3163">
        <v>104</v>
      </c>
      <c r="H120" s="706"/>
      <c r="I120" s="706"/>
      <c r="J120" s="706"/>
      <c r="K120" s="706"/>
      <c r="L120" s="706"/>
      <c r="M120" s="707"/>
      <c r="N120" s="2146"/>
      <c r="O120" s="2146"/>
      <c r="P120" s="2145"/>
      <c r="Q120" s="2138"/>
      <c r="R120" s="2125"/>
      <c r="S120" s="2125"/>
      <c r="T120" s="2125"/>
      <c r="U120" s="2125"/>
      <c r="V120" s="2125"/>
      <c r="W120" s="2125"/>
      <c r="X120" s="2125"/>
      <c r="Y120" s="2125"/>
      <c r="Z120" s="2125"/>
      <c r="AA120" s="2125"/>
      <c r="AB120" s="2125"/>
      <c r="AC120" s="2125"/>
    </row>
    <row r="121" spans="1:29" ht="15" thickTop="1">
      <c r="A121" s="715"/>
      <c r="B121" s="653" t="s">
        <v>599</v>
      </c>
      <c r="C121" s="698" t="s">
        <v>600</v>
      </c>
      <c r="D121" s="698" t="s">
        <v>601</v>
      </c>
      <c r="E121" s="698" t="s">
        <v>602</v>
      </c>
      <c r="F121" s="698" t="s">
        <v>603</v>
      </c>
      <c r="G121" s="698"/>
      <c r="H121" s="698"/>
      <c r="I121" s="698"/>
      <c r="J121" s="698"/>
      <c r="K121" s="699"/>
      <c r="L121" s="700"/>
      <c r="M121" s="701"/>
      <c r="N121" s="2144"/>
      <c r="O121" s="2144"/>
      <c r="P121" s="2145"/>
      <c r="Q121" s="2138"/>
      <c r="R121" s="2125"/>
      <c r="S121" s="2125"/>
      <c r="T121" s="2125"/>
      <c r="U121" s="2125"/>
      <c r="V121" s="2125"/>
      <c r="W121" s="2125"/>
      <c r="X121" s="2125"/>
      <c r="Y121" s="2125"/>
      <c r="Z121" s="2125"/>
      <c r="AA121" s="2125"/>
      <c r="AB121" s="2125"/>
      <c r="AC121" s="2125"/>
    </row>
    <row r="122" spans="1:29" ht="15.75" thickBot="1">
      <c r="A122" s="649"/>
      <c r="B122" s="658"/>
      <c r="C122" s="659">
        <v>100</v>
      </c>
      <c r="D122" s="659">
        <f t="shared" ref="D122:M122" si="26">C122-$K41</f>
        <v>99</v>
      </c>
      <c r="E122" s="659">
        <f t="shared" si="26"/>
        <v>98</v>
      </c>
      <c r="F122" s="659">
        <f t="shared" si="26"/>
        <v>97</v>
      </c>
      <c r="G122" s="659">
        <f t="shared" si="26"/>
        <v>96</v>
      </c>
      <c r="H122" s="659">
        <f t="shared" si="26"/>
        <v>95</v>
      </c>
      <c r="I122" s="659">
        <f t="shared" si="26"/>
        <v>94</v>
      </c>
      <c r="J122" s="659">
        <f t="shared" si="26"/>
        <v>93</v>
      </c>
      <c r="K122" s="659">
        <f t="shared" si="26"/>
        <v>92</v>
      </c>
      <c r="L122" s="659">
        <f t="shared" si="26"/>
        <v>91</v>
      </c>
      <c r="M122" s="660">
        <f t="shared" si="26"/>
        <v>90</v>
      </c>
      <c r="N122" s="2146"/>
      <c r="O122" s="2146"/>
      <c r="P122" s="2145"/>
      <c r="Q122" s="2138"/>
      <c r="R122" s="2125"/>
      <c r="S122" s="2125"/>
      <c r="T122" s="2125"/>
      <c r="U122" s="2125"/>
      <c r="V122" s="2125"/>
      <c r="W122" s="2125"/>
      <c r="X122" s="2125"/>
      <c r="Y122" s="2125"/>
      <c r="Z122" s="2125"/>
      <c r="AA122" s="2125"/>
      <c r="AB122" s="2125"/>
      <c r="AC122" s="2125"/>
    </row>
    <row r="123" spans="1:29" ht="15" thickTop="1">
      <c r="A123" s="715"/>
      <c r="B123" s="653" t="s">
        <v>604</v>
      </c>
      <c r="C123" s="668" t="s">
        <v>605</v>
      </c>
      <c r="D123" s="668" t="s">
        <v>606</v>
      </c>
      <c r="E123" s="668" t="s">
        <v>607</v>
      </c>
      <c r="F123" s="698"/>
      <c r="G123" s="698"/>
      <c r="H123" s="698"/>
      <c r="I123" s="698"/>
      <c r="J123" s="698"/>
      <c r="K123" s="699"/>
      <c r="L123" s="700"/>
      <c r="M123" s="701"/>
      <c r="N123" s="2144"/>
      <c r="O123" s="2144"/>
      <c r="P123" s="2145"/>
      <c r="Q123" s="2138"/>
      <c r="R123" s="2125"/>
      <c r="S123" s="2125"/>
      <c r="T123" s="2125"/>
      <c r="U123" s="2125"/>
      <c r="V123" s="2125"/>
      <c r="W123" s="2125"/>
      <c r="X123" s="2125"/>
      <c r="Y123" s="2125"/>
      <c r="Z123" s="2125"/>
      <c r="AA123" s="2125"/>
      <c r="AB123" s="2125"/>
      <c r="AC123" s="2125"/>
    </row>
    <row r="124" spans="1:29" ht="15.75" thickBot="1">
      <c r="A124" s="649"/>
      <c r="B124" s="658"/>
      <c r="C124" s="659">
        <v>100</v>
      </c>
      <c r="D124" s="659">
        <f t="shared" ref="D124:M124" si="27">C124-$K42</f>
        <v>98.5</v>
      </c>
      <c r="E124" s="659">
        <f t="shared" si="27"/>
        <v>97</v>
      </c>
      <c r="F124" s="659">
        <f t="shared" si="27"/>
        <v>95.5</v>
      </c>
      <c r="G124" s="659">
        <f t="shared" si="27"/>
        <v>94</v>
      </c>
      <c r="H124" s="659">
        <f t="shared" si="27"/>
        <v>92.5</v>
      </c>
      <c r="I124" s="659">
        <f t="shared" si="27"/>
        <v>91</v>
      </c>
      <c r="J124" s="659">
        <f t="shared" si="27"/>
        <v>89.5</v>
      </c>
      <c r="K124" s="659">
        <f t="shared" si="27"/>
        <v>88</v>
      </c>
      <c r="L124" s="659">
        <f t="shared" si="27"/>
        <v>86.5</v>
      </c>
      <c r="M124" s="660">
        <f t="shared" si="27"/>
        <v>85</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08"/>
      <c r="B125" s="1871" t="s">
        <v>2680</v>
      </c>
      <c r="C125" s="1358" t="s">
        <v>2686</v>
      </c>
      <c r="D125" s="1358" t="s">
        <v>2682</v>
      </c>
      <c r="E125" s="1358" t="s">
        <v>2683</v>
      </c>
      <c r="F125" s="1358" t="s">
        <v>2684</v>
      </c>
      <c r="G125" s="1358" t="s">
        <v>2687</v>
      </c>
      <c r="H125" s="698"/>
      <c r="I125" s="698"/>
      <c r="J125" s="698"/>
      <c r="K125" s="699"/>
      <c r="L125" s="700"/>
      <c r="M125" s="70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67"/>
      <c r="B126" s="658"/>
      <c r="C126" s="659">
        <v>100</v>
      </c>
      <c r="D126" s="659">
        <f>C126-$K43</f>
        <v>99</v>
      </c>
      <c r="E126" s="659">
        <f t="shared" ref="E126:M126" si="28">D126-$K43</f>
        <v>98</v>
      </c>
      <c r="F126" s="659">
        <f t="shared" si="28"/>
        <v>97</v>
      </c>
      <c r="G126" s="659">
        <f t="shared" si="28"/>
        <v>96</v>
      </c>
      <c r="H126" s="659">
        <f t="shared" si="28"/>
        <v>95</v>
      </c>
      <c r="I126" s="659">
        <f t="shared" si="28"/>
        <v>94</v>
      </c>
      <c r="J126" s="659">
        <f t="shared" si="28"/>
        <v>93</v>
      </c>
      <c r="K126" s="659">
        <f t="shared" si="28"/>
        <v>92</v>
      </c>
      <c r="L126" s="659">
        <f t="shared" si="28"/>
        <v>91</v>
      </c>
      <c r="M126" s="660">
        <f t="shared" si="28"/>
        <v>90</v>
      </c>
      <c r="N126" s="2147"/>
      <c r="O126" s="2147"/>
      <c r="P126" s="2148"/>
      <c r="Q126" s="2149"/>
      <c r="R126" s="2150"/>
      <c r="S126" s="2150"/>
      <c r="T126" s="2150"/>
      <c r="U126" s="2150"/>
      <c r="V126" s="2150"/>
      <c r="W126" s="2150"/>
      <c r="X126" s="2150"/>
      <c r="Y126" s="2150"/>
      <c r="Z126" s="2150"/>
      <c r="AA126" s="2150"/>
      <c r="AB126" s="2150"/>
      <c r="AC126" s="2150"/>
    </row>
    <row r="127" spans="1:29" ht="15" thickTop="1">
      <c r="A127" s="715"/>
      <c r="B127" s="653" t="s">
        <v>613</v>
      </c>
      <c r="C127" s="668" t="s">
        <v>576</v>
      </c>
      <c r="D127" s="668" t="s">
        <v>577</v>
      </c>
      <c r="E127" s="698" t="s">
        <v>614</v>
      </c>
      <c r="F127" s="698" t="s">
        <v>615</v>
      </c>
      <c r="G127" s="698" t="s">
        <v>616</v>
      </c>
      <c r="H127" s="698"/>
      <c r="I127" s="698"/>
      <c r="J127" s="698"/>
      <c r="K127" s="699"/>
      <c r="L127" s="700"/>
      <c r="M127" s="701"/>
      <c r="N127" s="2144"/>
      <c r="O127" s="2144"/>
      <c r="P127" s="2145"/>
      <c r="Q127" s="2138"/>
      <c r="R127" s="2125"/>
      <c r="S127" s="2125"/>
      <c r="T127" s="2125"/>
      <c r="U127" s="2125"/>
      <c r="V127" s="2125"/>
      <c r="W127" s="2125"/>
      <c r="X127" s="2125"/>
      <c r="Y127" s="2125"/>
      <c r="Z127" s="2125"/>
      <c r="AA127" s="2125"/>
      <c r="AB127" s="2125"/>
      <c r="AC127" s="2125"/>
    </row>
    <row r="128" spans="1:29" ht="15.75" thickBot="1">
      <c r="A128" s="649"/>
      <c r="B128" s="658"/>
      <c r="C128" s="659">
        <v>100</v>
      </c>
      <c r="D128" s="659">
        <f t="shared" ref="D128:M128" si="29">C128-$K44</f>
        <v>99</v>
      </c>
      <c r="E128" s="659">
        <f t="shared" si="29"/>
        <v>98</v>
      </c>
      <c r="F128" s="659">
        <f t="shared" si="29"/>
        <v>97</v>
      </c>
      <c r="G128" s="659">
        <f t="shared" si="29"/>
        <v>96</v>
      </c>
      <c r="H128" s="659">
        <f t="shared" si="29"/>
        <v>95</v>
      </c>
      <c r="I128" s="659">
        <f t="shared" si="29"/>
        <v>94</v>
      </c>
      <c r="J128" s="659">
        <f t="shared" si="29"/>
        <v>93</v>
      </c>
      <c r="K128" s="659">
        <f t="shared" si="29"/>
        <v>92</v>
      </c>
      <c r="L128" s="659">
        <f t="shared" si="29"/>
        <v>91</v>
      </c>
      <c r="M128" s="660">
        <f t="shared" si="29"/>
        <v>90</v>
      </c>
      <c r="N128" s="2146"/>
      <c r="O128" s="2146"/>
      <c r="P128" s="2145"/>
      <c r="Q128" s="2138"/>
      <c r="R128" s="2125"/>
      <c r="S128" s="2125"/>
      <c r="T128" s="2125"/>
      <c r="U128" s="2125"/>
      <c r="V128" s="2125"/>
      <c r="W128" s="2125"/>
      <c r="X128" s="2125"/>
      <c r="Y128" s="2125"/>
      <c r="Z128" s="2125"/>
      <c r="AA128" s="2125"/>
      <c r="AB128" s="2125"/>
      <c r="AC128" s="2125"/>
    </row>
    <row r="129" spans="1:29" ht="15" thickTop="1">
      <c r="A129" s="715"/>
      <c r="B129" s="653">
        <f>B45</f>
        <v>0</v>
      </c>
      <c r="C129" s="668">
        <v>111</v>
      </c>
      <c r="D129" s="668">
        <v>222</v>
      </c>
      <c r="E129" s="668">
        <v>333</v>
      </c>
      <c r="F129" s="668">
        <v>444</v>
      </c>
      <c r="G129" s="668"/>
      <c r="H129" s="698"/>
      <c r="I129" s="698"/>
      <c r="J129" s="698"/>
      <c r="K129" s="699"/>
      <c r="L129" s="700"/>
      <c r="M129" s="701"/>
      <c r="N129" s="2144"/>
      <c r="O129" s="2144"/>
      <c r="P129" s="2145"/>
      <c r="Q129" s="2138"/>
      <c r="R129" s="2125"/>
      <c r="S129" s="2125"/>
      <c r="T129" s="2125"/>
      <c r="U129" s="2125"/>
      <c r="V129" s="2125"/>
      <c r="W129" s="2125"/>
      <c r="X129" s="2125"/>
      <c r="Y129" s="2125"/>
      <c r="Z129" s="2125"/>
      <c r="AA129" s="2125"/>
      <c r="AB129" s="2125"/>
      <c r="AC129" s="2125"/>
    </row>
    <row r="130" spans="1:29" ht="15.75" thickBot="1">
      <c r="A130" s="649"/>
      <c r="B130" s="658"/>
      <c r="C130" s="672">
        <v>100</v>
      </c>
      <c r="D130" s="672">
        <v>99</v>
      </c>
      <c r="E130" s="672">
        <v>98</v>
      </c>
      <c r="F130" s="672">
        <v>97</v>
      </c>
      <c r="G130" s="651"/>
      <c r="H130" s="651"/>
      <c r="I130" s="651"/>
      <c r="J130" s="651"/>
      <c r="K130" s="651"/>
      <c r="L130" s="651"/>
      <c r="M130" s="652"/>
      <c r="N130" s="2146"/>
      <c r="O130" s="2146"/>
      <c r="P130" s="2145"/>
      <c r="Q130" s="2138"/>
      <c r="R130" s="2125"/>
      <c r="S130" s="2125"/>
      <c r="T130" s="2125"/>
      <c r="U130" s="2125"/>
      <c r="V130" s="2125"/>
      <c r="W130" s="2125"/>
      <c r="X130" s="2125"/>
      <c r="Y130" s="2125"/>
      <c r="Z130" s="2125"/>
      <c r="AA130" s="2125"/>
      <c r="AB130" s="2125"/>
      <c r="AC130" s="2125"/>
    </row>
    <row r="131" spans="1:29" ht="15" thickTop="1">
      <c r="A131" s="715"/>
      <c r="B131" s="653">
        <f>B46</f>
        <v>0</v>
      </c>
      <c r="C131" s="641">
        <v>111</v>
      </c>
      <c r="D131" s="641">
        <v>222</v>
      </c>
      <c r="E131" s="641">
        <v>333</v>
      </c>
      <c r="F131" s="641">
        <v>444</v>
      </c>
      <c r="G131" s="698"/>
      <c r="H131" s="698"/>
      <c r="I131" s="698"/>
      <c r="J131" s="698"/>
      <c r="K131" s="699"/>
      <c r="L131" s="700"/>
      <c r="M131" s="701"/>
      <c r="N131" s="2144"/>
      <c r="O131" s="2144"/>
      <c r="P131" s="2145"/>
      <c r="Q131" s="2138"/>
      <c r="R131" s="2125"/>
      <c r="S131" s="2125"/>
      <c r="T131" s="2125"/>
      <c r="U131" s="2125"/>
      <c r="V131" s="2125"/>
      <c r="W131" s="2125"/>
      <c r="X131" s="2125"/>
      <c r="Y131" s="2125"/>
      <c r="Z131" s="2125"/>
      <c r="AA131" s="2125"/>
      <c r="AB131" s="2125"/>
      <c r="AC131" s="2125"/>
    </row>
    <row r="132" spans="1:29" ht="15.75" thickBot="1">
      <c r="A132" s="649"/>
      <c r="B132" s="658"/>
      <c r="C132" s="680">
        <v>100</v>
      </c>
      <c r="D132" s="680">
        <v>98</v>
      </c>
      <c r="E132" s="680">
        <v>96</v>
      </c>
      <c r="F132" s="680">
        <v>94</v>
      </c>
      <c r="G132" s="651"/>
      <c r="H132" s="651"/>
      <c r="I132" s="651"/>
      <c r="J132" s="651"/>
      <c r="K132" s="651"/>
      <c r="L132" s="651"/>
      <c r="M132" s="65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08"/>
      <c r="B133" s="653">
        <f>B47</f>
        <v>0</v>
      </c>
      <c r="C133" s="641">
        <v>111</v>
      </c>
      <c r="D133" s="641">
        <v>222</v>
      </c>
      <c r="E133" s="641">
        <v>333</v>
      </c>
      <c r="F133" s="641">
        <v>444</v>
      </c>
      <c r="G133" s="669"/>
      <c r="H133" s="669"/>
      <c r="I133" s="669"/>
      <c r="J133" s="669"/>
      <c r="K133" s="669"/>
      <c r="L133" s="670"/>
      <c r="M133" s="67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78"/>
      <c r="B134" s="716"/>
      <c r="C134" s="680">
        <v>100</v>
      </c>
      <c r="D134" s="680">
        <v>98</v>
      </c>
      <c r="E134" s="680">
        <v>96</v>
      </c>
      <c r="F134" s="680">
        <v>94</v>
      </c>
      <c r="G134" s="706"/>
      <c r="H134" s="706"/>
      <c r="I134" s="706"/>
      <c r="J134" s="706"/>
      <c r="K134" s="706"/>
      <c r="L134" s="706"/>
      <c r="M134" s="707"/>
      <c r="N134" s="2147"/>
      <c r="O134" s="2147"/>
      <c r="P134" s="2148"/>
      <c r="Q134" s="2149"/>
      <c r="R134" s="2150"/>
      <c r="S134" s="2150"/>
      <c r="T134" s="2150"/>
      <c r="U134" s="2150"/>
      <c r="V134" s="2150"/>
      <c r="W134" s="2150"/>
      <c r="X134" s="2150"/>
      <c r="Y134" s="2150"/>
      <c r="Z134" s="2150"/>
      <c r="AA134" s="2150"/>
      <c r="AB134" s="2150"/>
      <c r="AC134" s="2150"/>
    </row>
    <row r="135" spans="1:29" s="1568"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68"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68"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68"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68"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68"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68"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68"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68"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68"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68"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68"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68"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68"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68"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68"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68"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68"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68"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68"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68"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68"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68"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68"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68"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68"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68"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68"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68"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68"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68"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68"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68"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68"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68"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68"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68"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68"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68"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68"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68"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68"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68"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68"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68"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68"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68"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68"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68"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68"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68"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68"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68"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68"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68"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68"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68"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68"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68"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68"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68"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68"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68"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68"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68"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68"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68"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68"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68"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68"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68"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68"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68"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68"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68"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68"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68"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68"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68"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68"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68"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68"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68"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68"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68"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68"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68"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68"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68"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68"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68"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68"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68"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68"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68"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68"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68"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68"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68"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68"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68"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68"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68"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68"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68"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68"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68"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68"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68"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68"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68"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68"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68"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68"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68"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68"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68"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68"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68"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68"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68"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82" t="s">
        <v>500</v>
      </c>
      <c r="B1" s="483"/>
      <c r="C1" s="484" t="s">
        <v>617</v>
      </c>
      <c r="D1" s="485" t="s">
        <v>502</v>
      </c>
      <c r="E1" s="717"/>
      <c r="F1" s="718"/>
      <c r="G1" s="717"/>
      <c r="H1" s="717"/>
      <c r="I1" s="717"/>
      <c r="J1" s="717"/>
      <c r="K1" s="719"/>
      <c r="L1" s="1543"/>
      <c r="M1" s="1544"/>
      <c r="N1" s="1544"/>
      <c r="O1" s="1544"/>
      <c r="P1" s="1545"/>
      <c r="Q1" s="1545"/>
      <c r="R1" s="1545"/>
      <c r="S1" s="1545"/>
      <c r="T1" s="1545"/>
      <c r="U1" s="1545"/>
      <c r="V1" s="1545"/>
      <c r="W1" s="1545"/>
      <c r="X1" s="1545"/>
      <c r="Y1" s="1545"/>
      <c r="Z1" s="1545"/>
      <c r="AA1" s="1545"/>
      <c r="AB1" s="1545"/>
      <c r="AC1" s="1546"/>
    </row>
    <row r="2" spans="1:29" s="1321" customFormat="1" ht="28.5" customHeight="1">
      <c r="A2" s="403" t="s">
        <v>450</v>
      </c>
      <c r="B2" s="488" t="e">
        <f>F63</f>
        <v>#DIV/0!</v>
      </c>
      <c r="C2" s="2108"/>
      <c r="D2" s="2108"/>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1" customFormat="1" ht="28.5" customHeight="1">
      <c r="A3" s="1361" t="s">
        <v>1894</v>
      </c>
      <c r="B3" s="490" t="e">
        <f>ROUND(B2*10000/'数据-汇总表'!E3,0)</f>
        <v>#DIV/0!</v>
      </c>
      <c r="C3" s="2038"/>
      <c r="D3" s="2038"/>
      <c r="E3" s="2038"/>
      <c r="F3" s="2038"/>
      <c r="G3" s="2108"/>
      <c r="H3" s="2108"/>
      <c r="I3" s="2108"/>
      <c r="J3" s="2108"/>
      <c r="K3" s="2110"/>
      <c r="L3" s="2111"/>
      <c r="M3" s="2112"/>
      <c r="N3" s="2112"/>
      <c r="O3" s="2112"/>
      <c r="P3" s="1545"/>
      <c r="Q3" s="1545"/>
      <c r="R3" s="1545"/>
      <c r="S3" s="1545"/>
      <c r="T3" s="1545"/>
      <c r="U3" s="1545"/>
      <c r="V3" s="1545"/>
      <c r="W3" s="1545"/>
      <c r="X3" s="1545"/>
      <c r="Y3" s="1545"/>
      <c r="Z3" s="1545"/>
      <c r="AA3" s="1545"/>
      <c r="AB3" s="408"/>
      <c r="AC3" s="408"/>
    </row>
    <row r="4" spans="1:29" s="1321" customFormat="1" ht="28.5" customHeight="1">
      <c r="A4" s="491" t="s">
        <v>504</v>
      </c>
      <c r="B4" s="407" t="e">
        <f>IF(B43="单位面积地价",C45,ROUND(B2*10000/'数据-汇总表'!D3,0))</f>
        <v>#DIV/0!</v>
      </c>
      <c r="C4" s="2038"/>
      <c r="D4" s="2038"/>
      <c r="E4" s="2038"/>
      <c r="F4" s="2038"/>
      <c r="G4" s="2108"/>
      <c r="H4" s="2108"/>
      <c r="I4" s="2108"/>
      <c r="J4" s="2108"/>
      <c r="K4" s="2110"/>
      <c r="L4" s="2111"/>
      <c r="M4" s="2112"/>
      <c r="N4" s="2112"/>
      <c r="O4" s="2112"/>
      <c r="P4" s="1545"/>
      <c r="Q4" s="1545"/>
      <c r="R4" s="1545"/>
      <c r="S4" s="1545"/>
      <c r="T4" s="1545"/>
      <c r="U4" s="1545"/>
      <c r="V4" s="1545"/>
      <c r="W4" s="1545"/>
      <c r="X4" s="1545"/>
      <c r="Y4" s="1545"/>
      <c r="Z4" s="1545"/>
      <c r="AA4" s="1545"/>
      <c r="AB4" s="1545"/>
      <c r="AC4" s="408"/>
    </row>
    <row r="5" spans="1:29" s="1321" customFormat="1" ht="28.5" customHeight="1" thickBot="1">
      <c r="A5" s="409"/>
      <c r="B5" s="410" t="e">
        <f>ROUND(B2/('数据-汇总表'!D3/666.67),0)</f>
        <v>#DIV/0!</v>
      </c>
      <c r="C5" s="411" t="s">
        <v>452</v>
      </c>
      <c r="D5" s="2038"/>
      <c r="E5" s="2038"/>
      <c r="F5" s="2038"/>
      <c r="G5" s="2108"/>
      <c r="H5" s="2108"/>
      <c r="I5" s="2108"/>
      <c r="J5" s="2108"/>
      <c r="K5" s="2110"/>
      <c r="L5" s="2111"/>
      <c r="M5" s="2112"/>
      <c r="N5" s="2112"/>
      <c r="O5" s="2112"/>
      <c r="P5" s="1545"/>
      <c r="Q5" s="1545"/>
      <c r="R5" s="1545"/>
      <c r="S5" s="1545"/>
      <c r="T5" s="1545"/>
      <c r="U5" s="1545"/>
      <c r="V5" s="1545"/>
      <c r="W5" s="1545"/>
      <c r="X5" s="1545"/>
      <c r="Y5" s="1545"/>
      <c r="Z5" s="1545"/>
      <c r="AA5" s="1545"/>
      <c r="AB5" s="1547"/>
      <c r="AC5" s="408"/>
    </row>
    <row r="6" spans="1:29" ht="15">
      <c r="A6" s="492" t="s">
        <v>505</v>
      </c>
      <c r="B6" s="493"/>
      <c r="C6" s="3402" t="s">
        <v>506</v>
      </c>
      <c r="D6" s="3403"/>
      <c r="E6" s="3444" t="s">
        <v>507</v>
      </c>
      <c r="F6" s="3445"/>
      <c r="G6" s="3402" t="s">
        <v>508</v>
      </c>
      <c r="H6" s="3403"/>
      <c r="I6" s="3402" t="s">
        <v>509</v>
      </c>
      <c r="J6" s="3403"/>
      <c r="K6" s="494" t="s">
        <v>510</v>
      </c>
      <c r="L6" s="2113"/>
      <c r="M6" s="2114"/>
      <c r="N6" s="2114"/>
      <c r="O6" s="2114"/>
      <c r="P6" s="3404" t="s">
        <v>511</v>
      </c>
      <c r="Q6" s="3405"/>
      <c r="R6" s="3410" t="s">
        <v>507</v>
      </c>
      <c r="S6" s="3411"/>
      <c r="T6" s="3410" t="s">
        <v>508</v>
      </c>
      <c r="U6" s="3411"/>
      <c r="V6" s="3397" t="s">
        <v>509</v>
      </c>
      <c r="W6" s="3397"/>
      <c r="X6" s="1548"/>
      <c r="Y6" s="3410" t="s">
        <v>511</v>
      </c>
      <c r="Z6" s="3411"/>
      <c r="AA6" s="3399" t="s">
        <v>507</v>
      </c>
      <c r="AB6" s="3400" t="s">
        <v>508</v>
      </c>
      <c r="AC6" s="3399" t="s">
        <v>509</v>
      </c>
    </row>
    <row r="7" spans="1:29" ht="15">
      <c r="A7" s="495"/>
      <c r="B7" s="496"/>
      <c r="C7" s="3438" t="s">
        <v>512</v>
      </c>
      <c r="D7" s="3439"/>
      <c r="E7" s="3446" t="s">
        <v>513</v>
      </c>
      <c r="F7" s="3447"/>
      <c r="G7" s="3438" t="s">
        <v>514</v>
      </c>
      <c r="H7" s="3439"/>
      <c r="I7" s="3438" t="s">
        <v>515</v>
      </c>
      <c r="J7" s="3439"/>
      <c r="K7" s="494"/>
      <c r="L7" s="2113"/>
      <c r="M7" s="2114"/>
      <c r="N7" s="2114"/>
      <c r="O7" s="2114"/>
      <c r="P7" s="3406"/>
      <c r="Q7" s="3407"/>
      <c r="R7" s="3412"/>
      <c r="S7" s="3413"/>
      <c r="T7" s="3412"/>
      <c r="U7" s="3413"/>
      <c r="V7" s="3397"/>
      <c r="W7" s="3397"/>
      <c r="X7" s="1548"/>
      <c r="Y7" s="3412"/>
      <c r="Z7" s="3413"/>
      <c r="AA7" s="3400"/>
      <c r="AB7" s="3400"/>
      <c r="AC7" s="3400"/>
    </row>
    <row r="8" spans="1:29" ht="15.75" thickBot="1">
      <c r="A8" s="497"/>
      <c r="B8" s="498"/>
      <c r="C8" s="3440" t="s">
        <v>516</v>
      </c>
      <c r="D8" s="3441"/>
      <c r="E8" s="3442" t="s">
        <v>516</v>
      </c>
      <c r="F8" s="3443"/>
      <c r="G8" s="3440" t="s">
        <v>516</v>
      </c>
      <c r="H8" s="3441"/>
      <c r="I8" s="3440" t="s">
        <v>516</v>
      </c>
      <c r="J8" s="3441"/>
      <c r="K8" s="494" t="s">
        <v>517</v>
      </c>
      <c r="L8" s="2113"/>
      <c r="M8" s="2114"/>
      <c r="N8" s="2114"/>
      <c r="O8" s="2114"/>
      <c r="P8" s="3408"/>
      <c r="Q8" s="3409"/>
      <c r="R8" s="3412"/>
      <c r="S8" s="3413"/>
      <c r="T8" s="3414"/>
      <c r="U8" s="3415"/>
      <c r="V8" s="3397"/>
      <c r="W8" s="3397"/>
      <c r="X8" s="1548"/>
      <c r="Y8" s="3414"/>
      <c r="Z8" s="3415"/>
      <c r="AA8" s="3401"/>
      <c r="AB8" s="3401"/>
      <c r="AC8" s="3401"/>
    </row>
    <row r="9" spans="1:29" s="1199" customFormat="1" ht="15.75" thickBot="1">
      <c r="A9" s="2929"/>
      <c r="B9" s="2936" t="s">
        <v>518</v>
      </c>
      <c r="C9" s="499">
        <f>'数据-取费表'!B2</f>
        <v>42898</v>
      </c>
      <c r="D9" s="500">
        <v>100</v>
      </c>
      <c r="E9" s="501">
        <v>42007</v>
      </c>
      <c r="F9" s="502">
        <f>SUMIF(67:67,YEAR(E9)&amp;"-"&amp;INT((MONTH(E9)+2)/3),68:68)</f>
        <v>95.5</v>
      </c>
      <c r="G9" s="503">
        <v>41579</v>
      </c>
      <c r="H9" s="500">
        <f>SUMIF(67:67,YEAR(G9)&amp;"-"&amp;INT((MONTH(G9)+2)/3),68:68)</f>
        <v>0</v>
      </c>
      <c r="I9" s="503">
        <v>42003</v>
      </c>
      <c r="J9" s="500">
        <f>SUMIF(67:67,YEAR(I9)&amp;"-"&amp;INT((MONTH(I9)+2)/3),68:68)</f>
        <v>95</v>
      </c>
      <c r="K9" s="504"/>
      <c r="L9" s="2115"/>
      <c r="M9" s="2116"/>
      <c r="N9" s="2116"/>
      <c r="O9" s="2116"/>
      <c r="P9" s="3431" t="s">
        <v>519</v>
      </c>
      <c r="Q9" s="3433"/>
      <c r="R9" s="1549" t="s">
        <v>8</v>
      </c>
      <c r="S9" s="1550">
        <f t="shared" ref="S9:S17" si="0">F9</f>
        <v>95.5</v>
      </c>
      <c r="T9" s="1549" t="s">
        <v>8</v>
      </c>
      <c r="U9" s="1550">
        <f t="shared" ref="U9:U17" si="1">H9</f>
        <v>0</v>
      </c>
      <c r="V9" s="1549" t="s">
        <v>8</v>
      </c>
      <c r="W9" s="1550">
        <f t="shared" ref="W9:W17" si="2">J9</f>
        <v>95</v>
      </c>
      <c r="X9" s="1551"/>
      <c r="Y9" s="3431" t="s">
        <v>519</v>
      </c>
      <c r="Z9" s="3432"/>
      <c r="AA9" s="1552">
        <f>D9/F9</f>
        <v>1.0471204188481675</v>
      </c>
      <c r="AB9" s="1552" t="e">
        <f>D9/H9</f>
        <v>#DIV/0!</v>
      </c>
      <c r="AC9" s="1552">
        <f>D9/J9</f>
        <v>1.0526315789473684</v>
      </c>
    </row>
    <row r="10" spans="1:29" s="1199" customFormat="1" ht="15.75" thickBot="1">
      <c r="A10" s="2930"/>
      <c r="B10" s="2937" t="s">
        <v>520</v>
      </c>
      <c r="C10" s="505" t="s">
        <v>521</v>
      </c>
      <c r="D10" s="500">
        <v>100</v>
      </c>
      <c r="E10" s="505" t="s">
        <v>521</v>
      </c>
      <c r="F10" s="502">
        <f>SUMIF(70:70,E10,71:71)-SUMIF(70:70,C10,71:71)+100</f>
        <v>100</v>
      </c>
      <c r="G10" s="505" t="s">
        <v>618</v>
      </c>
      <c r="H10" s="500">
        <f>SUMIF(70:70,G10,71:71)-SUMIF(70:70,C10,71:71)+100</f>
        <v>96</v>
      </c>
      <c r="I10" s="505" t="s">
        <v>521</v>
      </c>
      <c r="J10" s="500">
        <f>SUMIF(70:70,I10,71:71)-SUMIF(70:70,C10,71:71)+100</f>
        <v>100</v>
      </c>
      <c r="K10" s="504"/>
      <c r="L10" s="2115"/>
      <c r="M10" s="2116"/>
      <c r="N10" s="2116"/>
      <c r="O10" s="2116"/>
      <c r="P10" s="3431" t="s">
        <v>522</v>
      </c>
      <c r="Q10" s="3432"/>
      <c r="R10" s="1549" t="s">
        <v>8</v>
      </c>
      <c r="S10" s="1550">
        <f t="shared" si="0"/>
        <v>100</v>
      </c>
      <c r="T10" s="1549" t="s">
        <v>8</v>
      </c>
      <c r="U10" s="1550">
        <f t="shared" si="1"/>
        <v>96</v>
      </c>
      <c r="V10" s="1549" t="s">
        <v>8</v>
      </c>
      <c r="W10" s="1550">
        <f t="shared" si="2"/>
        <v>100</v>
      </c>
      <c r="X10" s="1551"/>
      <c r="Y10" s="3431" t="s">
        <v>522</v>
      </c>
      <c r="Z10" s="3432"/>
      <c r="AA10" s="1552">
        <f t="shared" ref="AA10:AA42" si="3">D10/F10</f>
        <v>1</v>
      </c>
      <c r="AB10" s="1552">
        <f t="shared" ref="AB10:AB42" si="4">D10/H10</f>
        <v>1.0416666666666667</v>
      </c>
      <c r="AC10" s="1552">
        <f t="shared" ref="AC10:AC42" si="5">D10/J10</f>
        <v>1</v>
      </c>
    </row>
    <row r="11" spans="1:29" s="1199" customFormat="1" ht="15">
      <c r="A11" s="2931"/>
      <c r="B11" s="2938" t="s">
        <v>3039</v>
      </c>
      <c r="C11" s="506" t="s">
        <v>619</v>
      </c>
      <c r="D11" s="231">
        <v>100</v>
      </c>
      <c r="E11" s="506" t="s">
        <v>620</v>
      </c>
      <c r="F11" s="231">
        <f>SUMIF(72:72,E11,73:73)-SUMIF(72:72,C11,73:73)+100</f>
        <v>105</v>
      </c>
      <c r="G11" s="506" t="s">
        <v>619</v>
      </c>
      <c r="H11" s="231">
        <f>SUMIF(72:72,G11,73:73)-SUMIF(72:72,C11,73:73)+100</f>
        <v>100</v>
      </c>
      <c r="I11" s="506" t="s">
        <v>619</v>
      </c>
      <c r="J11" s="231">
        <f>SUMIF(72:72,I11,73:73)-SUMIF(72:72,C11,73:73)+100</f>
        <v>100</v>
      </c>
      <c r="K11" s="504"/>
      <c r="L11" s="2115"/>
      <c r="M11" s="2116"/>
      <c r="N11" s="2116"/>
      <c r="O11" s="2117"/>
      <c r="P11" s="3396" t="s">
        <v>524</v>
      </c>
      <c r="Q11" s="1130" t="str">
        <f t="shared" ref="Q11:Q17" si="6">B11</f>
        <v>用途</v>
      </c>
      <c r="R11" s="1549" t="s">
        <v>8</v>
      </c>
      <c r="S11" s="1550">
        <f t="shared" si="0"/>
        <v>105</v>
      </c>
      <c r="T11" s="1549" t="s">
        <v>8</v>
      </c>
      <c r="U11" s="1550">
        <f t="shared" si="1"/>
        <v>100</v>
      </c>
      <c r="V11" s="1549" t="s">
        <v>8</v>
      </c>
      <c r="W11" s="1550">
        <f t="shared" si="2"/>
        <v>100</v>
      </c>
      <c r="X11" s="1551"/>
      <c r="Y11" s="3343" t="s">
        <v>525</v>
      </c>
      <c r="Z11" s="1129" t="str">
        <f t="shared" ref="Z11:Z17" si="7">Q11</f>
        <v>用途</v>
      </c>
      <c r="AA11" s="1552">
        <f t="shared" si="3"/>
        <v>0.95238095238095233</v>
      </c>
      <c r="AB11" s="1552">
        <f t="shared" si="4"/>
        <v>1</v>
      </c>
      <c r="AC11" s="1552">
        <f t="shared" si="5"/>
        <v>1</v>
      </c>
    </row>
    <row r="12" spans="1:29" s="1323" customFormat="1" ht="27">
      <c r="A12" s="2932"/>
      <c r="B12" s="2937" t="s">
        <v>3040</v>
      </c>
      <c r="C12" s="508"/>
      <c r="D12" s="232">
        <v>100</v>
      </c>
      <c r="E12" s="508"/>
      <c r="F12" s="232">
        <f>ROUND(100/'数据-取费表'!G19,0)</f>
        <v>101</v>
      </c>
      <c r="G12" s="508"/>
      <c r="H12" s="232">
        <f>ROUND(100/'数据-取费表'!G19,0)</f>
        <v>101</v>
      </c>
      <c r="I12" s="508"/>
      <c r="J12" s="232">
        <f>ROUND(100/'数据-取费表'!G19,0)</f>
        <v>101</v>
      </c>
      <c r="K12" s="511"/>
      <c r="L12" s="2118"/>
      <c r="M12" s="2158"/>
      <c r="N12" s="2158"/>
      <c r="O12" s="2119"/>
      <c r="P12" s="3396"/>
      <c r="Q12" s="1130" t="str">
        <f t="shared" si="6"/>
        <v>土地使用年限（年）</v>
      </c>
      <c r="R12" s="1549" t="s">
        <v>8</v>
      </c>
      <c r="S12" s="1550">
        <f t="shared" si="0"/>
        <v>101</v>
      </c>
      <c r="T12" s="1549" t="s">
        <v>8</v>
      </c>
      <c r="U12" s="1550">
        <f t="shared" si="1"/>
        <v>101</v>
      </c>
      <c r="V12" s="1549" t="s">
        <v>8</v>
      </c>
      <c r="W12" s="1550">
        <f t="shared" si="2"/>
        <v>101</v>
      </c>
      <c r="X12" s="1551"/>
      <c r="Y12" s="3343"/>
      <c r="Z12" s="1129" t="str">
        <f t="shared" si="7"/>
        <v>土地使用年限（年）</v>
      </c>
      <c r="AA12" s="1552">
        <f t="shared" si="3"/>
        <v>0.99009900990099009</v>
      </c>
      <c r="AB12" s="1552">
        <f t="shared" si="4"/>
        <v>0.99009900990099009</v>
      </c>
      <c r="AC12" s="1552">
        <f t="shared" si="5"/>
        <v>0.99009900990099009</v>
      </c>
    </row>
    <row r="13" spans="1:29" ht="15">
      <c r="A13" s="2933"/>
      <c r="B13" s="2937" t="s">
        <v>3041</v>
      </c>
      <c r="C13" s="513">
        <v>0.5</v>
      </c>
      <c r="D13" s="232">
        <v>100</v>
      </c>
      <c r="E13" s="513">
        <v>1</v>
      </c>
      <c r="F13" s="232">
        <f>LOOKUP(E13,77:77,78:78)-LOOKUP(C13,77:77,78:78)+100</f>
        <v>97</v>
      </c>
      <c r="G13" s="514">
        <v>1.5</v>
      </c>
      <c r="H13" s="232">
        <f>LOOKUP(G13,77:77,78:78)-LOOKUP(C13,77:77,78:78)+100</f>
        <v>97</v>
      </c>
      <c r="I13" s="513">
        <v>3</v>
      </c>
      <c r="J13" s="232">
        <f>LOOKUP(I13,77:77,78:78)-LOOKUP(C13,77:77,78:78)+100</f>
        <v>91</v>
      </c>
      <c r="K13" s="515">
        <v>3</v>
      </c>
      <c r="L13" s="2120"/>
      <c r="M13" s="2114"/>
      <c r="N13" s="2114"/>
      <c r="O13" s="2121"/>
      <c r="P13" s="3396"/>
      <c r="Q13" s="1130" t="str">
        <f t="shared" si="6"/>
        <v>容积率</v>
      </c>
      <c r="R13" s="1549" t="s">
        <v>8</v>
      </c>
      <c r="S13" s="1550">
        <f t="shared" si="0"/>
        <v>97</v>
      </c>
      <c r="T13" s="1549" t="s">
        <v>8</v>
      </c>
      <c r="U13" s="1550">
        <f t="shared" si="1"/>
        <v>97</v>
      </c>
      <c r="V13" s="1549" t="s">
        <v>8</v>
      </c>
      <c r="W13" s="1550">
        <f t="shared" si="2"/>
        <v>91</v>
      </c>
      <c r="X13" s="1551"/>
      <c r="Y13" s="3343"/>
      <c r="Z13" s="1129" t="str">
        <f t="shared" si="7"/>
        <v>容积率</v>
      </c>
      <c r="AA13" s="1552">
        <f t="shared" si="3"/>
        <v>1.0309278350515463</v>
      </c>
      <c r="AB13" s="1552">
        <f t="shared" si="4"/>
        <v>1.0309278350515463</v>
      </c>
      <c r="AC13" s="1552">
        <f t="shared" si="5"/>
        <v>1.098901098901099</v>
      </c>
    </row>
    <row r="14" spans="1:29" s="1199" customFormat="1" ht="15">
      <c r="A14" s="2934"/>
      <c r="B14" s="2940">
        <v>111</v>
      </c>
      <c r="C14" s="508">
        <v>111</v>
      </c>
      <c r="D14" s="518">
        <v>100</v>
      </c>
      <c r="E14" s="521">
        <v>222</v>
      </c>
      <c r="F14" s="232">
        <f>SUMIF(79:79,E14,80:80)-SUMIF(79:79,C14,80:80)+100</f>
        <v>99</v>
      </c>
      <c r="G14" s="522">
        <v>333</v>
      </c>
      <c r="H14" s="232">
        <f>SUMIF(79:79,G14,80:80)-SUMIF(79:79,C14,80:80)+100</f>
        <v>98</v>
      </c>
      <c r="I14" s="521">
        <v>444</v>
      </c>
      <c r="J14" s="232">
        <f>SUMIF(79:79,I14,80:80)-SUMIF(79:79,C14,80:80)+100</f>
        <v>97</v>
      </c>
      <c r="K14" s="511"/>
      <c r="L14" s="2115"/>
      <c r="M14" s="2116"/>
      <c r="N14" s="2116"/>
      <c r="O14" s="2117"/>
      <c r="P14" s="3396"/>
      <c r="Q14" s="1130">
        <f t="shared" si="6"/>
        <v>111</v>
      </c>
      <c r="R14" s="1549" t="s">
        <v>8</v>
      </c>
      <c r="S14" s="1550">
        <f t="shared" si="0"/>
        <v>99</v>
      </c>
      <c r="T14" s="1549" t="s">
        <v>8</v>
      </c>
      <c r="U14" s="1550">
        <f t="shared" si="1"/>
        <v>98</v>
      </c>
      <c r="V14" s="1549" t="s">
        <v>8</v>
      </c>
      <c r="W14" s="1550">
        <f t="shared" si="2"/>
        <v>97</v>
      </c>
      <c r="X14" s="1551"/>
      <c r="Y14" s="3343"/>
      <c r="Z14" s="1129">
        <f t="shared" si="7"/>
        <v>111</v>
      </c>
      <c r="AA14" s="1552">
        <f>D14/F14</f>
        <v>1.0101010101010102</v>
      </c>
      <c r="AB14" s="1552">
        <f>D14/H14</f>
        <v>1.0204081632653061</v>
      </c>
      <c r="AC14" s="1552">
        <f>D14/J14</f>
        <v>1.0309278350515463</v>
      </c>
    </row>
    <row r="15" spans="1:29" ht="15">
      <c r="A15" s="2934"/>
      <c r="B15" s="2940">
        <v>111</v>
      </c>
      <c r="C15" s="519">
        <v>111</v>
      </c>
      <c r="D15" s="520">
        <v>100</v>
      </c>
      <c r="E15" s="521">
        <v>222</v>
      </c>
      <c r="F15" s="232">
        <f>SUMIF(81:81,E15,82:82)-SUMIF(81:81,C15,82:82)+100</f>
        <v>98</v>
      </c>
      <c r="G15" s="522">
        <v>333</v>
      </c>
      <c r="H15" s="520">
        <f>SUMIF(81:81,G15,82:82)-SUMIF(81:81,C15,82:82)+100</f>
        <v>96</v>
      </c>
      <c r="I15" s="521">
        <v>444</v>
      </c>
      <c r="J15" s="520">
        <f>SUMIF(81:81,I15,82:82)-SUMIF(81:81,C15,82:82)+100</f>
        <v>94</v>
      </c>
      <c r="K15" s="511"/>
      <c r="L15" s="2122"/>
      <c r="M15" s="2114"/>
      <c r="N15" s="2114"/>
      <c r="O15" s="2121"/>
      <c r="P15" s="3396"/>
      <c r="Q15" s="1130">
        <f t="shared" si="6"/>
        <v>111</v>
      </c>
      <c r="R15" s="1549" t="s">
        <v>8</v>
      </c>
      <c r="S15" s="1550">
        <f t="shared" si="0"/>
        <v>98</v>
      </c>
      <c r="T15" s="1549" t="s">
        <v>8</v>
      </c>
      <c r="U15" s="1550">
        <f t="shared" si="1"/>
        <v>96</v>
      </c>
      <c r="V15" s="1549" t="s">
        <v>8</v>
      </c>
      <c r="W15" s="1550">
        <f t="shared" si="2"/>
        <v>94</v>
      </c>
      <c r="X15" s="1551"/>
      <c r="Y15" s="3343"/>
      <c r="Z15" s="1129">
        <f t="shared" si="7"/>
        <v>111</v>
      </c>
      <c r="AA15" s="1552">
        <f t="shared" si="3"/>
        <v>1.0204081632653061</v>
      </c>
      <c r="AB15" s="1552">
        <f t="shared" si="4"/>
        <v>1.0416666666666667</v>
      </c>
      <c r="AC15" s="1552">
        <f t="shared" si="5"/>
        <v>1.0638297872340425</v>
      </c>
    </row>
    <row r="16" spans="1:29" ht="15.75" thickBot="1">
      <c r="A16" s="2935"/>
      <c r="B16" s="2941">
        <v>111</v>
      </c>
      <c r="C16" s="525">
        <v>111</v>
      </c>
      <c r="D16" s="526">
        <v>100</v>
      </c>
      <c r="E16" s="521">
        <v>222</v>
      </c>
      <c r="F16" s="526">
        <f>SUMIF(83:83,E16,84:84)-SUMIF(83:83,C16,84:84)+100</f>
        <v>97</v>
      </c>
      <c r="G16" s="522">
        <v>333</v>
      </c>
      <c r="H16" s="526">
        <f>SUMIF(83:83,G16,84:84)-SUMIF(83:83,C16,84:84)+100</f>
        <v>94</v>
      </c>
      <c r="I16" s="521">
        <v>444</v>
      </c>
      <c r="J16" s="526">
        <f>SUMIF(83:83,I16,84:84)-SUMIF(83:83,C16,84:84)+100</f>
        <v>91</v>
      </c>
      <c r="K16" s="511"/>
      <c r="L16" s="2122"/>
      <c r="M16" s="2114"/>
      <c r="N16" s="2114"/>
      <c r="O16" s="2121"/>
      <c r="P16" s="3396"/>
      <c r="Q16" s="1130">
        <f t="shared" si="6"/>
        <v>111</v>
      </c>
      <c r="R16" s="1549" t="s">
        <v>8</v>
      </c>
      <c r="S16" s="1550">
        <f t="shared" si="0"/>
        <v>97</v>
      </c>
      <c r="T16" s="1549" t="s">
        <v>8</v>
      </c>
      <c r="U16" s="1550">
        <f t="shared" si="1"/>
        <v>94</v>
      </c>
      <c r="V16" s="1549" t="s">
        <v>8</v>
      </c>
      <c r="W16" s="1550">
        <f t="shared" si="2"/>
        <v>91</v>
      </c>
      <c r="X16" s="1551"/>
      <c r="Y16" s="3343"/>
      <c r="Z16" s="1129">
        <f t="shared" si="7"/>
        <v>111</v>
      </c>
      <c r="AA16" s="1552">
        <f t="shared" si="3"/>
        <v>1.0309278350515463</v>
      </c>
      <c r="AB16" s="1552">
        <f t="shared" si="4"/>
        <v>1.0638297872340425</v>
      </c>
      <c r="AC16" s="1552">
        <f t="shared" si="5"/>
        <v>1.098901098901099</v>
      </c>
    </row>
    <row r="17" spans="1:29" ht="71.25">
      <c r="A17" s="2927" t="s">
        <v>3037</v>
      </c>
      <c r="B17" s="157" t="s">
        <v>621</v>
      </c>
      <c r="C17" s="900" t="str">
        <f>估价对象房地状况!G15</f>
        <v>估价对象位于北京经济技术开发区，园区建设成熟，产业集聚程度较好</v>
      </c>
      <c r="D17" s="529">
        <v>100</v>
      </c>
      <c r="E17" s="530"/>
      <c r="F17" s="529">
        <f>SUMIF(85:85,E18,86:86)-SUMIF(85:85,C18,86:86)+100</f>
        <v>100</v>
      </c>
      <c r="G17" s="530"/>
      <c r="H17" s="529">
        <f>SUMIF(85:85,G18,86:86)-SUMIF(85:85,C18,86:86)+100</f>
        <v>100</v>
      </c>
      <c r="I17" s="532"/>
      <c r="J17" s="529">
        <f>SUMIF(85:85,I18,86:86)-SUMIF(85:85,C18,86:86)+100</f>
        <v>100</v>
      </c>
      <c r="K17" s="515">
        <v>2</v>
      </c>
      <c r="L17" s="2122"/>
      <c r="M17" s="2114"/>
      <c r="N17" s="2114"/>
      <c r="O17" s="2121"/>
      <c r="P17" s="3434" t="s">
        <v>529</v>
      </c>
      <c r="Q17" s="1553" t="str">
        <f t="shared" si="6"/>
        <v>产业集聚程度</v>
      </c>
      <c r="R17" s="1554" t="s">
        <v>8</v>
      </c>
      <c r="S17" s="1555">
        <f t="shared" si="0"/>
        <v>100</v>
      </c>
      <c r="T17" s="1554" t="s">
        <v>8</v>
      </c>
      <c r="U17" s="1555">
        <f t="shared" si="1"/>
        <v>100</v>
      </c>
      <c r="V17" s="1554" t="s">
        <v>8</v>
      </c>
      <c r="W17" s="1555">
        <f t="shared" si="2"/>
        <v>100</v>
      </c>
      <c r="X17" s="1548"/>
      <c r="Y17" s="3434" t="s">
        <v>529</v>
      </c>
      <c r="Z17" s="1556" t="str">
        <f t="shared" si="7"/>
        <v>产业集聚程度</v>
      </c>
      <c r="AA17" s="1557">
        <f t="shared" si="3"/>
        <v>1</v>
      </c>
      <c r="AB17" s="1557">
        <f t="shared" si="4"/>
        <v>1</v>
      </c>
      <c r="AC17" s="1557">
        <f t="shared" si="5"/>
        <v>1</v>
      </c>
    </row>
    <row r="18" spans="1:29" ht="15">
      <c r="A18" s="512"/>
      <c r="B18" s="849"/>
      <c r="C18" s="556" t="s">
        <v>530</v>
      </c>
      <c r="D18" s="535"/>
      <c r="E18" s="534" t="s">
        <v>530</v>
      </c>
      <c r="F18" s="535"/>
      <c r="G18" s="534" t="s">
        <v>530</v>
      </c>
      <c r="H18" s="539"/>
      <c r="I18" s="534" t="s">
        <v>530</v>
      </c>
      <c r="J18" s="535"/>
      <c r="K18" s="511"/>
      <c r="L18" s="2122"/>
      <c r="M18" s="2114"/>
      <c r="N18" s="2114"/>
      <c r="O18" s="2121"/>
      <c r="P18" s="3435"/>
      <c r="Q18" s="1553"/>
      <c r="R18" s="1554"/>
      <c r="S18" s="1555"/>
      <c r="T18" s="1554"/>
      <c r="U18" s="1555"/>
      <c r="V18" s="1554"/>
      <c r="W18" s="1555"/>
      <c r="X18" s="1548"/>
      <c r="Y18" s="3435"/>
      <c r="Z18" s="1556"/>
      <c r="AA18" s="1557">
        <v>1</v>
      </c>
      <c r="AB18" s="1557">
        <v>1</v>
      </c>
      <c r="AC18" s="1557">
        <v>1</v>
      </c>
    </row>
    <row r="19" spans="1:29" ht="85.5">
      <c r="A19" s="512"/>
      <c r="B19" s="851" t="s">
        <v>534</v>
      </c>
      <c r="C19" s="852" t="str">
        <f>估价对象房地状况!G16</f>
        <v>估价对象周边道路状况、公共交通通达情况、停车便捷程度，综合评价交通便捷度较好</v>
      </c>
      <c r="D19" s="539">
        <v>100</v>
      </c>
      <c r="E19" s="542"/>
      <c r="F19" s="545">
        <f>SUMIF(87:87,E20,88:88)-SUMIF(87:87,C20,88:88)+100</f>
        <v>96</v>
      </c>
      <c r="G19" s="542"/>
      <c r="H19" s="545">
        <f>SUMIF(87:87,G20,88:88)-SUMIF(87:87,C20,88:88)+100</f>
        <v>102</v>
      </c>
      <c r="I19" s="544"/>
      <c r="J19" s="539">
        <f>SUMIF(87:87,I20,88:88)-SUMIF(87:87,C20,88:88)+100</f>
        <v>98</v>
      </c>
      <c r="K19" s="515">
        <v>2</v>
      </c>
      <c r="L19" s="2122"/>
      <c r="M19" s="2114"/>
      <c r="N19" s="2114"/>
      <c r="O19" s="2121"/>
      <c r="P19" s="3435"/>
      <c r="Q19" s="1553" t="str">
        <f>B19</f>
        <v>交通便捷度</v>
      </c>
      <c r="R19" s="1554" t="s">
        <v>8</v>
      </c>
      <c r="S19" s="1555">
        <f>F19</f>
        <v>96</v>
      </c>
      <c r="T19" s="1554" t="s">
        <v>8</v>
      </c>
      <c r="U19" s="1555">
        <f>H19</f>
        <v>102</v>
      </c>
      <c r="V19" s="1554" t="s">
        <v>8</v>
      </c>
      <c r="W19" s="1555">
        <f>J19</f>
        <v>98</v>
      </c>
      <c r="X19" s="1548"/>
      <c r="Y19" s="3435"/>
      <c r="Z19" s="1556" t="str">
        <f>Q19</f>
        <v>交通便捷度</v>
      </c>
      <c r="AA19" s="1557">
        <f t="shared" si="3"/>
        <v>1.0416666666666667</v>
      </c>
      <c r="AB19" s="1557">
        <f t="shared" si="4"/>
        <v>0.98039215686274506</v>
      </c>
      <c r="AC19" s="1557">
        <f t="shared" si="5"/>
        <v>1.0204081632653061</v>
      </c>
    </row>
    <row r="20" spans="1:29" ht="15">
      <c r="A20" s="512"/>
      <c r="B20" s="901"/>
      <c r="C20" s="556" t="s">
        <v>530</v>
      </c>
      <c r="D20" s="535"/>
      <c r="E20" s="536" t="s">
        <v>622</v>
      </c>
      <c r="F20" s="535"/>
      <c r="G20" s="536" t="s">
        <v>531</v>
      </c>
      <c r="H20" s="535"/>
      <c r="I20" s="538" t="s">
        <v>535</v>
      </c>
      <c r="J20" s="535"/>
      <c r="K20" s="511"/>
      <c r="L20" s="2122"/>
      <c r="M20" s="2114"/>
      <c r="N20" s="2114"/>
      <c r="O20" s="2121"/>
      <c r="P20" s="3435"/>
      <c r="Q20" s="1553"/>
      <c r="R20" s="1554"/>
      <c r="S20" s="1555"/>
      <c r="T20" s="1554"/>
      <c r="U20" s="1555"/>
      <c r="V20" s="1554"/>
      <c r="W20" s="1555"/>
      <c r="X20" s="1548"/>
      <c r="Y20" s="3435"/>
      <c r="Z20" s="1556"/>
      <c r="AA20" s="1557">
        <v>1</v>
      </c>
      <c r="AB20" s="1557">
        <v>1</v>
      </c>
      <c r="AC20" s="1557">
        <v>1</v>
      </c>
    </row>
    <row r="21" spans="1:29" ht="42.75">
      <c r="A21" s="495"/>
      <c r="B21" s="851" t="s">
        <v>536</v>
      </c>
      <c r="C21" s="852" t="str">
        <f>估价对象房地状况!G17</f>
        <v>零星有其他用地，基本不影响本宗地</v>
      </c>
      <c r="D21" s="539">
        <v>100</v>
      </c>
      <c r="E21" s="542"/>
      <c r="F21" s="543">
        <f>SUMIF(89:89,E22,90:90)-SUMIF(89:89,C22,90:90)+100</f>
        <v>97</v>
      </c>
      <c r="G21" s="544"/>
      <c r="H21" s="543">
        <f>SUMIF(89:89,G22,90:90)-SUMIF(89:89,C22,90:90)+100</f>
        <v>103</v>
      </c>
      <c r="I21" s="544"/>
      <c r="J21" s="543">
        <f>SUMIF(89:89,I22,90:90)-SUMIF(89:89,C22,90:90)+100</f>
        <v>94</v>
      </c>
      <c r="K21" s="987">
        <v>3</v>
      </c>
      <c r="L21" s="2122"/>
      <c r="M21" s="2114"/>
      <c r="N21" s="2114"/>
      <c r="O21" s="2121"/>
      <c r="P21" s="3435"/>
      <c r="Q21" s="1553" t="str">
        <f t="shared" ref="Q21:Q35" si="8">B21</f>
        <v>区域土地利用方向</v>
      </c>
      <c r="R21" s="1554" t="s">
        <v>8</v>
      </c>
      <c r="S21" s="1555">
        <f>F21</f>
        <v>97</v>
      </c>
      <c r="T21" s="1554" t="s">
        <v>8</v>
      </c>
      <c r="U21" s="1555">
        <f>H21</f>
        <v>103</v>
      </c>
      <c r="V21" s="1554" t="s">
        <v>8</v>
      </c>
      <c r="W21" s="1555">
        <f>J21</f>
        <v>94</v>
      </c>
      <c r="X21" s="1548"/>
      <c r="Y21" s="3435"/>
      <c r="Z21" s="1556" t="str">
        <f>Q21</f>
        <v>区域土地利用方向</v>
      </c>
      <c r="AA21" s="1557">
        <f t="shared" si="3"/>
        <v>1.0309278350515463</v>
      </c>
      <c r="AB21" s="1557">
        <f t="shared" si="4"/>
        <v>0.970873786407767</v>
      </c>
      <c r="AC21" s="1557">
        <f t="shared" si="5"/>
        <v>1.0638297872340425</v>
      </c>
    </row>
    <row r="22" spans="1:29" ht="15">
      <c r="A22" s="495"/>
      <c r="B22" s="575"/>
      <c r="C22" s="556" t="s">
        <v>1072</v>
      </c>
      <c r="D22" s="535"/>
      <c r="E22" s="536" t="s">
        <v>1073</v>
      </c>
      <c r="F22" s="537"/>
      <c r="G22" s="538" t="s">
        <v>1074</v>
      </c>
      <c r="H22" s="537"/>
      <c r="I22" s="538" t="s">
        <v>1075</v>
      </c>
      <c r="J22" s="537"/>
      <c r="K22" s="1333"/>
      <c r="L22" s="2122"/>
      <c r="M22" s="2114"/>
      <c r="N22" s="2114"/>
      <c r="O22" s="2121"/>
      <c r="P22" s="3435"/>
      <c r="Q22" s="1553"/>
      <c r="R22" s="1554"/>
      <c r="S22" s="1555"/>
      <c r="T22" s="1554"/>
      <c r="U22" s="1555"/>
      <c r="V22" s="1554"/>
      <c r="W22" s="1555"/>
      <c r="X22" s="1548"/>
      <c r="Y22" s="3435"/>
      <c r="Z22" s="1556"/>
      <c r="AA22" s="1557"/>
      <c r="AB22" s="1557"/>
      <c r="AC22" s="1557"/>
    </row>
    <row r="23" spans="1:29" ht="71.25">
      <c r="A23" s="495"/>
      <c r="B23" s="901" t="s">
        <v>624</v>
      </c>
      <c r="C23" s="852" t="str">
        <f>估价对象房地状况!G18</f>
        <v>该园区内无污染型企业，绿化较好，卫生条件良好，整体环境状况较好</v>
      </c>
      <c r="D23" s="539">
        <v>100</v>
      </c>
      <c r="E23" s="542"/>
      <c r="F23" s="539">
        <f>SUMIF(91:91,E24,92:92)-SUMIF(91:91,C24,92:92)+100</f>
        <v>96</v>
      </c>
      <c r="G23" s="542"/>
      <c r="H23" s="539">
        <f>SUMIF(91:91,G24,92:92)-SUMIF(91:91,C24,92:92)+100</f>
        <v>102</v>
      </c>
      <c r="I23" s="544"/>
      <c r="J23" s="539">
        <f>SUMIF(91:91,I24,92:92)-SUMIF(91:91,C24,92:92)+100</f>
        <v>98</v>
      </c>
      <c r="K23" s="515">
        <v>2</v>
      </c>
      <c r="L23" s="2122"/>
      <c r="M23" s="2114"/>
      <c r="N23" s="2114"/>
      <c r="O23" s="2121"/>
      <c r="P23" s="3435"/>
      <c r="Q23" s="1553" t="str">
        <f t="shared" si="8"/>
        <v>环境状况</v>
      </c>
      <c r="R23" s="1554" t="s">
        <v>8</v>
      </c>
      <c r="S23" s="1555">
        <f>F23</f>
        <v>96</v>
      </c>
      <c r="T23" s="1554" t="s">
        <v>8</v>
      </c>
      <c r="U23" s="1555">
        <f>H23</f>
        <v>102</v>
      </c>
      <c r="V23" s="1554" t="s">
        <v>8</v>
      </c>
      <c r="W23" s="1555">
        <f>J23</f>
        <v>98</v>
      </c>
      <c r="X23" s="1548"/>
      <c r="Y23" s="3435"/>
      <c r="Z23" s="1556" t="str">
        <f>Q23</f>
        <v>环境状况</v>
      </c>
      <c r="AA23" s="1557">
        <f t="shared" si="3"/>
        <v>1.0416666666666667</v>
      </c>
      <c r="AB23" s="1557">
        <f t="shared" si="4"/>
        <v>0.98039215686274506</v>
      </c>
      <c r="AC23" s="1557">
        <f t="shared" si="5"/>
        <v>1.0204081632653061</v>
      </c>
    </row>
    <row r="24" spans="1:29" ht="15">
      <c r="A24" s="495"/>
      <c r="B24" s="575"/>
      <c r="C24" s="556" t="s">
        <v>530</v>
      </c>
      <c r="D24" s="535"/>
      <c r="E24" s="534" t="s">
        <v>622</v>
      </c>
      <c r="F24" s="535"/>
      <c r="G24" s="534" t="s">
        <v>531</v>
      </c>
      <c r="H24" s="535"/>
      <c r="I24" s="556" t="s">
        <v>535</v>
      </c>
      <c r="J24" s="535"/>
      <c r="K24" s="511"/>
      <c r="L24" s="2122"/>
      <c r="M24" s="2114"/>
      <c r="N24" s="2114"/>
      <c r="O24" s="2121"/>
      <c r="P24" s="3435"/>
      <c r="Q24" s="1553"/>
      <c r="R24" s="1554"/>
      <c r="S24" s="1555"/>
      <c r="T24" s="1554"/>
      <c r="U24" s="1555"/>
      <c r="V24" s="1554"/>
      <c r="W24" s="1555"/>
      <c r="X24" s="1548"/>
      <c r="Y24" s="3435"/>
      <c r="Z24" s="1556"/>
      <c r="AA24" s="1557">
        <v>1</v>
      </c>
      <c r="AB24" s="1557">
        <v>1</v>
      </c>
      <c r="AC24" s="1557">
        <v>1</v>
      </c>
    </row>
    <row r="25" spans="1:29" s="1199" customFormat="1" ht="42.75">
      <c r="A25" s="557"/>
      <c r="B25" s="2606" t="s">
        <v>2817</v>
      </c>
      <c r="C25" s="852" t="str">
        <f>估价对象房地状况!G19</f>
        <v>估价对象所在区域公共配套设施齐备情况</v>
      </c>
      <c r="D25" s="539">
        <v>100</v>
      </c>
      <c r="E25" s="542"/>
      <c r="F25" s="539">
        <f>SUMIF(93:93,E26,94:94)-SUMIF(93:93,C26,94:94)+100</f>
        <v>96</v>
      </c>
      <c r="G25" s="542"/>
      <c r="H25" s="539">
        <f>SUMIF(93:93,G26,94:94)-SUMIF(93:93,C26,94:94)+100</f>
        <v>98</v>
      </c>
      <c r="I25" s="544"/>
      <c r="J25" s="539">
        <f>SUMIF(93:93,I26,94:94)-SUMIF(93:93,C26,94:94)+100</f>
        <v>102</v>
      </c>
      <c r="K25" s="515">
        <v>2</v>
      </c>
      <c r="L25" s="2115"/>
      <c r="M25" s="2116"/>
      <c r="N25" s="2116"/>
      <c r="O25" s="2117"/>
      <c r="P25" s="3435"/>
      <c r="Q25" s="1130" t="str">
        <f t="shared" si="8"/>
        <v>公共配套设施</v>
      </c>
      <c r="R25" s="1549" t="s">
        <v>8</v>
      </c>
      <c r="S25" s="1550">
        <f>F25</f>
        <v>96</v>
      </c>
      <c r="T25" s="1549" t="s">
        <v>8</v>
      </c>
      <c r="U25" s="1550">
        <f>H25</f>
        <v>98</v>
      </c>
      <c r="V25" s="1549" t="s">
        <v>8</v>
      </c>
      <c r="W25" s="1550">
        <f>J25</f>
        <v>102</v>
      </c>
      <c r="X25" s="1551"/>
      <c r="Y25" s="3435"/>
      <c r="Z25" s="1129" t="str">
        <f>Q25</f>
        <v>公共配套设施</v>
      </c>
      <c r="AA25" s="1557">
        <f>D25/F25</f>
        <v>1.0416666666666667</v>
      </c>
      <c r="AB25" s="1557">
        <f>D25/H25</f>
        <v>1.0204081632653061</v>
      </c>
      <c r="AC25" s="1557">
        <f>D25/J25</f>
        <v>0.98039215686274506</v>
      </c>
    </row>
    <row r="26" spans="1:29" s="1199" customFormat="1" ht="15">
      <c r="A26" s="557"/>
      <c r="B26" s="575"/>
      <c r="C26" s="2605" t="s">
        <v>625</v>
      </c>
      <c r="D26" s="535"/>
      <c r="E26" s="534" t="s">
        <v>535</v>
      </c>
      <c r="F26" s="535"/>
      <c r="G26" s="534" t="s">
        <v>530</v>
      </c>
      <c r="H26" s="535"/>
      <c r="I26" s="556" t="s">
        <v>623</v>
      </c>
      <c r="J26" s="535"/>
      <c r="K26" s="511"/>
      <c r="L26" s="2115"/>
      <c r="M26" s="2116"/>
      <c r="N26" s="2116"/>
      <c r="O26" s="2117"/>
      <c r="P26" s="3435"/>
      <c r="Q26" s="1130"/>
      <c r="R26" s="1549"/>
      <c r="S26" s="1550"/>
      <c r="T26" s="1549"/>
      <c r="U26" s="1550"/>
      <c r="V26" s="1549"/>
      <c r="W26" s="1550"/>
      <c r="X26" s="1551"/>
      <c r="Y26" s="3435"/>
      <c r="Z26" s="1129"/>
      <c r="AA26" s="1552">
        <v>1</v>
      </c>
      <c r="AB26" s="1552">
        <v>1</v>
      </c>
      <c r="AC26" s="1552">
        <v>1</v>
      </c>
    </row>
    <row r="27" spans="1:29" s="1199" customFormat="1" ht="28.5">
      <c r="A27" s="557"/>
      <c r="B27" s="2606" t="s">
        <v>2818</v>
      </c>
      <c r="C27" s="852" t="str">
        <f>估价对象房地状况!G20</f>
        <v>估价对象所在区域基础设施水平</v>
      </c>
      <c r="D27" s="539">
        <v>100</v>
      </c>
      <c r="E27" s="542"/>
      <c r="F27" s="539">
        <f>SUMIF(95:95,E28,96:96)-SUMIF(95:95,C28,96:96)+100</f>
        <v>99</v>
      </c>
      <c r="G27" s="542"/>
      <c r="H27" s="539">
        <f>SUMIF(95:95,G28,96:96)-SUMIF(95:95,C28,96:96)+100</f>
        <v>98</v>
      </c>
      <c r="I27" s="544"/>
      <c r="J27" s="539">
        <f>SUMIF(95:95,I28,96:96)-SUMIF(95:95,C28,96:96)+100</f>
        <v>97</v>
      </c>
      <c r="K27" s="515">
        <v>1</v>
      </c>
      <c r="L27" s="2115"/>
      <c r="M27" s="2116"/>
      <c r="N27" s="2116"/>
      <c r="O27" s="2117"/>
      <c r="P27" s="3435"/>
      <c r="Q27" s="2590" t="str">
        <f t="shared" ref="Q27" si="9">B27</f>
        <v>基础设施水平</v>
      </c>
      <c r="R27" s="1549" t="s">
        <v>8</v>
      </c>
      <c r="S27" s="1550">
        <f>F27</f>
        <v>99</v>
      </c>
      <c r="T27" s="1549" t="s">
        <v>8</v>
      </c>
      <c r="U27" s="1550">
        <f>H27</f>
        <v>98</v>
      </c>
      <c r="V27" s="1549" t="s">
        <v>8</v>
      </c>
      <c r="W27" s="1550">
        <f>J27</f>
        <v>97</v>
      </c>
      <c r="X27" s="1551"/>
      <c r="Y27" s="3435"/>
      <c r="Z27" s="2587" t="str">
        <f>Q27</f>
        <v>基础设施水平</v>
      </c>
      <c r="AA27" s="1557">
        <f>D27/F27</f>
        <v>1.0101010101010102</v>
      </c>
      <c r="AB27" s="1557">
        <f>D27/H27</f>
        <v>1.0204081632653061</v>
      </c>
      <c r="AC27" s="1557">
        <f>D27/J27</f>
        <v>1.0309278350515463</v>
      </c>
    </row>
    <row r="28" spans="1:29" s="1199" customFormat="1" ht="15">
      <c r="A28" s="557"/>
      <c r="B28" s="575"/>
      <c r="C28" s="2605" t="s">
        <v>2805</v>
      </c>
      <c r="D28" s="535"/>
      <c r="E28" s="559" t="s">
        <v>2586</v>
      </c>
      <c r="F28" s="535"/>
      <c r="G28" s="559" t="s">
        <v>2587</v>
      </c>
      <c r="H28" s="535"/>
      <c r="I28" s="559" t="s">
        <v>2809</v>
      </c>
      <c r="J28" s="535"/>
      <c r="K28" s="511"/>
      <c r="L28" s="2115"/>
      <c r="M28" s="2116"/>
      <c r="N28" s="2116"/>
      <c r="O28" s="2117"/>
      <c r="P28" s="3435"/>
      <c r="Q28" s="2590"/>
      <c r="R28" s="1549"/>
      <c r="S28" s="1550"/>
      <c r="T28" s="1549"/>
      <c r="U28" s="1550"/>
      <c r="V28" s="1549"/>
      <c r="W28" s="1550"/>
      <c r="X28" s="1551"/>
      <c r="Y28" s="3435"/>
      <c r="Z28" s="2587"/>
      <c r="AA28" s="1552">
        <v>1</v>
      </c>
      <c r="AB28" s="1552">
        <v>1</v>
      </c>
      <c r="AC28" s="1552">
        <v>1</v>
      </c>
    </row>
    <row r="29" spans="1:29" ht="15">
      <c r="A29" s="512"/>
      <c r="B29" s="575" t="s">
        <v>539</v>
      </c>
      <c r="C29" s="563" t="s">
        <v>626</v>
      </c>
      <c r="D29" s="520">
        <v>100</v>
      </c>
      <c r="E29" s="560" t="s">
        <v>626</v>
      </c>
      <c r="F29" s="520">
        <f>SUMIF(97:97,E29,98:98)-SUMIF(97:97,C29,98:98)+100</f>
        <v>100</v>
      </c>
      <c r="G29" s="560" t="s">
        <v>626</v>
      </c>
      <c r="H29" s="520">
        <f>SUMIF(97:97,G29,98:98)-SUMIF(97:97,C29,98:98)+100</f>
        <v>100</v>
      </c>
      <c r="I29" s="560" t="s">
        <v>626</v>
      </c>
      <c r="J29" s="520">
        <f>SUMIF(97:97,I29,98:98)-SUMIF(97:97,C29,98:98)+100</f>
        <v>100</v>
      </c>
      <c r="K29" s="515">
        <v>1.5</v>
      </c>
      <c r="L29" s="2122"/>
      <c r="M29" s="2114"/>
      <c r="N29" s="2114"/>
      <c r="O29" s="2121"/>
      <c r="P29" s="3435"/>
      <c r="Q29" s="1553" t="str">
        <f t="shared" si="8"/>
        <v>临街状况</v>
      </c>
      <c r="R29" s="1554" t="s">
        <v>8</v>
      </c>
      <c r="S29" s="1555">
        <f t="shared" ref="S29:S42" si="10">F29</f>
        <v>100</v>
      </c>
      <c r="T29" s="1554" t="s">
        <v>8</v>
      </c>
      <c r="U29" s="1555">
        <f t="shared" ref="U29:U42" si="11">H29</f>
        <v>100</v>
      </c>
      <c r="V29" s="1554" t="s">
        <v>8</v>
      </c>
      <c r="W29" s="1555">
        <f t="shared" ref="W29:W42" si="12">J29</f>
        <v>100</v>
      </c>
      <c r="X29" s="1548"/>
      <c r="Y29" s="3435"/>
      <c r="Z29" s="1556" t="str">
        <f t="shared" ref="Z29:Z42" si="13">Q29</f>
        <v>临街状况</v>
      </c>
      <c r="AA29" s="1557">
        <f t="shared" si="3"/>
        <v>1</v>
      </c>
      <c r="AB29" s="1557">
        <f t="shared" si="4"/>
        <v>1</v>
      </c>
      <c r="AC29" s="1557">
        <f t="shared" si="5"/>
        <v>1</v>
      </c>
    </row>
    <row r="30" spans="1:29" ht="28.5">
      <c r="A30" s="512"/>
      <c r="B30" s="901" t="s">
        <v>540</v>
      </c>
      <c r="C30" s="2608" t="str">
        <f>估价对象房地状况!G22</f>
        <v>城市支路——裕民中路</v>
      </c>
      <c r="D30" s="539">
        <v>100</v>
      </c>
      <c r="E30" s="542"/>
      <c r="F30" s="539">
        <f>SUMIF(99:99,E31,100:100)-SUMIF(99:99,C31,100:100)+100</f>
        <v>100</v>
      </c>
      <c r="G30" s="542"/>
      <c r="H30" s="539">
        <f>SUMIF(99:99,G31,100:100)-SUMIF(99:99,C31,100:100)+100</f>
        <v>102</v>
      </c>
      <c r="I30" s="544"/>
      <c r="J30" s="539">
        <f>SUMIF(99:99,I31,100:100)-SUMIF(99:99,C31,100:100)+100</f>
        <v>106</v>
      </c>
      <c r="K30" s="515">
        <v>2</v>
      </c>
      <c r="L30" s="2122"/>
      <c r="M30" s="2114"/>
      <c r="N30" s="2114"/>
      <c r="O30" s="2121"/>
      <c r="P30" s="3435"/>
      <c r="Q30" s="1553" t="str">
        <f t="shared" si="8"/>
        <v>毗邻道路的类型与等级</v>
      </c>
      <c r="R30" s="1554" t="s">
        <v>8</v>
      </c>
      <c r="S30" s="1555">
        <f t="shared" si="10"/>
        <v>100</v>
      </c>
      <c r="T30" s="1554" t="s">
        <v>8</v>
      </c>
      <c r="U30" s="1555">
        <f t="shared" si="11"/>
        <v>102</v>
      </c>
      <c r="V30" s="1554" t="s">
        <v>8</v>
      </c>
      <c r="W30" s="1555">
        <f t="shared" si="12"/>
        <v>106</v>
      </c>
      <c r="X30" s="1548"/>
      <c r="Y30" s="3435"/>
      <c r="Z30" s="1556" t="str">
        <f t="shared" si="13"/>
        <v>毗邻道路的类型与等级</v>
      </c>
      <c r="AA30" s="1557">
        <f t="shared" si="3"/>
        <v>1</v>
      </c>
      <c r="AB30" s="1557">
        <f t="shared" si="4"/>
        <v>0.98039215686274506</v>
      </c>
      <c r="AC30" s="1557">
        <f t="shared" si="5"/>
        <v>0.94339622641509435</v>
      </c>
    </row>
    <row r="31" spans="1:29" ht="15">
      <c r="A31" s="512"/>
      <c r="B31" s="575"/>
      <c r="C31" s="556" t="s">
        <v>1890</v>
      </c>
      <c r="D31" s="535"/>
      <c r="E31" s="534" t="s">
        <v>541</v>
      </c>
      <c r="F31" s="535"/>
      <c r="G31" s="534" t="s">
        <v>627</v>
      </c>
      <c r="H31" s="535"/>
      <c r="I31" s="556" t="s">
        <v>628</v>
      </c>
      <c r="J31" s="535"/>
      <c r="K31" s="561"/>
      <c r="L31" s="2122"/>
      <c r="M31" s="2114"/>
      <c r="N31" s="2114"/>
      <c r="O31" s="2121"/>
      <c r="P31" s="3435"/>
      <c r="Q31" s="1553"/>
      <c r="R31" s="1554"/>
      <c r="S31" s="1555"/>
      <c r="T31" s="1554"/>
      <c r="U31" s="1555"/>
      <c r="V31" s="1554"/>
      <c r="W31" s="1555"/>
      <c r="X31" s="1548"/>
      <c r="Y31" s="3435"/>
      <c r="Z31" s="1556"/>
      <c r="AA31" s="1557">
        <v>1</v>
      </c>
      <c r="AB31" s="1557">
        <v>1</v>
      </c>
      <c r="AC31" s="1557">
        <v>1</v>
      </c>
    </row>
    <row r="32" spans="1:29" ht="15">
      <c r="A32" s="512"/>
      <c r="B32" s="507" t="s">
        <v>542</v>
      </c>
      <c r="C32" s="2609" t="str">
        <f>估价对象房地状况!G23</f>
        <v>3级</v>
      </c>
      <c r="D32" s="520">
        <v>100</v>
      </c>
      <c r="E32" s="560" t="s">
        <v>629</v>
      </c>
      <c r="F32" s="520">
        <f>SUMIF(101:101,E32,102:102)-SUMIF(101:101,C32,102:102)+100</f>
        <v>100</v>
      </c>
      <c r="G32" s="560" t="s">
        <v>630</v>
      </c>
      <c r="H32" s="520">
        <f>SUMIF(101:101,G32,102:102)-SUMIF(101:101,C32,102:102)+100</f>
        <v>105</v>
      </c>
      <c r="I32" s="560" t="s">
        <v>630</v>
      </c>
      <c r="J32" s="520">
        <f>SUMIF(101:101,I32,102:102)-SUMIF(101:101,C32,102:102)+100</f>
        <v>105</v>
      </c>
      <c r="K32" s="564">
        <v>2.5</v>
      </c>
      <c r="L32" s="2122"/>
      <c r="M32" s="2114"/>
      <c r="N32" s="2114"/>
      <c r="O32" s="2121"/>
      <c r="P32" s="3435"/>
      <c r="Q32" s="1553" t="str">
        <f t="shared" si="8"/>
        <v>土地级别</v>
      </c>
      <c r="R32" s="1554" t="s">
        <v>8</v>
      </c>
      <c r="S32" s="1555">
        <f t="shared" si="10"/>
        <v>100</v>
      </c>
      <c r="T32" s="1554" t="s">
        <v>8</v>
      </c>
      <c r="U32" s="1555">
        <f t="shared" si="11"/>
        <v>105</v>
      </c>
      <c r="V32" s="1554" t="s">
        <v>8</v>
      </c>
      <c r="W32" s="1555">
        <f t="shared" si="12"/>
        <v>105</v>
      </c>
      <c r="X32" s="1548"/>
      <c r="Y32" s="3435"/>
      <c r="Z32" s="1556" t="str">
        <f t="shared" si="13"/>
        <v>土地级别</v>
      </c>
      <c r="AA32" s="1557">
        <f t="shared" si="3"/>
        <v>1</v>
      </c>
      <c r="AB32" s="1557">
        <f t="shared" si="4"/>
        <v>0.95238095238095233</v>
      </c>
      <c r="AC32" s="1557">
        <f t="shared" si="5"/>
        <v>0.95238095238095233</v>
      </c>
    </row>
    <row r="33" spans="1:29" ht="15">
      <c r="A33" s="495"/>
      <c r="B33" s="857">
        <v>111</v>
      </c>
      <c r="C33" s="522">
        <v>111</v>
      </c>
      <c r="D33" s="520">
        <v>100</v>
      </c>
      <c r="E33" s="566">
        <v>222</v>
      </c>
      <c r="F33" s="520">
        <f>SUMIF(103:103,E33,104:104)-SUMIF(103:103,C33,104:104)+100</f>
        <v>99</v>
      </c>
      <c r="G33" s="566">
        <v>333</v>
      </c>
      <c r="H33" s="520">
        <f>SUMIF(103:103,G33,104:104)-SUMIF(103:103,C33,104:104)+100</f>
        <v>98</v>
      </c>
      <c r="I33" s="521">
        <v>444</v>
      </c>
      <c r="J33" s="520">
        <f>SUMIF(103:103,I33,104:104)-SUMIF(103:103,C33,104:104)+100</f>
        <v>97</v>
      </c>
      <c r="K33" s="561"/>
      <c r="L33" s="2122"/>
      <c r="M33" s="2114"/>
      <c r="N33" s="2114"/>
      <c r="O33" s="2121"/>
      <c r="P33" s="3435"/>
      <c r="Q33" s="1553">
        <f t="shared" si="8"/>
        <v>111</v>
      </c>
      <c r="R33" s="1554" t="s">
        <v>8</v>
      </c>
      <c r="S33" s="1555">
        <f t="shared" si="10"/>
        <v>99</v>
      </c>
      <c r="T33" s="1554" t="s">
        <v>8</v>
      </c>
      <c r="U33" s="1555">
        <f t="shared" si="11"/>
        <v>98</v>
      </c>
      <c r="V33" s="1554" t="s">
        <v>8</v>
      </c>
      <c r="W33" s="1555">
        <f t="shared" si="12"/>
        <v>97</v>
      </c>
      <c r="X33" s="1548"/>
      <c r="Y33" s="3435"/>
      <c r="Z33" s="1556">
        <f t="shared" si="13"/>
        <v>111</v>
      </c>
      <c r="AA33" s="1557">
        <f t="shared" si="3"/>
        <v>1.0101010101010102</v>
      </c>
      <c r="AB33" s="1557">
        <f t="shared" si="4"/>
        <v>1.0204081632653061</v>
      </c>
      <c r="AC33" s="1557">
        <f t="shared" si="5"/>
        <v>1.0309278350515463</v>
      </c>
    </row>
    <row r="34" spans="1:29" ht="15">
      <c r="A34" s="567"/>
      <c r="B34" s="582">
        <v>111</v>
      </c>
      <c r="C34" s="522">
        <v>111</v>
      </c>
      <c r="D34" s="520">
        <v>100</v>
      </c>
      <c r="E34" s="566">
        <v>222</v>
      </c>
      <c r="F34" s="520">
        <f>SUMIF(105:105,E35,106:106)-SUMIF(105:105,C35,106:106)+100</f>
        <v>98</v>
      </c>
      <c r="G34" s="566">
        <v>333</v>
      </c>
      <c r="H34" s="520">
        <f>SUMIF(105:105,G34,106:106)-SUMIF(105:105,C34,106:106)+100</f>
        <v>96</v>
      </c>
      <c r="I34" s="522">
        <v>444</v>
      </c>
      <c r="J34" s="520">
        <f>SUMIF(105:105,I34,106:106)-SUMIF(105:105,C34,106:106)+100</f>
        <v>94</v>
      </c>
      <c r="K34" s="561"/>
      <c r="L34" s="2122"/>
      <c r="M34" s="2114"/>
      <c r="N34" s="2114"/>
      <c r="O34" s="2121"/>
      <c r="P34" s="3436" t="s">
        <v>543</v>
      </c>
      <c r="Q34" s="1553">
        <f t="shared" si="8"/>
        <v>111</v>
      </c>
      <c r="R34" s="1554" t="s">
        <v>8</v>
      </c>
      <c r="S34" s="1555">
        <f t="shared" si="10"/>
        <v>98</v>
      </c>
      <c r="T34" s="1554" t="s">
        <v>8</v>
      </c>
      <c r="U34" s="1555">
        <f t="shared" si="11"/>
        <v>96</v>
      </c>
      <c r="V34" s="1554" t="s">
        <v>8</v>
      </c>
      <c r="W34" s="1555">
        <f t="shared" si="12"/>
        <v>94</v>
      </c>
      <c r="X34" s="1548"/>
      <c r="Y34" s="3437" t="s">
        <v>543</v>
      </c>
      <c r="Z34" s="1556">
        <f t="shared" si="13"/>
        <v>111</v>
      </c>
      <c r="AA34" s="1557">
        <f t="shared" si="3"/>
        <v>1.0204081632653061</v>
      </c>
      <c r="AB34" s="1557">
        <f t="shared" si="4"/>
        <v>1.0416666666666667</v>
      </c>
      <c r="AC34" s="1557">
        <f t="shared" si="5"/>
        <v>1.0638297872340425</v>
      </c>
    </row>
    <row r="35" spans="1:29" s="1324" customFormat="1" ht="15.75" thickBot="1">
      <c r="A35" s="569"/>
      <c r="B35" s="2607">
        <v>111</v>
      </c>
      <c r="C35" s="573">
        <v>111</v>
      </c>
      <c r="D35" s="233">
        <v>100</v>
      </c>
      <c r="E35" s="721">
        <v>222</v>
      </c>
      <c r="F35" s="526">
        <f>SUMIF(107:107,E35,108:108)-SUMIF(107:107,C35,108:108)+100</f>
        <v>97</v>
      </c>
      <c r="G35" s="721">
        <v>333</v>
      </c>
      <c r="H35" s="526">
        <f>SUMIF(107:107,G35,108:108)-SUMIF(107:107,C35,108:108)+100</f>
        <v>94</v>
      </c>
      <c r="I35" s="573">
        <v>444</v>
      </c>
      <c r="J35" s="526">
        <f>SUMIF(107:107,I35,108:108)-SUMIF(107:107,C35,108:108)+100</f>
        <v>91</v>
      </c>
      <c r="K35" s="561"/>
      <c r="L35" s="2120"/>
      <c r="M35" s="2151"/>
      <c r="N35" s="2151"/>
      <c r="O35" s="2123"/>
      <c r="P35" s="3437"/>
      <c r="Q35" s="1553">
        <f t="shared" si="8"/>
        <v>111</v>
      </c>
      <c r="R35" s="1558" t="s">
        <v>8</v>
      </c>
      <c r="S35" s="1559">
        <f t="shared" si="10"/>
        <v>97</v>
      </c>
      <c r="T35" s="1558" t="s">
        <v>8</v>
      </c>
      <c r="U35" s="1559">
        <f t="shared" si="11"/>
        <v>94</v>
      </c>
      <c r="V35" s="1558" t="s">
        <v>8</v>
      </c>
      <c r="W35" s="1559">
        <f t="shared" si="12"/>
        <v>91</v>
      </c>
      <c r="X35" s="1560"/>
      <c r="Y35" s="3437"/>
      <c r="Z35" s="1561">
        <f t="shared" si="13"/>
        <v>111</v>
      </c>
      <c r="AA35" s="1557">
        <f t="shared" si="3"/>
        <v>1.0309278350515463</v>
      </c>
      <c r="AB35" s="1557">
        <f t="shared" si="4"/>
        <v>1.0638297872340425</v>
      </c>
      <c r="AC35" s="1557">
        <f t="shared" si="5"/>
        <v>1.098901098901099</v>
      </c>
    </row>
    <row r="36" spans="1:29" ht="15">
      <c r="A36" s="2925" t="s">
        <v>3038</v>
      </c>
      <c r="B36" s="575" t="s">
        <v>545</v>
      </c>
      <c r="C36" s="576">
        <v>5000</v>
      </c>
      <c r="D36" s="577">
        <v>100</v>
      </c>
      <c r="E36" s="576">
        <v>20000</v>
      </c>
      <c r="F36" s="577">
        <f>LOOKUP(E36,110:110,111:111)-LOOKUP(C36,110:110,111:111)+100</f>
        <v>105</v>
      </c>
      <c r="G36" s="576">
        <v>35000</v>
      </c>
      <c r="H36" s="577">
        <f>LOOKUP(G36,110:110,111:111)-LOOKUP(C36,110:110,111:111)+100</f>
        <v>105</v>
      </c>
      <c r="I36" s="578">
        <v>100000</v>
      </c>
      <c r="J36" s="577">
        <f>LOOKUP(I36,110:110,111:111)-LOOKUP(C36,110:110,111:111)+100</f>
        <v>100</v>
      </c>
      <c r="K36" s="561"/>
      <c r="L36" s="2122"/>
      <c r="M36" s="2114"/>
      <c r="N36" s="2114"/>
      <c r="O36" s="2121"/>
      <c r="P36" s="3437"/>
      <c r="Q36" s="1553" t="str">
        <f>B36</f>
        <v>宗地面积</v>
      </c>
      <c r="R36" s="1554" t="s">
        <v>8</v>
      </c>
      <c r="S36" s="1555">
        <f t="shared" si="10"/>
        <v>105</v>
      </c>
      <c r="T36" s="1554" t="s">
        <v>8</v>
      </c>
      <c r="U36" s="1555">
        <f t="shared" si="11"/>
        <v>105</v>
      </c>
      <c r="V36" s="1554" t="s">
        <v>8</v>
      </c>
      <c r="W36" s="1555">
        <f t="shared" si="12"/>
        <v>100</v>
      </c>
      <c r="X36" s="1548"/>
      <c r="Y36" s="3437"/>
      <c r="Z36" s="1556" t="str">
        <f t="shared" si="13"/>
        <v>宗地面积</v>
      </c>
      <c r="AA36" s="1557">
        <f t="shared" si="3"/>
        <v>0.95238095238095233</v>
      </c>
      <c r="AB36" s="1557">
        <f t="shared" si="4"/>
        <v>0.95238095238095233</v>
      </c>
      <c r="AC36" s="1557">
        <f t="shared" si="5"/>
        <v>1</v>
      </c>
    </row>
    <row r="37" spans="1:29" ht="15">
      <c r="A37" s="574"/>
      <c r="B37" s="507" t="s">
        <v>546</v>
      </c>
      <c r="C37" s="579" t="s">
        <v>2036</v>
      </c>
      <c r="D37" s="520">
        <v>100</v>
      </c>
      <c r="E37" s="579" t="s">
        <v>2585</v>
      </c>
      <c r="F37" s="520">
        <f>SUMIF(112:112,E37,113:113)-SUMIF(112:112,C37,113:113)+100</f>
        <v>106</v>
      </c>
      <c r="G37" s="579" t="s">
        <v>2589</v>
      </c>
      <c r="H37" s="520">
        <f>SUMIF(112:112,G37,113:113)-SUMIF(112:112,C37,113:113)+100</f>
        <v>104</v>
      </c>
      <c r="I37" s="579" t="s">
        <v>2590</v>
      </c>
      <c r="J37" s="520">
        <f>SUMIF(112:112,I37,113:113)-SUMIF(112:112,C37,113:113)+100</f>
        <v>102</v>
      </c>
      <c r="K37" s="564">
        <v>2</v>
      </c>
      <c r="L37" s="2122"/>
      <c r="M37" s="2114"/>
      <c r="N37" s="2114"/>
      <c r="O37" s="2121"/>
      <c r="P37" s="3437"/>
      <c r="Q37" s="1553" t="str">
        <f t="shared" ref="Q37:Q42" si="14">B37</f>
        <v>宗地形状</v>
      </c>
      <c r="R37" s="1554" t="s">
        <v>8</v>
      </c>
      <c r="S37" s="1555">
        <f t="shared" si="10"/>
        <v>106</v>
      </c>
      <c r="T37" s="1554" t="s">
        <v>8</v>
      </c>
      <c r="U37" s="1555">
        <f t="shared" si="11"/>
        <v>104</v>
      </c>
      <c r="V37" s="1554" t="s">
        <v>8</v>
      </c>
      <c r="W37" s="1555">
        <f t="shared" si="12"/>
        <v>102</v>
      </c>
      <c r="X37" s="1548"/>
      <c r="Y37" s="3437"/>
      <c r="Z37" s="1556" t="str">
        <f t="shared" si="13"/>
        <v>宗地形状</v>
      </c>
      <c r="AA37" s="1557">
        <f t="shared" si="3"/>
        <v>0.94339622641509435</v>
      </c>
      <c r="AB37" s="1557">
        <f t="shared" si="4"/>
        <v>0.96153846153846156</v>
      </c>
      <c r="AC37" s="1557">
        <f t="shared" si="5"/>
        <v>0.98039215686274506</v>
      </c>
    </row>
    <row r="38" spans="1:29" s="1199" customFormat="1" ht="15">
      <c r="A38" s="580"/>
      <c r="B38" s="1870" t="s">
        <v>2679</v>
      </c>
      <c r="C38" s="581" t="s">
        <v>548</v>
      </c>
      <c r="D38" s="232">
        <v>100</v>
      </c>
      <c r="E38" s="581" t="s">
        <v>550</v>
      </c>
      <c r="F38" s="520">
        <f>SUMIF(114:114,E38,115:115)-SUMIF(114:114,C38,115:115)+100</f>
        <v>100</v>
      </c>
      <c r="G38" s="581" t="s">
        <v>631</v>
      </c>
      <c r="H38" s="520">
        <f>SUMIF(114:114,G38,115:115)-SUMIF(114:114,C38,115:115)+100</f>
        <v>100</v>
      </c>
      <c r="I38" s="581" t="s">
        <v>549</v>
      </c>
      <c r="J38" s="520">
        <f>SUMIF(114:114,I38,115:115)-SUMIF(114:114,C38,115:115)+100</f>
        <v>100</v>
      </c>
      <c r="K38" s="564">
        <v>2</v>
      </c>
      <c r="L38" s="2115"/>
      <c r="M38" s="2116"/>
      <c r="N38" s="2116"/>
      <c r="O38" s="2117"/>
      <c r="P38" s="3437"/>
      <c r="Q38" s="1553" t="str">
        <f t="shared" si="14"/>
        <v>宗地开发程度</v>
      </c>
      <c r="R38" s="1549" t="s">
        <v>8</v>
      </c>
      <c r="S38" s="1550">
        <f t="shared" si="10"/>
        <v>100</v>
      </c>
      <c r="T38" s="1549" t="s">
        <v>8</v>
      </c>
      <c r="U38" s="1550">
        <f t="shared" si="11"/>
        <v>100</v>
      </c>
      <c r="V38" s="1549" t="s">
        <v>8</v>
      </c>
      <c r="W38" s="1550">
        <f t="shared" si="12"/>
        <v>100</v>
      </c>
      <c r="X38" s="1551"/>
      <c r="Y38" s="3437"/>
      <c r="Z38" s="1129" t="str">
        <f t="shared" si="13"/>
        <v>宗地开发程度</v>
      </c>
      <c r="AA38" s="1552">
        <f t="shared" si="3"/>
        <v>1</v>
      </c>
      <c r="AB38" s="1552">
        <f t="shared" si="4"/>
        <v>1</v>
      </c>
      <c r="AC38" s="1552">
        <f t="shared" si="5"/>
        <v>1</v>
      </c>
    </row>
    <row r="39" spans="1:29" ht="15">
      <c r="A39" s="574"/>
      <c r="B39" s="507" t="s">
        <v>551</v>
      </c>
      <c r="C39" s="579" t="s">
        <v>531</v>
      </c>
      <c r="D39" s="520">
        <v>100</v>
      </c>
      <c r="E39" s="579" t="s">
        <v>1073</v>
      </c>
      <c r="F39" s="520">
        <f>SUMIF(116:116,E39,117:117)-SUMIF(116:116,C39,117:117)+100</f>
        <v>98.5</v>
      </c>
      <c r="G39" s="579" t="s">
        <v>1074</v>
      </c>
      <c r="H39" s="520">
        <f>SUMIF(116:116,G39,117:117)-SUMIF(116:116,C39,117:117)+100</f>
        <v>101.5</v>
      </c>
      <c r="I39" s="579" t="s">
        <v>1075</v>
      </c>
      <c r="J39" s="520">
        <f>SUMIF(116:116,I39,117:117)-SUMIF(116:116,C39,117:117)+100</f>
        <v>97</v>
      </c>
      <c r="K39" s="564">
        <v>1.5</v>
      </c>
      <c r="L39" s="2122"/>
      <c r="M39" s="2114"/>
      <c r="N39" s="2114"/>
      <c r="O39" s="2121"/>
      <c r="P39" s="3437" t="s">
        <v>632</v>
      </c>
      <c r="Q39" s="1553" t="str">
        <f t="shared" si="14"/>
        <v>工程地质条件</v>
      </c>
      <c r="R39" s="1554" t="s">
        <v>8</v>
      </c>
      <c r="S39" s="1555">
        <f t="shared" si="10"/>
        <v>98.5</v>
      </c>
      <c r="T39" s="1554" t="s">
        <v>8</v>
      </c>
      <c r="U39" s="1555">
        <f t="shared" si="11"/>
        <v>101.5</v>
      </c>
      <c r="V39" s="1554" t="s">
        <v>8</v>
      </c>
      <c r="W39" s="1555">
        <f t="shared" si="12"/>
        <v>97</v>
      </c>
      <c r="X39" s="1548"/>
      <c r="Y39" s="3437" t="s">
        <v>632</v>
      </c>
      <c r="Z39" s="1556" t="str">
        <f t="shared" si="13"/>
        <v>工程地质条件</v>
      </c>
      <c r="AA39" s="1557">
        <f t="shared" si="3"/>
        <v>1.015228426395939</v>
      </c>
      <c r="AB39" s="1557">
        <f t="shared" si="4"/>
        <v>0.98522167487684731</v>
      </c>
      <c r="AC39" s="1557">
        <f t="shared" si="5"/>
        <v>1.0309278350515463</v>
      </c>
    </row>
    <row r="40" spans="1:29" ht="15">
      <c r="A40" s="574"/>
      <c r="B40" s="582">
        <v>111</v>
      </c>
      <c r="C40" s="522">
        <v>111</v>
      </c>
      <c r="D40" s="520">
        <v>100</v>
      </c>
      <c r="E40" s="522">
        <v>222</v>
      </c>
      <c r="F40" s="520">
        <f>SUMIF(118:118,E40,119:119)-SUMIF(118:118,C40,119:119)+100</f>
        <v>99</v>
      </c>
      <c r="G40" s="522">
        <v>333</v>
      </c>
      <c r="H40" s="520">
        <f>SUMIF(118:118,G40,119:119)-SUMIF(118:118,C40,119:119)+100</f>
        <v>98</v>
      </c>
      <c r="I40" s="521">
        <v>444</v>
      </c>
      <c r="J40" s="520">
        <f>SUMIF(118:118,I40,119:119)-SUMIF(118:118,C40,119:119)+100</f>
        <v>97</v>
      </c>
      <c r="K40" s="561"/>
      <c r="L40" s="2122"/>
      <c r="M40" s="2114"/>
      <c r="N40" s="2114"/>
      <c r="O40" s="2121"/>
      <c r="P40" s="3437"/>
      <c r="Q40" s="1553">
        <f t="shared" si="14"/>
        <v>111</v>
      </c>
      <c r="R40" s="1554" t="s">
        <v>8</v>
      </c>
      <c r="S40" s="1555">
        <f t="shared" si="10"/>
        <v>99</v>
      </c>
      <c r="T40" s="1554" t="s">
        <v>8</v>
      </c>
      <c r="U40" s="1555">
        <f t="shared" si="11"/>
        <v>98</v>
      </c>
      <c r="V40" s="1554" t="s">
        <v>8</v>
      </c>
      <c r="W40" s="1555">
        <f t="shared" si="12"/>
        <v>97</v>
      </c>
      <c r="X40" s="1548"/>
      <c r="Y40" s="3437"/>
      <c r="Z40" s="1556">
        <f t="shared" si="13"/>
        <v>111</v>
      </c>
      <c r="AA40" s="1557">
        <f t="shared" si="3"/>
        <v>1.0101010101010102</v>
      </c>
      <c r="AB40" s="1557">
        <f t="shared" si="4"/>
        <v>1.0204081632653061</v>
      </c>
      <c r="AC40" s="1557">
        <f t="shared" si="5"/>
        <v>1.0309278350515463</v>
      </c>
    </row>
    <row r="41" spans="1:29" ht="15">
      <c r="A41" s="574"/>
      <c r="B41" s="582">
        <v>111</v>
      </c>
      <c r="C41" s="522">
        <v>111</v>
      </c>
      <c r="D41" s="520">
        <v>100</v>
      </c>
      <c r="E41" s="522">
        <v>222</v>
      </c>
      <c r="F41" s="520">
        <f>SUMIF(120:120,E41,121:121)-SUMIF(120:120,C41,121:121)+100</f>
        <v>98</v>
      </c>
      <c r="G41" s="522">
        <v>333</v>
      </c>
      <c r="H41" s="520">
        <f>SUMIF(120:120,G41,121:121)-SUMIF(120:120,C41,121:121)+100</f>
        <v>96</v>
      </c>
      <c r="I41" s="521">
        <v>444</v>
      </c>
      <c r="J41" s="520">
        <f>SUMIF(120:120,I41,121:121)-SUMIF(120:120,C41,121:121)+100</f>
        <v>94</v>
      </c>
      <c r="K41" s="561"/>
      <c r="L41" s="2122"/>
      <c r="M41" s="2114"/>
      <c r="N41" s="2114"/>
      <c r="O41" s="2121"/>
      <c r="P41" s="3437"/>
      <c r="Q41" s="1553">
        <f t="shared" si="14"/>
        <v>111</v>
      </c>
      <c r="R41" s="1554" t="s">
        <v>8</v>
      </c>
      <c r="S41" s="1555">
        <f t="shared" si="10"/>
        <v>98</v>
      </c>
      <c r="T41" s="1554" t="s">
        <v>8</v>
      </c>
      <c r="U41" s="1555">
        <f t="shared" si="11"/>
        <v>96</v>
      </c>
      <c r="V41" s="1554" t="s">
        <v>8</v>
      </c>
      <c r="W41" s="1555">
        <f t="shared" si="12"/>
        <v>94</v>
      </c>
      <c r="X41" s="1548"/>
      <c r="Y41" s="3437"/>
      <c r="Z41" s="1556">
        <f t="shared" si="13"/>
        <v>111</v>
      </c>
      <c r="AA41" s="1557">
        <f t="shared" si="3"/>
        <v>1.0204081632653061</v>
      </c>
      <c r="AB41" s="1557">
        <f t="shared" si="4"/>
        <v>1.0416666666666667</v>
      </c>
      <c r="AC41" s="1557">
        <f t="shared" si="5"/>
        <v>1.0638297872340425</v>
      </c>
    </row>
    <row r="42" spans="1:29" s="1324" customFormat="1" ht="15.75" thickBot="1">
      <c r="A42" s="583"/>
      <c r="B42" s="582">
        <v>111</v>
      </c>
      <c r="C42" s="584">
        <v>111</v>
      </c>
      <c r="D42" s="233">
        <v>100</v>
      </c>
      <c r="E42" s="522">
        <v>222</v>
      </c>
      <c r="F42" s="526">
        <f>SUMIF(122:122,E42,123:123)-SUMIF(122:122,C42,123:123)+100</f>
        <v>97</v>
      </c>
      <c r="G42" s="522">
        <v>333</v>
      </c>
      <c r="H42" s="526">
        <f>SUMIF(122:122,G42,123:123)-SUMIF(122:122,C42,123:123)+100</f>
        <v>94</v>
      </c>
      <c r="I42" s="521">
        <v>444</v>
      </c>
      <c r="J42" s="526">
        <f>SUMIF(122:122,I42,123:123)-SUMIF(122:122,C42,123:123)+100</f>
        <v>91</v>
      </c>
      <c r="K42" s="586"/>
      <c r="L42" s="2120"/>
      <c r="M42" s="2151"/>
      <c r="N42" s="2151"/>
      <c r="O42" s="2123"/>
      <c r="P42" s="3437"/>
      <c r="Q42" s="1553">
        <f t="shared" si="14"/>
        <v>111</v>
      </c>
      <c r="R42" s="1558" t="s">
        <v>8</v>
      </c>
      <c r="S42" s="1559">
        <f t="shared" si="10"/>
        <v>97</v>
      </c>
      <c r="T42" s="1558" t="s">
        <v>8</v>
      </c>
      <c r="U42" s="1559">
        <f t="shared" si="11"/>
        <v>94</v>
      </c>
      <c r="V42" s="1558" t="s">
        <v>8</v>
      </c>
      <c r="W42" s="1559">
        <f t="shared" si="12"/>
        <v>91</v>
      </c>
      <c r="X42" s="1560"/>
      <c r="Y42" s="3437"/>
      <c r="Z42" s="1561">
        <f t="shared" si="13"/>
        <v>111</v>
      </c>
      <c r="AA42" s="1557">
        <f t="shared" si="3"/>
        <v>1.0309278350515463</v>
      </c>
      <c r="AB42" s="1557">
        <f t="shared" si="4"/>
        <v>1.0638297872340425</v>
      </c>
      <c r="AC42" s="1557">
        <f t="shared" si="5"/>
        <v>1.098901098901099</v>
      </c>
    </row>
    <row r="43" spans="1:29" ht="15">
      <c r="A43" s="587" t="s">
        <v>552</v>
      </c>
      <c r="B43" s="588" t="s">
        <v>2297</v>
      </c>
      <c r="C43" s="589" t="s">
        <v>1</v>
      </c>
      <c r="D43" s="590"/>
      <c r="E43" s="591">
        <v>5000</v>
      </c>
      <c r="F43" s="592"/>
      <c r="G43" s="593">
        <v>4250</v>
      </c>
      <c r="H43" s="594"/>
      <c r="I43" s="591">
        <v>5100</v>
      </c>
      <c r="J43" s="594"/>
      <c r="K43" s="1325"/>
      <c r="L43" s="2124"/>
      <c r="M43" s="2114"/>
      <c r="N43" s="2114"/>
      <c r="O43" s="2125"/>
      <c r="P43" s="3396" t="str">
        <f>A43</f>
        <v>成交单价</v>
      </c>
      <c r="Q43" s="3396"/>
      <c r="R43" s="3397">
        <f>E43</f>
        <v>5000</v>
      </c>
      <c r="S43" s="3397"/>
      <c r="T43" s="3397">
        <f>G43</f>
        <v>4250</v>
      </c>
      <c r="U43" s="3397"/>
      <c r="V43" s="3397">
        <f>I43</f>
        <v>5100</v>
      </c>
      <c r="W43" s="3397"/>
      <c r="X43" s="1540"/>
      <c r="Y43" s="1562"/>
      <c r="Z43" s="1540"/>
      <c r="AA43" s="1540"/>
      <c r="AB43" s="1540"/>
      <c r="AC43" s="1540"/>
    </row>
    <row r="44" spans="1:29" ht="15.75" thickBot="1">
      <c r="A44" s="595" t="s">
        <v>2972</v>
      </c>
      <c r="B44" s="596"/>
      <c r="C44" s="597" t="e">
        <f>R45</f>
        <v>#DIV/0!</v>
      </c>
      <c r="D44" s="598"/>
      <c r="E44" s="597">
        <f>R44</f>
        <v>6556</v>
      </c>
      <c r="F44" s="599"/>
      <c r="G44" s="600" t="e">
        <f>T44</f>
        <v>#DIV/0!</v>
      </c>
      <c r="H44" s="598"/>
      <c r="I44" s="597">
        <f>V44</f>
        <v>10395</v>
      </c>
      <c r="J44" s="598"/>
      <c r="K44" s="1326"/>
      <c r="L44" s="2124"/>
      <c r="M44" s="2114"/>
      <c r="N44" s="2114"/>
      <c r="O44" s="2125"/>
      <c r="P44" s="3396" t="str">
        <f>A44</f>
        <v>比较价格（元/平方米）</v>
      </c>
      <c r="Q44" s="3396"/>
      <c r="R44" s="3398">
        <f>ROUND(PRODUCT(R43,AA9:AA42),0)</f>
        <v>6556</v>
      </c>
      <c r="S44" s="3398"/>
      <c r="T44" s="3398" t="e">
        <f>ROUND(PRODUCT(T43,AB9:AB42),0)</f>
        <v>#DIV/0!</v>
      </c>
      <c r="U44" s="3398"/>
      <c r="V44" s="3398">
        <f>ROUND(PRODUCT(V43,AC9:AC42),0)</f>
        <v>10395</v>
      </c>
      <c r="W44" s="3398"/>
      <c r="X44" s="1540"/>
      <c r="Y44" s="1540"/>
      <c r="Z44" s="1540"/>
      <c r="AA44" s="1540"/>
      <c r="AB44" s="1540"/>
      <c r="AC44" s="1540"/>
    </row>
    <row r="45" spans="1:29" ht="15.75" thickBot="1">
      <c r="A45" s="601" t="s">
        <v>2973</v>
      </c>
      <c r="B45" s="602"/>
      <c r="C45" s="603" t="e">
        <f>R45</f>
        <v>#DIV/0!</v>
      </c>
      <c r="D45" s="603"/>
      <c r="E45" s="603"/>
      <c r="F45" s="603"/>
      <c r="G45" s="603"/>
      <c r="H45" s="603"/>
      <c r="I45" s="603"/>
      <c r="J45" s="603"/>
      <c r="K45" s="1327"/>
      <c r="L45" s="2124"/>
      <c r="M45" s="2114"/>
      <c r="N45" s="2114"/>
      <c r="O45" s="2125"/>
      <c r="P45" s="3393" t="str">
        <f>A45</f>
        <v>估价对象XX用房的比较价格（楼面单价，元/平方米）</v>
      </c>
      <c r="Q45" s="3394"/>
      <c r="R45" s="3395" t="e">
        <f>ROUND(AVERAGE(R44:V44),0)</f>
        <v>#DIV/0!</v>
      </c>
      <c r="S45" s="3395"/>
      <c r="T45" s="3395"/>
      <c r="U45" s="3395"/>
      <c r="V45" s="3395"/>
      <c r="W45" s="3395"/>
      <c r="X45" s="1540"/>
      <c r="Y45" s="1540"/>
      <c r="Z45" s="1540"/>
      <c r="AA45" s="1540"/>
      <c r="AB45" s="1540"/>
      <c r="AC45" s="1540"/>
    </row>
    <row r="46" spans="1:29">
      <c r="A46" s="2125"/>
      <c r="B46" s="2125"/>
      <c r="C46" s="2125"/>
      <c r="D46" s="2125"/>
      <c r="E46" s="2125"/>
      <c r="F46" s="2125"/>
      <c r="G46" s="2128"/>
      <c r="H46" s="2125"/>
      <c r="I46" s="2125"/>
      <c r="J46" s="2125"/>
      <c r="K46" s="2129"/>
      <c r="L46" s="2130"/>
      <c r="M46" s="2114"/>
      <c r="N46" s="2114"/>
      <c r="O46" s="2125"/>
      <c r="P46" s="1540"/>
      <c r="Q46" s="1540"/>
      <c r="R46" s="1540"/>
      <c r="S46" s="1540"/>
      <c r="T46" s="1540"/>
      <c r="U46" s="1540"/>
      <c r="V46" s="1540"/>
      <c r="W46" s="1540"/>
      <c r="X46" s="1540"/>
      <c r="Y46" s="1540"/>
      <c r="Z46" s="1540"/>
      <c r="AA46" s="1540"/>
      <c r="AB46" s="1540"/>
      <c r="AC46" s="1540"/>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04" t="s">
        <v>553</v>
      </c>
      <c r="D48" s="605"/>
      <c r="E48" s="606">
        <f>IF(E43&lt;E44,E44/E43-1,E43/E44-1)</f>
        <v>0.31119999999999992</v>
      </c>
      <c r="F48" s="607" t="str">
        <f>IF(OR(E48&gt;=0.3,E48&lt;=-0.3),"超过30%","")</f>
        <v>超过30%</v>
      </c>
      <c r="G48" s="606" t="e">
        <f>IF(G43&lt;G44,G44/G43-1,G43/G44-1)</f>
        <v>#DIV/0!</v>
      </c>
      <c r="H48" s="607" t="e">
        <f>IF(OR(G48&gt;=0.3,G48&lt;=-0.3),"超过30%","")</f>
        <v>#DIV/0!</v>
      </c>
      <c r="I48" s="606">
        <f>IF(I43&lt;I44,I44/I43-1,I43/I44-1)</f>
        <v>1.0382352941176469</v>
      </c>
      <c r="J48" s="607" t="str">
        <f>IF(OR(I48&gt;=0.3,I48&lt;=-0.3),"超过30%","")</f>
        <v>超过30%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04" t="s">
        <v>554</v>
      </c>
      <c r="D49" s="608"/>
      <c r="E49" s="606" t="e">
        <f>IF(E44&lt;G44,G44/E44-1,E44/G44-1)</f>
        <v>#DIV/0!</v>
      </c>
      <c r="F49" s="607" t="e">
        <f>IF(OR(E49&gt;=0.2,E49&lt;=-0.2),"超过20%","")</f>
        <v>#DIV/0!</v>
      </c>
      <c r="G49" s="606" t="e">
        <f>IF(G44&lt;I44,I44/G44-1,G44/I44-1)</f>
        <v>#DIV/0!</v>
      </c>
      <c r="H49" s="607" t="e">
        <f>IF(OR(G49&gt;=0.2,G49&lt;=-0.2),"超过20%","")</f>
        <v>#DIV/0!</v>
      </c>
      <c r="I49" s="606">
        <f>IF(I44&lt;E44,E44/I44-1,I44/E44-1)</f>
        <v>0.58557046979865768</v>
      </c>
      <c r="J49" s="607" t="str">
        <f>IF(OR(I49&gt;=0.2,I49&lt;=-0.2),"超过20%","")</f>
        <v>超过20%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0" customFormat="1" ht="13.5" customHeight="1">
      <c r="A50" s="2126"/>
      <c r="B50" s="2126"/>
      <c r="C50" s="604" t="s">
        <v>555</v>
      </c>
      <c r="D50" s="608"/>
      <c r="E50" s="606">
        <f>IF(E43&lt;G43,G43/E43-1,E43/G43-1)</f>
        <v>0.17647058823529416</v>
      </c>
      <c r="F50" s="607" t="str">
        <f>IF(OR(E50&gt;=0.3,E50&lt;=-0.3),"超过30%","")</f>
        <v/>
      </c>
      <c r="G50" s="606">
        <f>IF(G43&lt;I43,I43/G43-1,G43/I43-1)</f>
        <v>0.19999999999999996</v>
      </c>
      <c r="H50" s="607" t="str">
        <f>IF(OR(G50&gt;=0.3,G50&lt;=-0.3),"超过30%","")</f>
        <v/>
      </c>
      <c r="I50" s="606">
        <f>IF(I43&lt;E43,E43/I43-1,I43/E43-1)</f>
        <v>2.0000000000000018E-2</v>
      </c>
      <c r="J50" s="607" t="str">
        <f>IF(OR(I50&gt;=0.3,I50&lt;=-0.3),"超过30%","")</f>
        <v/>
      </c>
      <c r="K50" s="2132"/>
      <c r="L50" s="2133"/>
      <c r="M50" s="2126"/>
      <c r="N50" s="2126"/>
      <c r="O50" s="2126"/>
      <c r="P50" s="2126"/>
      <c r="Q50" s="2126"/>
      <c r="R50" s="2126"/>
      <c r="S50" s="2126"/>
      <c r="T50" s="2126"/>
      <c r="U50" s="2126"/>
      <c r="V50" s="2126"/>
      <c r="W50" s="2126"/>
      <c r="X50" s="2126"/>
      <c r="Y50" s="2126"/>
      <c r="Z50" s="2126"/>
      <c r="AA50" s="2126"/>
      <c r="AB50" s="2126"/>
      <c r="AC50" s="2126"/>
    </row>
    <row r="51" spans="1:29" s="1330"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09" t="s">
        <v>556</v>
      </c>
      <c r="B52" s="610" t="s">
        <v>557</v>
      </c>
      <c r="C52" s="1541" t="s">
        <v>1936</v>
      </c>
      <c r="D52" s="2207" t="s">
        <v>2521</v>
      </c>
      <c r="E52" s="611" t="s">
        <v>558</v>
      </c>
      <c r="F52" s="1926" t="s">
        <v>559</v>
      </c>
      <c r="G52" s="3448" t="s">
        <v>2512</v>
      </c>
      <c r="H52" s="3449"/>
      <c r="I52" s="1927" t="s">
        <v>2164</v>
      </c>
      <c r="J52" s="1536">
        <f>项目基本情况!F41</f>
        <v>0</v>
      </c>
      <c r="K52" s="2134" t="s">
        <v>1935</v>
      </c>
      <c r="L52" s="2130"/>
      <c r="M52" s="2125"/>
      <c r="N52" s="2125"/>
      <c r="O52" s="2125"/>
      <c r="P52" s="2125"/>
      <c r="Q52" s="2125"/>
      <c r="R52" s="2125"/>
      <c r="S52" s="2125"/>
      <c r="T52" s="2125"/>
      <c r="U52" s="2125"/>
      <c r="V52" s="2125"/>
      <c r="W52" s="2125"/>
      <c r="X52" s="2125"/>
      <c r="Y52" s="2125"/>
      <c r="Z52" s="2125"/>
      <c r="AA52" s="2125"/>
      <c r="AB52" s="2125"/>
      <c r="AC52" s="2125"/>
    </row>
    <row r="53" spans="1:29" s="1331" customFormat="1" ht="12.75">
      <c r="A53" s="613" t="s">
        <v>560</v>
      </c>
      <c r="B53" s="614" t="e">
        <f>C45</f>
        <v>#DIV/0!</v>
      </c>
      <c r="C53" s="615">
        <v>1</v>
      </c>
      <c r="D53" s="2208">
        <v>1</v>
      </c>
      <c r="E53" s="615">
        <f>'数据-汇总表'!E8+'数据-汇总表'!E9</f>
        <v>328085.98000000004</v>
      </c>
      <c r="F53" s="1925" t="e">
        <f t="shared" ref="F53:F62" si="15">ROUND(B53*E53/10000,0)</f>
        <v>#DIV/0!</v>
      </c>
      <c r="G53" s="3450"/>
      <c r="H53" s="3451"/>
      <c r="I53" s="1928">
        <v>1</v>
      </c>
      <c r="J53" s="1537">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1" customFormat="1" ht="12.75">
      <c r="A54" s="617" t="s">
        <v>561</v>
      </c>
      <c r="B54" s="618" t="e">
        <f>ROUND($C$45*C54*D54,0)</f>
        <v>#DIV/0!</v>
      </c>
      <c r="C54" s="358">
        <f t="shared" ref="C54:C62" si="16">IF($C$52="北京市系数",I54,J54)</f>
        <v>0.6</v>
      </c>
      <c r="D54" s="2209">
        <v>0.25</v>
      </c>
      <c r="E54" s="619">
        <v>9.09</v>
      </c>
      <c r="F54" s="1925" t="e">
        <f t="shared" si="15"/>
        <v>#DIV/0!</v>
      </c>
      <c r="G54" s="3452" t="s">
        <v>2513</v>
      </c>
      <c r="H54" s="1929" t="str">
        <f>项目基本情况!B43</f>
        <v>八级</v>
      </c>
      <c r="I54" s="1928">
        <f>SUMIF(修正!$A$45:$A$56,H54,修正!B45:B56)</f>
        <v>0.6</v>
      </c>
      <c r="J54" s="1539"/>
      <c r="K54" s="2135"/>
      <c r="L54" s="2135"/>
      <c r="M54" s="2135"/>
      <c r="N54" s="2135"/>
      <c r="O54" s="2135"/>
      <c r="P54" s="2135"/>
      <c r="Q54" s="2135"/>
      <c r="R54" s="2135"/>
      <c r="S54" s="2135"/>
      <c r="T54" s="2135"/>
      <c r="U54" s="2135"/>
      <c r="V54" s="2135"/>
      <c r="W54" s="2135"/>
      <c r="X54" s="2135"/>
      <c r="Y54" s="2135"/>
      <c r="Z54" s="2135"/>
      <c r="AA54" s="2135"/>
      <c r="AB54" s="2135"/>
      <c r="AC54" s="2135"/>
    </row>
    <row r="55" spans="1:29" s="1331" customFormat="1" ht="12.75">
      <c r="A55" s="617" t="s">
        <v>562</v>
      </c>
      <c r="B55" s="618" t="e">
        <f t="shared" ref="B55:B62" si="17">ROUND($C$45*C55*D55,0)</f>
        <v>#DIV/0!</v>
      </c>
      <c r="C55" s="358">
        <f t="shared" si="16"/>
        <v>0.3</v>
      </c>
      <c r="D55" s="2209">
        <v>0.25</v>
      </c>
      <c r="E55" s="619">
        <v>0</v>
      </c>
      <c r="F55" s="1925" t="e">
        <f t="shared" si="15"/>
        <v>#DIV/0!</v>
      </c>
      <c r="G55" s="3452"/>
      <c r="H55" s="1930" t="str">
        <f>项目基本情况!B43</f>
        <v>八级</v>
      </c>
      <c r="I55" s="1928">
        <f>SUMIF(修正!$A$45:$A$56,H55,修正!C45:C56)</f>
        <v>0.3</v>
      </c>
      <c r="J55" s="1539"/>
      <c r="K55" s="2135"/>
      <c r="L55" s="2135"/>
      <c r="M55" s="2135"/>
      <c r="N55" s="2135"/>
      <c r="O55" s="2135"/>
      <c r="P55" s="2135"/>
      <c r="Q55" s="2135"/>
      <c r="R55" s="2135"/>
      <c r="S55" s="2135"/>
      <c r="T55" s="2135"/>
      <c r="U55" s="2135"/>
      <c r="V55" s="2135"/>
      <c r="W55" s="2135"/>
      <c r="X55" s="2135"/>
      <c r="Y55" s="2135"/>
      <c r="Z55" s="2135"/>
      <c r="AA55" s="2135"/>
      <c r="AB55" s="2135"/>
      <c r="AC55" s="2135"/>
    </row>
    <row r="56" spans="1:29" s="1331" customFormat="1" ht="12.75">
      <c r="A56" s="617" t="s">
        <v>563</v>
      </c>
      <c r="B56" s="618" t="e">
        <f t="shared" si="17"/>
        <v>#DIV/0!</v>
      </c>
      <c r="C56" s="358">
        <f t="shared" si="16"/>
        <v>0.2</v>
      </c>
      <c r="D56" s="2209">
        <v>0.25</v>
      </c>
      <c r="E56" s="619">
        <v>0</v>
      </c>
      <c r="F56" s="1925" t="e">
        <f t="shared" si="15"/>
        <v>#DIV/0!</v>
      </c>
      <c r="G56" s="3452"/>
      <c r="H56" s="1930" t="str">
        <f>项目基本情况!B43</f>
        <v>八级</v>
      </c>
      <c r="I56" s="1928">
        <f>SUMIF(修正!$A$45:$A$56,H56,修正!D45:D56)</f>
        <v>0.2</v>
      </c>
      <c r="J56" s="1539"/>
      <c r="K56" s="2135"/>
      <c r="L56" s="2135"/>
      <c r="M56" s="2135"/>
      <c r="N56" s="2135"/>
      <c r="O56" s="2135"/>
      <c r="P56" s="2135"/>
      <c r="Q56" s="2135"/>
      <c r="R56" s="2135"/>
      <c r="S56" s="2135"/>
      <c r="T56" s="2135"/>
      <c r="U56" s="2135"/>
      <c r="V56" s="2135"/>
      <c r="W56" s="2135"/>
      <c r="X56" s="2135"/>
      <c r="Y56" s="2135"/>
      <c r="Z56" s="2135"/>
      <c r="AA56" s="2135"/>
      <c r="AB56" s="2135"/>
      <c r="AC56" s="2135"/>
    </row>
    <row r="57" spans="1:29" s="1331" customFormat="1" ht="12.75">
      <c r="A57" s="617" t="s">
        <v>564</v>
      </c>
      <c r="B57" s="618" t="e">
        <f t="shared" si="17"/>
        <v>#DIV/0!</v>
      </c>
      <c r="C57" s="358">
        <f t="shared" si="16"/>
        <v>0.2</v>
      </c>
      <c r="D57" s="2209">
        <v>0.25</v>
      </c>
      <c r="E57" s="619">
        <v>0</v>
      </c>
      <c r="F57" s="1925" t="e">
        <f t="shared" si="15"/>
        <v>#DIV/0!</v>
      </c>
      <c r="G57" s="3452"/>
      <c r="H57" s="1930" t="str">
        <f>项目基本情况!B43</f>
        <v>八级</v>
      </c>
      <c r="I57" s="1928">
        <f>SUMIF(修正!$A$45:$A$56,H57,修正!E45:E56)</f>
        <v>0.2</v>
      </c>
      <c r="J57" s="1539"/>
      <c r="K57" s="2135"/>
      <c r="L57" s="2135"/>
      <c r="M57" s="2135"/>
      <c r="N57" s="2135"/>
      <c r="O57" s="2135"/>
      <c r="P57" s="2135"/>
      <c r="Q57" s="2135"/>
      <c r="R57" s="2135"/>
      <c r="S57" s="2135"/>
      <c r="T57" s="2135"/>
      <c r="U57" s="2135"/>
      <c r="V57" s="2135"/>
      <c r="W57" s="2135"/>
      <c r="X57" s="2135"/>
      <c r="Y57" s="2135"/>
      <c r="Z57" s="2135"/>
      <c r="AA57" s="2135"/>
      <c r="AB57" s="2135"/>
      <c r="AC57" s="2135"/>
    </row>
    <row r="58" spans="1:29" s="1331" customFormat="1" ht="12.75">
      <c r="A58" s="2312" t="s">
        <v>2562</v>
      </c>
      <c r="B58" s="618" t="e">
        <f t="shared" si="17"/>
        <v>#DIV/0!</v>
      </c>
      <c r="C58" s="358">
        <f t="shared" si="16"/>
        <v>0.2</v>
      </c>
      <c r="D58" s="2209">
        <v>0.25</v>
      </c>
      <c r="E58" s="621">
        <f>'数据-汇总表'!E11</f>
        <v>0</v>
      </c>
      <c r="F58" s="1925" t="e">
        <f t="shared" si="15"/>
        <v>#DIV/0!</v>
      </c>
      <c r="G58" s="1931" t="s">
        <v>2514</v>
      </c>
      <c r="H58" s="1930" t="str">
        <f>项目基本情况!C43</f>
        <v>八级</v>
      </c>
      <c r="I58" s="1928">
        <f>SUMIF(修正!$A$45:$A$56,H58,修正!F45:F56)</f>
        <v>0.2</v>
      </c>
      <c r="J58" s="1539"/>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17" t="s">
        <v>565</v>
      </c>
      <c r="B59" s="618" t="e">
        <f t="shared" si="17"/>
        <v>#DIV/0!</v>
      </c>
      <c r="C59" s="358">
        <f t="shared" si="16"/>
        <v>0.2</v>
      </c>
      <c r="D59" s="2209">
        <v>0.25</v>
      </c>
      <c r="E59" s="621">
        <f>'数据-汇总表'!E12</f>
        <v>0</v>
      </c>
      <c r="F59" s="1925" t="e">
        <f t="shared" si="15"/>
        <v>#DIV/0!</v>
      </c>
      <c r="G59" s="1921" t="s">
        <v>1887</v>
      </c>
      <c r="H59" s="1929" t="str">
        <f>IF(G59="商业",项目基本情况!B43,IF(G59="办公",项目基本情况!C43,IF(G59="住宅",项目基本情况!D43,项目基本情况!E43)))</f>
        <v>八级</v>
      </c>
      <c r="I59" s="1928">
        <f>SUMIF(修正!$A$45:$A$56,H59,修正!G45:G56)</f>
        <v>0.2</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17" t="s">
        <v>566</v>
      </c>
      <c r="B60" s="618" t="e">
        <f t="shared" si="17"/>
        <v>#DIV/0!</v>
      </c>
      <c r="C60" s="358">
        <f t="shared" si="16"/>
        <v>0.15</v>
      </c>
      <c r="D60" s="2209">
        <v>0.25</v>
      </c>
      <c r="E60" s="621">
        <f>'数据-汇总表'!E13</f>
        <v>95982.26999999999</v>
      </c>
      <c r="F60" s="1925" t="e">
        <f t="shared" si="15"/>
        <v>#DIV/0!</v>
      </c>
      <c r="G60" s="1921" t="s">
        <v>1117</v>
      </c>
      <c r="H60" s="1929" t="str">
        <f>IF(G60="商业",项目基本情况!B43,IF(G60="办公",项目基本情况!C43,IF(G60="住宅",项目基本情况!D43,项目基本情况!E43)))</f>
        <v>八级</v>
      </c>
      <c r="I60" s="1928">
        <f>SUMIF(修正!$A$45:$A$56,H60,修正!H45:H56)</f>
        <v>0.15</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17" t="s">
        <v>567</v>
      </c>
      <c r="B61" s="618" t="e">
        <f t="shared" si="17"/>
        <v>#DIV/0!</v>
      </c>
      <c r="C61" s="358">
        <f t="shared" si="16"/>
        <v>0.15</v>
      </c>
      <c r="D61" s="2209">
        <v>0.25</v>
      </c>
      <c r="E61" s="621">
        <f>'数据-汇总表'!E14</f>
        <v>0</v>
      </c>
      <c r="F61" s="1925" t="e">
        <f t="shared" si="15"/>
        <v>#DIV/0!</v>
      </c>
      <c r="G61" s="1931" t="s">
        <v>2513</v>
      </c>
      <c r="H61" s="1930" t="str">
        <f>项目基本情况!B43</f>
        <v>八级</v>
      </c>
      <c r="I61" s="1928">
        <f>SUMIF(修正!$A$45:$A$56,H61,修正!H45:H56)</f>
        <v>0.15</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3.5" thickBot="1">
      <c r="A62" s="617" t="s">
        <v>568</v>
      </c>
      <c r="B62" s="618" t="e">
        <f t="shared" si="17"/>
        <v>#DIV/0!</v>
      </c>
      <c r="C62" s="358">
        <f t="shared" si="16"/>
        <v>0.15</v>
      </c>
      <c r="D62" s="2209">
        <v>0.25</v>
      </c>
      <c r="E62" s="621">
        <f>'数据-汇总表'!E15</f>
        <v>0</v>
      </c>
      <c r="F62" s="1925" t="e">
        <f t="shared" si="15"/>
        <v>#DIV/0!</v>
      </c>
      <c r="G62" s="1932" t="s">
        <v>2514</v>
      </c>
      <c r="H62" s="1933" t="str">
        <f>项目基本情况!C43</f>
        <v>八级</v>
      </c>
      <c r="I62" s="1928">
        <f>SUMIF(修正!$A$45:$A$56,H62,修正!H45:H56)</f>
        <v>0.15</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3.5" thickBot="1">
      <c r="A63" s="622" t="s">
        <v>569</v>
      </c>
      <c r="B63" s="623" t="s">
        <v>17</v>
      </c>
      <c r="C63" s="623" t="s">
        <v>18</v>
      </c>
      <c r="D63" s="623" t="s">
        <v>2522</v>
      </c>
      <c r="E63" s="623">
        <f>IF(B43="楼面地价",SUM(E53:E62),'数据-汇总表'!D3)</f>
        <v>424077.34000000008</v>
      </c>
      <c r="F63" s="624"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818" t="str">
        <f>YEAR(C9)&amp;"-"&amp;MONTH(C9)&amp;"-1"</f>
        <v>2017-6-1</v>
      </c>
      <c r="D65" s="2817">
        <f>EDATE(C65,-3)</f>
        <v>42795</v>
      </c>
      <c r="E65" s="2817">
        <f t="shared" ref="E65:N65" si="18">EDATE(D65,-3)</f>
        <v>42705</v>
      </c>
      <c r="F65" s="2817">
        <f t="shared" si="18"/>
        <v>42614</v>
      </c>
      <c r="G65" s="2817">
        <f t="shared" si="18"/>
        <v>42522</v>
      </c>
      <c r="H65" s="2817">
        <f t="shared" si="18"/>
        <v>42430</v>
      </c>
      <c r="I65" s="2817">
        <f t="shared" si="18"/>
        <v>42339</v>
      </c>
      <c r="J65" s="2817">
        <f t="shared" si="18"/>
        <v>42248</v>
      </c>
      <c r="K65" s="2817">
        <f t="shared" si="18"/>
        <v>42156</v>
      </c>
      <c r="L65" s="2817">
        <f t="shared" si="18"/>
        <v>42064</v>
      </c>
      <c r="M65" s="2817">
        <f t="shared" si="18"/>
        <v>41974</v>
      </c>
      <c r="N65" s="2817">
        <f t="shared" si="18"/>
        <v>41883</v>
      </c>
      <c r="O65" s="2125"/>
      <c r="P65" s="2125"/>
      <c r="Q65" s="2125"/>
      <c r="R65" s="2125"/>
      <c r="S65" s="2125"/>
      <c r="T65" s="2125"/>
      <c r="U65" s="2125"/>
      <c r="V65" s="2125"/>
      <c r="W65" s="2125"/>
      <c r="X65" s="2125"/>
      <c r="Y65" s="2125"/>
      <c r="Z65" s="2125"/>
      <c r="AA65" s="2125"/>
      <c r="AB65" s="2125"/>
      <c r="AC65" s="2125"/>
    </row>
    <row r="66" spans="1:29" ht="21.75" thickBot="1">
      <c r="A66" s="1565" t="s">
        <v>570</v>
      </c>
      <c r="B66" s="1540"/>
      <c r="C66" s="1564"/>
      <c r="D66" s="1564"/>
      <c r="E66" s="1564"/>
      <c r="F66" s="1566"/>
      <c r="G66" s="1566"/>
      <c r="H66" s="1564"/>
      <c r="I66" s="1564"/>
      <c r="J66" s="1564"/>
      <c r="K66" s="1567"/>
      <c r="L66" s="1563"/>
      <c r="M66" s="1564"/>
      <c r="N66" s="1564"/>
      <c r="O66" s="2137"/>
      <c r="P66" s="2137"/>
      <c r="Q66" s="2138"/>
      <c r="R66" s="2125"/>
      <c r="S66" s="2125"/>
      <c r="T66" s="2125"/>
      <c r="U66" s="2125"/>
      <c r="V66" s="2125"/>
      <c r="W66" s="2125"/>
      <c r="X66" s="2125"/>
      <c r="Y66" s="2125"/>
      <c r="Z66" s="2125"/>
      <c r="AA66" s="2125"/>
      <c r="AB66" s="2125"/>
      <c r="AC66" s="2125"/>
    </row>
    <row r="67" spans="1:29" s="1332" customFormat="1" ht="15">
      <c r="A67" s="2580" t="s">
        <v>2798</v>
      </c>
      <c r="B67" s="626"/>
      <c r="C67" s="2812" t="str">
        <f>YEAR(C65)&amp;"-"&amp;ROUNDUP(MONTH(C65)/3,0)</f>
        <v>2017-2</v>
      </c>
      <c r="D67" s="2819" t="str">
        <f t="shared" ref="D67:N67" si="19">YEAR(D65)&amp;"-"&amp;ROUNDUP(MONTH(D65)/3,0)</f>
        <v>2017-1</v>
      </c>
      <c r="E67" s="2819" t="str">
        <f t="shared" si="19"/>
        <v>2016-4</v>
      </c>
      <c r="F67" s="2819" t="str">
        <f t="shared" si="19"/>
        <v>2016-3</v>
      </c>
      <c r="G67" s="2819" t="str">
        <f t="shared" si="19"/>
        <v>2016-2</v>
      </c>
      <c r="H67" s="2819" t="str">
        <f t="shared" si="19"/>
        <v>2016-1</v>
      </c>
      <c r="I67" s="2819" t="str">
        <f t="shared" si="19"/>
        <v>2015-4</v>
      </c>
      <c r="J67" s="2819" t="str">
        <f t="shared" si="19"/>
        <v>2015-3</v>
      </c>
      <c r="K67" s="2819" t="str">
        <f t="shared" si="19"/>
        <v>2015-2</v>
      </c>
      <c r="L67" s="2819" t="str">
        <f t="shared" si="19"/>
        <v>2015-1</v>
      </c>
      <c r="M67" s="2819" t="str">
        <f t="shared" si="19"/>
        <v>2014-4</v>
      </c>
      <c r="N67" s="2819" t="str">
        <f t="shared" si="19"/>
        <v>2014-3</v>
      </c>
      <c r="O67" s="2139"/>
      <c r="P67" s="2140"/>
      <c r="Q67" s="2141"/>
      <c r="R67" s="2141"/>
      <c r="S67" s="2141"/>
      <c r="T67" s="2141"/>
      <c r="U67" s="2141"/>
      <c r="V67" s="2141"/>
      <c r="W67" s="2141"/>
      <c r="X67" s="2141"/>
      <c r="Y67" s="2141"/>
      <c r="Z67" s="2141"/>
      <c r="AA67" s="2141"/>
      <c r="AB67" s="2141"/>
      <c r="AC67" s="2141"/>
    </row>
    <row r="68" spans="1:29" s="1199" customFormat="1" ht="27.75" customHeight="1">
      <c r="A68" s="2816" t="s">
        <v>2925</v>
      </c>
      <c r="B68" s="459" t="str">
        <f>"北京市平均增长率"&amp;TEXT(基准地价!P24,"0.00%")</f>
        <v>北京市平均增长率1.34%</v>
      </c>
      <c r="C68" s="874">
        <v>100</v>
      </c>
      <c r="D68" s="710">
        <v>99.5</v>
      </c>
      <c r="E68" s="710">
        <v>99</v>
      </c>
      <c r="F68" s="710">
        <v>98.5</v>
      </c>
      <c r="G68" s="710">
        <v>98</v>
      </c>
      <c r="H68" s="710">
        <v>97.5</v>
      </c>
      <c r="I68" s="710">
        <v>97</v>
      </c>
      <c r="J68" s="710">
        <v>96.5</v>
      </c>
      <c r="K68" s="710">
        <v>96</v>
      </c>
      <c r="L68" s="710">
        <v>95.5</v>
      </c>
      <c r="M68" s="2810">
        <v>95</v>
      </c>
      <c r="N68" s="2811">
        <v>94.5</v>
      </c>
      <c r="O68" s="2142"/>
      <c r="P68" s="2138"/>
      <c r="Q68" s="1969"/>
      <c r="R68" s="1969"/>
      <c r="S68" s="1969"/>
      <c r="T68" s="1969"/>
      <c r="U68" s="1969"/>
      <c r="V68" s="1969"/>
      <c r="W68" s="1969"/>
      <c r="X68" s="1969"/>
      <c r="Y68" s="1969"/>
      <c r="Z68" s="1969"/>
      <c r="AA68" s="1969"/>
      <c r="AB68" s="1969"/>
      <c r="AC68" s="1969"/>
    </row>
    <row r="69" spans="1:29" s="1199" customFormat="1" ht="15.75" thickBot="1">
      <c r="A69" s="633" t="s">
        <v>571</v>
      </c>
      <c r="B69" s="634"/>
      <c r="C69" s="2808"/>
      <c r="D69" s="2809"/>
      <c r="E69" s="2809"/>
      <c r="F69" s="2809"/>
      <c r="G69" s="2809"/>
      <c r="H69" s="2809"/>
      <c r="I69" s="2809"/>
      <c r="J69" s="2809"/>
      <c r="K69" s="2809"/>
      <c r="L69" s="2809"/>
      <c r="M69" s="2809"/>
      <c r="N69" s="2809"/>
      <c r="O69" s="2142"/>
      <c r="P69" s="2138"/>
      <c r="Q69" s="2138"/>
      <c r="R69" s="1969"/>
      <c r="S69" s="1969"/>
      <c r="T69" s="1969"/>
      <c r="U69" s="1969"/>
      <c r="V69" s="1969"/>
      <c r="W69" s="1969"/>
      <c r="X69" s="1969"/>
      <c r="Y69" s="1969"/>
      <c r="Z69" s="1969"/>
      <c r="AA69" s="1969"/>
      <c r="AB69" s="1969"/>
      <c r="AC69" s="1969"/>
    </row>
    <row r="70" spans="1:29" s="1199" customFormat="1" ht="15">
      <c r="A70" s="639" t="s">
        <v>520</v>
      </c>
      <c r="B70" s="628"/>
      <c r="C70" s="640" t="s">
        <v>572</v>
      </c>
      <c r="D70" s="641" t="s">
        <v>573</v>
      </c>
      <c r="E70" s="641"/>
      <c r="F70" s="641"/>
      <c r="G70" s="641"/>
      <c r="H70" s="641"/>
      <c r="I70" s="641"/>
      <c r="J70" s="641"/>
      <c r="K70" s="641"/>
      <c r="L70" s="642"/>
      <c r="M70" s="643"/>
      <c r="N70" s="2142"/>
      <c r="O70" s="2142"/>
      <c r="P70" s="2143"/>
      <c r="Q70" s="2138"/>
      <c r="R70" s="1969"/>
      <c r="S70" s="1969"/>
      <c r="T70" s="1969"/>
      <c r="U70" s="1969"/>
      <c r="V70" s="1969"/>
      <c r="W70" s="1969"/>
      <c r="X70" s="1969"/>
      <c r="Y70" s="1969"/>
      <c r="Z70" s="1969"/>
      <c r="AA70" s="1969"/>
      <c r="AB70" s="1969"/>
      <c r="AC70" s="1969"/>
    </row>
    <row r="71" spans="1:29" s="1199" customFormat="1" ht="15.75" thickBot="1">
      <c r="A71" s="639"/>
      <c r="B71" s="628"/>
      <c r="C71" s="629">
        <v>100</v>
      </c>
      <c r="D71" s="630">
        <v>96</v>
      </c>
      <c r="E71" s="630"/>
      <c r="F71" s="630"/>
      <c r="G71" s="630"/>
      <c r="H71" s="630"/>
      <c r="I71" s="630"/>
      <c r="J71" s="630"/>
      <c r="K71" s="630"/>
      <c r="L71" s="630"/>
      <c r="M71" s="632"/>
      <c r="N71" s="2142"/>
      <c r="O71" s="2142"/>
      <c r="P71" s="2138"/>
      <c r="Q71" s="2138"/>
      <c r="R71" s="1969"/>
      <c r="S71" s="1969"/>
      <c r="T71" s="1969"/>
      <c r="U71" s="1969"/>
      <c r="V71" s="1969"/>
      <c r="W71" s="1969"/>
      <c r="X71" s="1969"/>
      <c r="Y71" s="1969"/>
      <c r="Z71" s="1969"/>
      <c r="AA71" s="1969"/>
      <c r="AB71" s="1969"/>
      <c r="AC71" s="1969"/>
    </row>
    <row r="72" spans="1:29">
      <c r="A72" s="644" t="s">
        <v>574</v>
      </c>
      <c r="B72" s="645" t="s">
        <v>523</v>
      </c>
      <c r="C72" s="578" t="s">
        <v>633</v>
      </c>
      <c r="D72" s="578" t="s">
        <v>634</v>
      </c>
      <c r="E72" s="578"/>
      <c r="F72" s="578"/>
      <c r="G72" s="578"/>
      <c r="H72" s="578"/>
      <c r="I72" s="578"/>
      <c r="J72" s="578"/>
      <c r="K72" s="646"/>
      <c r="L72" s="647"/>
      <c r="M72" s="648"/>
      <c r="N72" s="2144"/>
      <c r="O72" s="2144"/>
      <c r="P72" s="2145"/>
      <c r="Q72" s="2138"/>
      <c r="R72" s="2125"/>
      <c r="S72" s="2125"/>
      <c r="T72" s="2125"/>
      <c r="U72" s="2125"/>
      <c r="V72" s="2125"/>
      <c r="W72" s="2125"/>
      <c r="X72" s="2125"/>
      <c r="Y72" s="2125"/>
      <c r="Z72" s="2125"/>
      <c r="AA72" s="2125"/>
      <c r="AB72" s="2125"/>
      <c r="AC72" s="2125"/>
    </row>
    <row r="73" spans="1:29" ht="15.75" thickBot="1">
      <c r="A73" s="649"/>
      <c r="B73" s="650"/>
      <c r="C73" s="651">
        <v>100</v>
      </c>
      <c r="D73" s="651">
        <v>105</v>
      </c>
      <c r="E73" s="651"/>
      <c r="F73" s="651"/>
      <c r="G73" s="651"/>
      <c r="H73" s="651"/>
      <c r="I73" s="651"/>
      <c r="J73" s="651"/>
      <c r="K73" s="651"/>
      <c r="L73" s="651"/>
      <c r="M73" s="652"/>
      <c r="N73" s="2146"/>
      <c r="O73" s="2146"/>
      <c r="P73" s="2145"/>
      <c r="Q73" s="2138"/>
      <c r="R73" s="2125"/>
      <c r="S73" s="2125"/>
      <c r="T73" s="2125"/>
      <c r="U73" s="2125"/>
      <c r="V73" s="2125"/>
      <c r="W73" s="2125"/>
      <c r="X73" s="2125"/>
      <c r="Y73" s="2125"/>
      <c r="Z73" s="2125"/>
      <c r="AA73" s="2125"/>
      <c r="AB73" s="2125"/>
      <c r="AC73" s="2125"/>
    </row>
    <row r="74" spans="1:29" ht="27.75" thickTop="1">
      <c r="A74" s="649"/>
      <c r="B74" s="653" t="s">
        <v>526</v>
      </c>
      <c r="C74" s="654"/>
      <c r="D74" s="654"/>
      <c r="E74" s="654"/>
      <c r="F74" s="654"/>
      <c r="G74" s="654"/>
      <c r="H74" s="654"/>
      <c r="I74" s="654"/>
      <c r="J74" s="654"/>
      <c r="K74" s="655"/>
      <c r="L74" s="656"/>
      <c r="M74" s="657"/>
      <c r="N74" s="2144"/>
      <c r="O74" s="2144"/>
      <c r="P74" s="2145"/>
      <c r="Q74" s="2138"/>
      <c r="R74" s="2125"/>
      <c r="S74" s="2125"/>
      <c r="T74" s="2125"/>
      <c r="U74" s="2125"/>
      <c r="V74" s="2125"/>
      <c r="W74" s="2125"/>
      <c r="X74" s="2125"/>
      <c r="Y74" s="2125"/>
      <c r="Z74" s="2125"/>
      <c r="AA74" s="2125"/>
      <c r="AB74" s="2125"/>
      <c r="AC74" s="2125"/>
    </row>
    <row r="75" spans="1:29" ht="15.75" thickBot="1">
      <c r="A75" s="649"/>
      <c r="B75" s="658"/>
      <c r="C75" s="659"/>
      <c r="D75" s="659"/>
      <c r="E75" s="659"/>
      <c r="F75" s="659"/>
      <c r="G75" s="659"/>
      <c r="H75" s="659"/>
      <c r="I75" s="659"/>
      <c r="J75" s="659"/>
      <c r="K75" s="659"/>
      <c r="L75" s="659"/>
      <c r="M75" s="660"/>
      <c r="N75" s="2146"/>
      <c r="O75" s="2146"/>
      <c r="P75" s="2145"/>
      <c r="Q75" s="2138"/>
      <c r="R75" s="2125"/>
      <c r="S75" s="2125"/>
      <c r="T75" s="2125"/>
      <c r="U75" s="2125"/>
      <c r="V75" s="2125"/>
      <c r="W75" s="2125"/>
      <c r="X75" s="2125"/>
      <c r="Y75" s="2125"/>
      <c r="Z75" s="2125"/>
      <c r="AA75" s="2125"/>
      <c r="AB75" s="2125"/>
      <c r="AC75" s="2125"/>
    </row>
    <row r="76" spans="1:29" ht="15.75" thickTop="1">
      <c r="A76" s="649"/>
      <c r="B76" s="661" t="s">
        <v>527</v>
      </c>
      <c r="C76" s="662" t="str">
        <f>C77&amp;"（含）"&amp;"-"&amp;D77</f>
        <v>0（含）-1</v>
      </c>
      <c r="D76" s="662" t="str">
        <f t="shared" ref="D76:L76" si="20">D77&amp;"（含）"&amp;"-"&amp;E77</f>
        <v>1（含）-2</v>
      </c>
      <c r="E76" s="662" t="str">
        <f t="shared" si="20"/>
        <v>2（含）-3</v>
      </c>
      <c r="F76" s="662" t="str">
        <f t="shared" si="20"/>
        <v>3（含）-4</v>
      </c>
      <c r="G76" s="662" t="str">
        <f t="shared" si="20"/>
        <v>4（含）-5</v>
      </c>
      <c r="H76" s="662" t="str">
        <f t="shared" si="20"/>
        <v>5（含）-</v>
      </c>
      <c r="I76" s="662" t="str">
        <f t="shared" si="20"/>
        <v>（含）-</v>
      </c>
      <c r="J76" s="662" t="str">
        <f t="shared" si="20"/>
        <v>（含）-</v>
      </c>
      <c r="K76" s="662" t="str">
        <f t="shared" si="20"/>
        <v>（含）-</v>
      </c>
      <c r="L76" s="662" t="str">
        <f t="shared" si="20"/>
        <v>（含）-</v>
      </c>
      <c r="M76" s="535"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49"/>
      <c r="B77" s="663"/>
      <c r="C77" s="521">
        <v>0</v>
      </c>
      <c r="D77" s="521">
        <v>1</v>
      </c>
      <c r="E77" s="521">
        <v>2</v>
      </c>
      <c r="F77" s="521">
        <v>3</v>
      </c>
      <c r="G77" s="521">
        <v>4</v>
      </c>
      <c r="H77" s="521">
        <v>5</v>
      </c>
      <c r="I77" s="521"/>
      <c r="J77" s="521"/>
      <c r="K77" s="664"/>
      <c r="L77" s="665"/>
      <c r="M77" s="666"/>
      <c r="N77" s="2144"/>
      <c r="O77" s="2144"/>
      <c r="P77" s="2145"/>
      <c r="Q77" s="2138"/>
      <c r="R77" s="2125"/>
      <c r="S77" s="2125"/>
      <c r="T77" s="2125"/>
      <c r="U77" s="2125"/>
      <c r="V77" s="2125"/>
      <c r="W77" s="2125"/>
      <c r="X77" s="2125"/>
      <c r="Y77" s="2125"/>
      <c r="Z77" s="2125"/>
      <c r="AA77" s="2125"/>
      <c r="AB77" s="2125"/>
      <c r="AC77" s="2125"/>
    </row>
    <row r="78" spans="1:29" ht="15.75" thickBot="1">
      <c r="A78" s="649"/>
      <c r="B78" s="650"/>
      <c r="C78" s="659">
        <v>100</v>
      </c>
      <c r="D78" s="659">
        <f>IF($B$43="单位面积地价",C78+$K13,C78-$K13)</f>
        <v>97</v>
      </c>
      <c r="E78" s="659">
        <f t="shared" ref="E78:M78" si="21">IF($B$43="单位面积地价",D78+$K13,D78-$K13)</f>
        <v>94</v>
      </c>
      <c r="F78" s="659">
        <f t="shared" si="21"/>
        <v>91</v>
      </c>
      <c r="G78" s="659">
        <f t="shared" si="21"/>
        <v>88</v>
      </c>
      <c r="H78" s="659">
        <f t="shared" si="21"/>
        <v>85</v>
      </c>
      <c r="I78" s="659">
        <f t="shared" si="21"/>
        <v>82</v>
      </c>
      <c r="J78" s="659">
        <f t="shared" si="21"/>
        <v>79</v>
      </c>
      <c r="K78" s="659">
        <f t="shared" si="21"/>
        <v>76</v>
      </c>
      <c r="L78" s="659">
        <f t="shared" si="21"/>
        <v>73</v>
      </c>
      <c r="M78" s="659">
        <f t="shared" si="21"/>
        <v>70</v>
      </c>
      <c r="N78" s="2146"/>
      <c r="O78" s="2146"/>
      <c r="P78" s="2145"/>
      <c r="Q78" s="2138"/>
      <c r="R78" s="2125"/>
      <c r="S78" s="2125"/>
      <c r="T78" s="2125"/>
      <c r="U78" s="2125"/>
      <c r="V78" s="2125"/>
      <c r="W78" s="2125"/>
      <c r="X78" s="2125"/>
      <c r="Y78" s="2125"/>
      <c r="Z78" s="2125"/>
      <c r="AA78" s="2125"/>
      <c r="AB78" s="2125"/>
      <c r="AC78" s="2125"/>
    </row>
    <row r="79" spans="1:29" s="1324" customFormat="1" ht="15.75" thickTop="1">
      <c r="A79" s="667"/>
      <c r="B79" s="653">
        <f>B14</f>
        <v>111</v>
      </c>
      <c r="C79" s="668">
        <v>111</v>
      </c>
      <c r="D79" s="668">
        <v>222</v>
      </c>
      <c r="E79" s="668">
        <v>333</v>
      </c>
      <c r="F79" s="668">
        <v>444</v>
      </c>
      <c r="G79" s="668"/>
      <c r="H79" s="669"/>
      <c r="I79" s="669"/>
      <c r="J79" s="669"/>
      <c r="K79" s="669"/>
      <c r="L79" s="670"/>
      <c r="M79" s="671"/>
      <c r="N79" s="2147"/>
      <c r="O79" s="2147"/>
      <c r="P79" s="2148"/>
      <c r="Q79" s="2149"/>
      <c r="R79" s="2150"/>
      <c r="S79" s="2150"/>
      <c r="T79" s="2150"/>
      <c r="U79" s="2150"/>
      <c r="V79" s="2150"/>
      <c r="W79" s="2150"/>
      <c r="X79" s="2150"/>
      <c r="Y79" s="2150"/>
      <c r="Z79" s="2150"/>
      <c r="AA79" s="2150"/>
      <c r="AB79" s="2150"/>
      <c r="AC79" s="2150"/>
    </row>
    <row r="80" spans="1:29" s="1324" customFormat="1" ht="15.75" thickBot="1">
      <c r="A80" s="667"/>
      <c r="B80" s="658"/>
      <c r="C80" s="672">
        <v>100</v>
      </c>
      <c r="D80" s="651">
        <v>99</v>
      </c>
      <c r="E80" s="651">
        <v>98</v>
      </c>
      <c r="F80" s="651">
        <v>97</v>
      </c>
      <c r="G80" s="651"/>
      <c r="H80" s="651"/>
      <c r="I80" s="651"/>
      <c r="J80" s="651"/>
      <c r="K80" s="651"/>
      <c r="L80" s="651"/>
      <c r="M80" s="652"/>
      <c r="N80" s="2146"/>
      <c r="O80" s="2146"/>
      <c r="P80" s="2148"/>
      <c r="Q80" s="2149"/>
      <c r="R80" s="2150"/>
      <c r="S80" s="2150"/>
      <c r="T80" s="2150"/>
      <c r="U80" s="2150"/>
      <c r="V80" s="2150"/>
      <c r="W80" s="2150"/>
      <c r="X80" s="2150"/>
      <c r="Y80" s="2150"/>
      <c r="Z80" s="2150"/>
      <c r="AA80" s="2150"/>
      <c r="AB80" s="2150"/>
      <c r="AC80" s="2150"/>
    </row>
    <row r="81" spans="1:29" s="1324" customFormat="1" ht="15.75" thickTop="1">
      <c r="A81" s="667"/>
      <c r="B81" s="653">
        <f>B15</f>
        <v>111</v>
      </c>
      <c r="C81" s="668">
        <v>111</v>
      </c>
      <c r="D81" s="668">
        <v>222</v>
      </c>
      <c r="E81" s="668">
        <v>333</v>
      </c>
      <c r="F81" s="668">
        <v>444</v>
      </c>
      <c r="G81" s="668"/>
      <c r="H81" s="669"/>
      <c r="I81" s="669"/>
      <c r="J81" s="669"/>
      <c r="K81" s="669"/>
      <c r="L81" s="670"/>
      <c r="M81" s="671"/>
      <c r="N81" s="2147"/>
      <c r="O81" s="2147"/>
      <c r="P81" s="2151"/>
      <c r="Q81" s="2152"/>
      <c r="R81" s="2150"/>
      <c r="S81" s="2150"/>
      <c r="T81" s="2150"/>
      <c r="U81" s="2150"/>
      <c r="V81" s="2150"/>
      <c r="W81" s="2150"/>
      <c r="X81" s="2150"/>
      <c r="Y81" s="2150"/>
      <c r="Z81" s="2150"/>
      <c r="AA81" s="2150"/>
      <c r="AB81" s="2150"/>
      <c r="AC81" s="2150"/>
    </row>
    <row r="82" spans="1:29" s="1324" customFormat="1" ht="15.75" thickBot="1">
      <c r="A82" s="667"/>
      <c r="B82" s="658"/>
      <c r="C82" s="672">
        <v>100</v>
      </c>
      <c r="D82" s="672">
        <v>98</v>
      </c>
      <c r="E82" s="672">
        <v>96</v>
      </c>
      <c r="F82" s="672">
        <v>94</v>
      </c>
      <c r="G82" s="672"/>
      <c r="H82" s="673"/>
      <c r="I82" s="673"/>
      <c r="J82" s="673"/>
      <c r="K82" s="673"/>
      <c r="L82" s="673"/>
      <c r="M82" s="674"/>
      <c r="N82" s="2147"/>
      <c r="O82" s="2147"/>
      <c r="P82" s="2148"/>
      <c r="Q82" s="2149"/>
      <c r="R82" s="2150"/>
      <c r="S82" s="2150"/>
      <c r="T82" s="2150"/>
      <c r="U82" s="2150"/>
      <c r="V82" s="2150"/>
      <c r="W82" s="2150"/>
      <c r="X82" s="2150"/>
      <c r="Y82" s="2150"/>
      <c r="Z82" s="2150"/>
      <c r="AA82" s="2150"/>
      <c r="AB82" s="2150"/>
      <c r="AC82" s="2150"/>
    </row>
    <row r="83" spans="1:29" s="1324" customFormat="1" ht="15.75" thickTop="1">
      <c r="A83" s="667"/>
      <c r="B83" s="661">
        <f>B16</f>
        <v>111</v>
      </c>
      <c r="C83" s="641">
        <v>111</v>
      </c>
      <c r="D83" s="641">
        <v>222</v>
      </c>
      <c r="E83" s="641">
        <v>333</v>
      </c>
      <c r="F83" s="641">
        <v>444</v>
      </c>
      <c r="G83" s="641"/>
      <c r="H83" s="675"/>
      <c r="I83" s="675"/>
      <c r="J83" s="675"/>
      <c r="K83" s="675"/>
      <c r="L83" s="676"/>
      <c r="M83" s="677"/>
      <c r="N83" s="2147"/>
      <c r="O83" s="2147"/>
      <c r="P83" s="2153"/>
      <c r="Q83" s="2149"/>
      <c r="R83" s="2150"/>
      <c r="S83" s="2150"/>
      <c r="T83" s="2150"/>
      <c r="U83" s="2150"/>
      <c r="V83" s="2150"/>
      <c r="W83" s="2150"/>
      <c r="X83" s="2150"/>
      <c r="Y83" s="2150"/>
      <c r="Z83" s="2150"/>
      <c r="AA83" s="2150"/>
      <c r="AB83" s="2150"/>
      <c r="AC83" s="2150"/>
    </row>
    <row r="84" spans="1:29" s="1324" customFormat="1" ht="15.75" thickBot="1">
      <c r="A84" s="678"/>
      <c r="B84" s="679"/>
      <c r="C84" s="680">
        <v>100</v>
      </c>
      <c r="D84" s="680">
        <v>97</v>
      </c>
      <c r="E84" s="680">
        <v>94</v>
      </c>
      <c r="F84" s="680">
        <v>91</v>
      </c>
      <c r="G84" s="680"/>
      <c r="H84" s="681"/>
      <c r="I84" s="681"/>
      <c r="J84" s="681"/>
      <c r="K84" s="681"/>
      <c r="L84" s="681"/>
      <c r="M84" s="682"/>
      <c r="N84" s="2147"/>
      <c r="O84" s="2147"/>
      <c r="P84" s="2148"/>
      <c r="Q84" s="2149"/>
      <c r="R84" s="2150"/>
      <c r="S84" s="2150"/>
      <c r="T84" s="2150"/>
      <c r="U84" s="2150"/>
      <c r="V84" s="2150"/>
      <c r="W84" s="2150"/>
      <c r="X84" s="2150"/>
      <c r="Y84" s="2150"/>
      <c r="Z84" s="2150"/>
      <c r="AA84" s="2150"/>
      <c r="AB84" s="2150"/>
      <c r="AC84" s="2150"/>
    </row>
    <row r="85" spans="1:29">
      <c r="A85" s="644" t="s">
        <v>528</v>
      </c>
      <c r="B85" s="645" t="s">
        <v>635</v>
      </c>
      <c r="C85" s="683" t="s">
        <v>576</v>
      </c>
      <c r="D85" s="683" t="s">
        <v>577</v>
      </c>
      <c r="E85" s="683" t="s">
        <v>578</v>
      </c>
      <c r="F85" s="683" t="s">
        <v>579</v>
      </c>
      <c r="G85" s="683" t="s">
        <v>580</v>
      </c>
      <c r="H85" s="684"/>
      <c r="I85" s="684"/>
      <c r="J85" s="684"/>
      <c r="K85" s="685"/>
      <c r="L85" s="686"/>
      <c r="M85" s="687"/>
      <c r="N85" s="2144"/>
      <c r="O85" s="2144"/>
      <c r="P85" s="2154"/>
      <c r="Q85" s="2138"/>
      <c r="R85" s="2125"/>
      <c r="S85" s="2125"/>
      <c r="T85" s="2125"/>
      <c r="U85" s="2125"/>
      <c r="V85" s="2125"/>
      <c r="W85" s="2125"/>
      <c r="X85" s="2125"/>
      <c r="Y85" s="2125"/>
      <c r="Z85" s="2125"/>
      <c r="AA85" s="2125"/>
      <c r="AB85" s="2125"/>
      <c r="AC85" s="2125"/>
    </row>
    <row r="86" spans="1:29" ht="15.75" thickBot="1">
      <c r="A86" s="649"/>
      <c r="B86" s="658"/>
      <c r="C86" s="659">
        <v>100</v>
      </c>
      <c r="D86" s="659">
        <f>C86-$K17</f>
        <v>98</v>
      </c>
      <c r="E86" s="659">
        <f>D86-$K17</f>
        <v>96</v>
      </c>
      <c r="F86" s="659">
        <f>E86-$K17</f>
        <v>94</v>
      </c>
      <c r="G86" s="659">
        <f>F86-$K17</f>
        <v>92</v>
      </c>
      <c r="H86" s="659"/>
      <c r="I86" s="659"/>
      <c r="J86" s="659"/>
      <c r="K86" s="659"/>
      <c r="L86" s="659"/>
      <c r="M86" s="660"/>
      <c r="N86" s="2146"/>
      <c r="O86" s="2146"/>
      <c r="P86" s="2145"/>
      <c r="Q86" s="2138"/>
      <c r="R86" s="2125"/>
      <c r="S86" s="2125"/>
      <c r="T86" s="2125"/>
      <c r="U86" s="2125"/>
      <c r="V86" s="2125"/>
      <c r="W86" s="2125"/>
      <c r="X86" s="2125"/>
      <c r="Y86" s="2125"/>
      <c r="Z86" s="2125"/>
      <c r="AA86" s="2125"/>
      <c r="AB86" s="2125"/>
      <c r="AC86" s="2125"/>
    </row>
    <row r="87" spans="1:29" ht="15.75" thickTop="1">
      <c r="A87" s="649"/>
      <c r="B87" s="653" t="s">
        <v>583</v>
      </c>
      <c r="C87" s="688" t="s">
        <v>576</v>
      </c>
      <c r="D87" s="688" t="s">
        <v>577</v>
      </c>
      <c r="E87" s="688" t="s">
        <v>578</v>
      </c>
      <c r="F87" s="688" t="s">
        <v>579</v>
      </c>
      <c r="G87" s="688" t="s">
        <v>580</v>
      </c>
      <c r="H87" s="654"/>
      <c r="I87" s="654"/>
      <c r="J87" s="654"/>
      <c r="K87" s="655"/>
      <c r="L87" s="656"/>
      <c r="M87" s="657"/>
      <c r="N87" s="2144"/>
      <c r="O87" s="2144"/>
      <c r="P87" s="2145"/>
      <c r="Q87" s="2138"/>
      <c r="R87" s="2125"/>
      <c r="S87" s="2125"/>
      <c r="T87" s="2125"/>
      <c r="U87" s="2125"/>
      <c r="V87" s="2125"/>
      <c r="W87" s="2125"/>
      <c r="X87" s="2125"/>
      <c r="Y87" s="2125"/>
      <c r="Z87" s="2125"/>
      <c r="AA87" s="2125"/>
      <c r="AB87" s="2125"/>
      <c r="AC87" s="2125"/>
    </row>
    <row r="88" spans="1:29" ht="15.75" thickBot="1">
      <c r="A88" s="649"/>
      <c r="B88" s="658"/>
      <c r="C88" s="659">
        <v>100</v>
      </c>
      <c r="D88" s="659">
        <f>C88-$K19</f>
        <v>98</v>
      </c>
      <c r="E88" s="659">
        <f>D88-$K19</f>
        <v>96</v>
      </c>
      <c r="F88" s="659">
        <f>E88-$K19</f>
        <v>94</v>
      </c>
      <c r="G88" s="659">
        <f>F88-$K19</f>
        <v>92</v>
      </c>
      <c r="H88" s="659"/>
      <c r="I88" s="659"/>
      <c r="J88" s="659"/>
      <c r="K88" s="659"/>
      <c r="L88" s="659"/>
      <c r="M88" s="660"/>
      <c r="N88" s="2146"/>
      <c r="O88" s="2146"/>
      <c r="P88" s="2145"/>
      <c r="Q88" s="2138"/>
      <c r="R88" s="2125"/>
      <c r="S88" s="2125"/>
      <c r="T88" s="2125"/>
      <c r="U88" s="2125"/>
      <c r="V88" s="2125"/>
      <c r="W88" s="2125"/>
      <c r="X88" s="2125"/>
      <c r="Y88" s="2125"/>
      <c r="Z88" s="2125"/>
      <c r="AA88" s="2125"/>
      <c r="AB88" s="2125"/>
      <c r="AC88" s="2125"/>
    </row>
    <row r="89" spans="1:29" s="1199" customFormat="1" ht="27.75" thickTop="1">
      <c r="A89" s="689"/>
      <c r="B89" s="653" t="s">
        <v>584</v>
      </c>
      <c r="C89" s="688" t="s">
        <v>576</v>
      </c>
      <c r="D89" s="688" t="s">
        <v>577</v>
      </c>
      <c r="E89" s="688" t="s">
        <v>578</v>
      </c>
      <c r="F89" s="688" t="s">
        <v>579</v>
      </c>
      <c r="G89" s="688" t="s">
        <v>580</v>
      </c>
      <c r="H89" s="688"/>
      <c r="I89" s="688"/>
      <c r="J89" s="688"/>
      <c r="K89" s="688"/>
      <c r="L89" s="690"/>
      <c r="M89" s="691"/>
      <c r="N89" s="2142"/>
      <c r="O89" s="2142"/>
      <c r="P89" s="2145"/>
      <c r="Q89" s="2138"/>
      <c r="R89" s="1969"/>
      <c r="S89" s="1969"/>
      <c r="T89" s="1969"/>
      <c r="U89" s="1969"/>
      <c r="V89" s="1969"/>
      <c r="W89" s="1969"/>
      <c r="X89" s="1969"/>
      <c r="Y89" s="1969"/>
      <c r="Z89" s="1969"/>
      <c r="AA89" s="1969"/>
      <c r="AB89" s="1969"/>
      <c r="AC89" s="1969"/>
    </row>
    <row r="90" spans="1:29" s="1199" customFormat="1" ht="15.75" thickBot="1">
      <c r="A90" s="689"/>
      <c r="B90" s="658"/>
      <c r="C90" s="692">
        <v>100</v>
      </c>
      <c r="D90" s="659">
        <f>C90-$K21</f>
        <v>97</v>
      </c>
      <c r="E90" s="659">
        <f>D90-$K21</f>
        <v>94</v>
      </c>
      <c r="F90" s="659">
        <f>E90-$K21</f>
        <v>91</v>
      </c>
      <c r="G90" s="659">
        <f>F90-$K21</f>
        <v>88</v>
      </c>
      <c r="H90" s="659"/>
      <c r="I90" s="659"/>
      <c r="J90" s="659"/>
      <c r="K90" s="659"/>
      <c r="L90" s="659"/>
      <c r="M90" s="660"/>
      <c r="N90" s="2146"/>
      <c r="O90" s="2146"/>
      <c r="P90" s="2145"/>
      <c r="Q90" s="2138"/>
      <c r="R90" s="1969"/>
      <c r="S90" s="1969"/>
      <c r="T90" s="1969"/>
      <c r="U90" s="1969"/>
      <c r="V90" s="1969"/>
      <c r="W90" s="1969"/>
      <c r="X90" s="1969"/>
      <c r="Y90" s="1969"/>
      <c r="Z90" s="1969"/>
      <c r="AA90" s="1969"/>
      <c r="AB90" s="1969"/>
      <c r="AC90" s="1969"/>
    </row>
    <row r="91" spans="1:29" s="1199" customFormat="1" ht="27.75" thickTop="1">
      <c r="A91" s="689"/>
      <c r="B91" s="653" t="s">
        <v>585</v>
      </c>
      <c r="C91" s="683" t="s">
        <v>576</v>
      </c>
      <c r="D91" s="683" t="s">
        <v>577</v>
      </c>
      <c r="E91" s="683" t="s">
        <v>578</v>
      </c>
      <c r="F91" s="683" t="s">
        <v>579</v>
      </c>
      <c r="G91" s="683" t="s">
        <v>580</v>
      </c>
      <c r="H91" s="688"/>
      <c r="I91" s="688"/>
      <c r="J91" s="688"/>
      <c r="K91" s="688"/>
      <c r="L91" s="688"/>
      <c r="M91" s="691"/>
      <c r="N91" s="2142"/>
      <c r="O91" s="2142"/>
      <c r="P91" s="2145"/>
      <c r="Q91" s="2138"/>
      <c r="R91" s="1969"/>
      <c r="S91" s="1969"/>
      <c r="T91" s="1969"/>
      <c r="U91" s="1969"/>
      <c r="V91" s="1969"/>
      <c r="W91" s="1969"/>
      <c r="X91" s="1969"/>
      <c r="Y91" s="1969"/>
      <c r="Z91" s="1969"/>
      <c r="AA91" s="1969"/>
      <c r="AB91" s="1969"/>
      <c r="AC91" s="1969"/>
    </row>
    <row r="92" spans="1:29" s="1199" customFormat="1" ht="15.75" thickBot="1">
      <c r="A92" s="689"/>
      <c r="B92" s="658"/>
      <c r="C92" s="659">
        <v>100</v>
      </c>
      <c r="D92" s="659">
        <f>C92-$K23</f>
        <v>98</v>
      </c>
      <c r="E92" s="659">
        <f>D92-$K23</f>
        <v>96</v>
      </c>
      <c r="F92" s="659">
        <f>E92-$K23</f>
        <v>94</v>
      </c>
      <c r="G92" s="659">
        <f>F92-$K23</f>
        <v>92</v>
      </c>
      <c r="H92" s="659"/>
      <c r="I92" s="659"/>
      <c r="J92" s="659"/>
      <c r="K92" s="659"/>
      <c r="L92" s="659"/>
      <c r="M92" s="660"/>
      <c r="N92" s="2146"/>
      <c r="O92" s="2146"/>
      <c r="P92" s="2145"/>
      <c r="Q92" s="2138"/>
      <c r="R92" s="1969"/>
      <c r="S92" s="1969"/>
      <c r="T92" s="1969"/>
      <c r="U92" s="1969"/>
      <c r="V92" s="1969"/>
      <c r="W92" s="1969"/>
      <c r="X92" s="1969"/>
      <c r="Y92" s="1969"/>
      <c r="Z92" s="1969"/>
      <c r="AA92" s="1969"/>
      <c r="AB92" s="1969"/>
      <c r="AC92" s="1969"/>
    </row>
    <row r="93" spans="1:29" s="1324" customFormat="1" ht="15.75" thickTop="1">
      <c r="A93" s="667"/>
      <c r="B93" s="1871" t="s">
        <v>2817</v>
      </c>
      <c r="C93" s="683" t="s">
        <v>576</v>
      </c>
      <c r="D93" s="683" t="s">
        <v>577</v>
      </c>
      <c r="E93" s="683" t="s">
        <v>578</v>
      </c>
      <c r="F93" s="683" t="s">
        <v>579</v>
      </c>
      <c r="G93" s="683" t="s">
        <v>580</v>
      </c>
      <c r="H93" s="693"/>
      <c r="I93" s="693"/>
      <c r="J93" s="693"/>
      <c r="K93" s="693"/>
      <c r="L93" s="694"/>
      <c r="M93" s="695"/>
      <c r="N93" s="2147"/>
      <c r="O93" s="2147"/>
      <c r="P93" s="2148"/>
      <c r="Q93" s="2149"/>
      <c r="R93" s="2150"/>
      <c r="S93" s="2150"/>
      <c r="T93" s="2150"/>
      <c r="U93" s="2150"/>
      <c r="V93" s="2150"/>
      <c r="W93" s="2150"/>
      <c r="X93" s="2150"/>
      <c r="Y93" s="2150"/>
      <c r="Z93" s="2150"/>
      <c r="AA93" s="2150"/>
      <c r="AB93" s="2150"/>
      <c r="AC93" s="2150"/>
    </row>
    <row r="94" spans="1:29" s="1324" customFormat="1" ht="15.75" thickBot="1">
      <c r="A94" s="667"/>
      <c r="B94" s="658"/>
      <c r="C94" s="659">
        <v>100</v>
      </c>
      <c r="D94" s="659">
        <f>C94-$K25</f>
        <v>98</v>
      </c>
      <c r="E94" s="659">
        <f>D94-$K25</f>
        <v>96</v>
      </c>
      <c r="F94" s="659">
        <f>E94-$K25</f>
        <v>94</v>
      </c>
      <c r="G94" s="659">
        <f>F94-$K25</f>
        <v>92</v>
      </c>
      <c r="H94" s="696"/>
      <c r="I94" s="696"/>
      <c r="J94" s="696"/>
      <c r="K94" s="696"/>
      <c r="L94" s="696"/>
      <c r="M94" s="697"/>
      <c r="N94" s="2147"/>
      <c r="O94" s="2147"/>
      <c r="P94" s="2148"/>
      <c r="Q94" s="2149"/>
      <c r="R94" s="2150"/>
      <c r="S94" s="2150"/>
      <c r="T94" s="2150"/>
      <c r="U94" s="2150"/>
      <c r="V94" s="2150"/>
      <c r="W94" s="2150"/>
      <c r="X94" s="2150"/>
      <c r="Y94" s="2150"/>
      <c r="Z94" s="2150"/>
      <c r="AA94" s="2150"/>
      <c r="AB94" s="2150"/>
      <c r="AC94" s="2150"/>
    </row>
    <row r="95" spans="1:29" s="1324" customFormat="1" ht="15.75" thickTop="1">
      <c r="A95" s="667"/>
      <c r="B95" s="2610" t="s">
        <v>2819</v>
      </c>
      <c r="C95" s="2611" t="s">
        <v>2820</v>
      </c>
      <c r="D95" s="2611" t="s">
        <v>2821</v>
      </c>
      <c r="E95" s="2611" t="s">
        <v>2822</v>
      </c>
      <c r="F95" s="2611" t="s">
        <v>2823</v>
      </c>
      <c r="G95" s="2611" t="s">
        <v>2824</v>
      </c>
      <c r="H95" s="693"/>
      <c r="I95" s="693"/>
      <c r="J95" s="693"/>
      <c r="K95" s="693"/>
      <c r="L95" s="693"/>
      <c r="M95" s="695"/>
      <c r="N95" s="2147"/>
      <c r="O95" s="2147"/>
      <c r="P95" s="2148"/>
      <c r="Q95" s="2149"/>
      <c r="R95" s="2150"/>
      <c r="S95" s="2150"/>
      <c r="T95" s="2150"/>
      <c r="U95" s="2150"/>
      <c r="V95" s="2150"/>
      <c r="W95" s="2150"/>
      <c r="X95" s="2150"/>
      <c r="Y95" s="2150"/>
      <c r="Z95" s="2150"/>
      <c r="AA95" s="2150"/>
      <c r="AB95" s="2150"/>
      <c r="AC95" s="2150"/>
    </row>
    <row r="96" spans="1:29" s="1324" customFormat="1" ht="15.75" thickBot="1">
      <c r="A96" s="667"/>
      <c r="B96" s="661"/>
      <c r="C96" s="659">
        <v>100</v>
      </c>
      <c r="D96" s="659">
        <f>C96-$K27</f>
        <v>99</v>
      </c>
      <c r="E96" s="659">
        <f>D96-$K27</f>
        <v>98</v>
      </c>
      <c r="F96" s="659">
        <f>E96-$K27</f>
        <v>97</v>
      </c>
      <c r="G96" s="659">
        <f>F96-$K27</f>
        <v>96</v>
      </c>
      <c r="H96" s="663"/>
      <c r="I96" s="663"/>
      <c r="J96" s="663"/>
      <c r="K96" s="663"/>
      <c r="L96" s="663"/>
      <c r="M96" s="2603"/>
      <c r="N96" s="2147"/>
      <c r="O96" s="2147"/>
      <c r="P96" s="2148"/>
      <c r="Q96" s="2149"/>
      <c r="R96" s="2150"/>
      <c r="S96" s="2150"/>
      <c r="T96" s="2150"/>
      <c r="U96" s="2150"/>
      <c r="V96" s="2150"/>
      <c r="W96" s="2150"/>
      <c r="X96" s="2150"/>
      <c r="Y96" s="2150"/>
      <c r="Z96" s="2150"/>
      <c r="AA96" s="2150"/>
      <c r="AB96" s="2150"/>
      <c r="AC96" s="2150"/>
    </row>
    <row r="97" spans="1:29" ht="15.75" thickTop="1">
      <c r="A97" s="649"/>
      <c r="B97" s="653" t="str">
        <f>B29</f>
        <v>临街状况</v>
      </c>
      <c r="C97" s="654" t="s">
        <v>586</v>
      </c>
      <c r="D97" s="654" t="s">
        <v>587</v>
      </c>
      <c r="E97" s="654" t="s">
        <v>588</v>
      </c>
      <c r="F97" s="654" t="s">
        <v>589</v>
      </c>
      <c r="G97" s="654"/>
      <c r="H97" s="654"/>
      <c r="I97" s="654"/>
      <c r="J97" s="654"/>
      <c r="K97" s="655"/>
      <c r="L97" s="656"/>
      <c r="M97" s="657"/>
      <c r="N97" s="2144"/>
      <c r="O97" s="2144"/>
      <c r="P97" s="2145"/>
      <c r="Q97" s="2138"/>
      <c r="R97" s="2125"/>
      <c r="S97" s="2125"/>
      <c r="T97" s="2125"/>
      <c r="U97" s="2125"/>
      <c r="V97" s="2125"/>
      <c r="W97" s="2125"/>
      <c r="X97" s="2125"/>
      <c r="Y97" s="2125"/>
      <c r="Z97" s="2125"/>
      <c r="AA97" s="2125"/>
      <c r="AB97" s="2125"/>
      <c r="AC97" s="2125"/>
    </row>
    <row r="98" spans="1:29" ht="15.75" thickBot="1">
      <c r="A98" s="649"/>
      <c r="B98" s="658"/>
      <c r="C98" s="659">
        <v>100</v>
      </c>
      <c r="D98" s="659">
        <f t="shared" ref="D98:M98" si="22">C98-$K29</f>
        <v>98.5</v>
      </c>
      <c r="E98" s="659">
        <f t="shared" si="22"/>
        <v>97</v>
      </c>
      <c r="F98" s="659">
        <f t="shared" si="22"/>
        <v>95.5</v>
      </c>
      <c r="G98" s="659">
        <f t="shared" si="22"/>
        <v>94</v>
      </c>
      <c r="H98" s="659">
        <f t="shared" si="22"/>
        <v>92.5</v>
      </c>
      <c r="I98" s="659">
        <f t="shared" si="22"/>
        <v>91</v>
      </c>
      <c r="J98" s="659">
        <f t="shared" si="22"/>
        <v>89.5</v>
      </c>
      <c r="K98" s="659">
        <f t="shared" si="22"/>
        <v>88</v>
      </c>
      <c r="L98" s="659">
        <f t="shared" si="22"/>
        <v>86.5</v>
      </c>
      <c r="M98" s="659">
        <f t="shared" si="22"/>
        <v>85</v>
      </c>
      <c r="N98" s="2146"/>
      <c r="O98" s="2146"/>
      <c r="P98" s="2145"/>
      <c r="Q98" s="2138"/>
      <c r="R98" s="2125"/>
      <c r="S98" s="2125"/>
      <c r="T98" s="2125"/>
      <c r="U98" s="2125"/>
      <c r="V98" s="2125"/>
      <c r="W98" s="2125"/>
      <c r="X98" s="2125"/>
      <c r="Y98" s="2125"/>
      <c r="Z98" s="2125"/>
      <c r="AA98" s="2125"/>
      <c r="AB98" s="2125"/>
      <c r="AC98" s="2125"/>
    </row>
    <row r="99" spans="1:29" ht="27.75" thickTop="1">
      <c r="A99" s="649"/>
      <c r="B99" s="653" t="s">
        <v>540</v>
      </c>
      <c r="C99" s="668" t="s">
        <v>590</v>
      </c>
      <c r="D99" s="668" t="s">
        <v>591</v>
      </c>
      <c r="E99" s="668" t="s">
        <v>592</v>
      </c>
      <c r="F99" s="668" t="s">
        <v>593</v>
      </c>
      <c r="G99" s="668" t="s">
        <v>594</v>
      </c>
      <c r="H99" s="698"/>
      <c r="I99" s="698"/>
      <c r="J99" s="698"/>
      <c r="K99" s="699"/>
      <c r="L99" s="700"/>
      <c r="M99" s="701"/>
      <c r="N99" s="2144"/>
      <c r="O99" s="2144"/>
      <c r="P99" s="2145"/>
      <c r="Q99" s="2138"/>
      <c r="R99" s="2125"/>
      <c r="S99" s="2125"/>
      <c r="T99" s="2125"/>
      <c r="U99" s="2125"/>
      <c r="V99" s="2125"/>
      <c r="W99" s="2125"/>
      <c r="X99" s="2125"/>
      <c r="Y99" s="2125"/>
      <c r="Z99" s="2125"/>
      <c r="AA99" s="2125"/>
      <c r="AB99" s="2125"/>
      <c r="AC99" s="2125"/>
    </row>
    <row r="100" spans="1:29" ht="15.75" thickBot="1">
      <c r="A100" s="649"/>
      <c r="B100" s="658"/>
      <c r="C100" s="659">
        <v>100</v>
      </c>
      <c r="D100" s="659">
        <f t="shared" ref="D100:M100" si="23">C100-$K30</f>
        <v>98</v>
      </c>
      <c r="E100" s="659">
        <f t="shared" si="23"/>
        <v>96</v>
      </c>
      <c r="F100" s="659">
        <f t="shared" si="23"/>
        <v>94</v>
      </c>
      <c r="G100" s="659">
        <f t="shared" si="23"/>
        <v>92</v>
      </c>
      <c r="H100" s="659">
        <f t="shared" si="23"/>
        <v>90</v>
      </c>
      <c r="I100" s="659">
        <f t="shared" si="23"/>
        <v>88</v>
      </c>
      <c r="J100" s="659">
        <f t="shared" si="23"/>
        <v>86</v>
      </c>
      <c r="K100" s="659">
        <f t="shared" si="23"/>
        <v>84</v>
      </c>
      <c r="L100" s="659">
        <f t="shared" si="23"/>
        <v>82</v>
      </c>
      <c r="M100" s="659">
        <f t="shared" si="23"/>
        <v>80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49"/>
      <c r="B101" s="653" t="s">
        <v>542</v>
      </c>
      <c r="C101" s="698" t="s">
        <v>595</v>
      </c>
      <c r="D101" s="698" t="s">
        <v>596</v>
      </c>
      <c r="E101" s="698" t="s">
        <v>597</v>
      </c>
      <c r="F101" s="698" t="s">
        <v>636</v>
      </c>
      <c r="G101" s="698" t="s">
        <v>637</v>
      </c>
      <c r="H101" s="698"/>
      <c r="I101" s="698"/>
      <c r="J101" s="698"/>
      <c r="K101" s="699"/>
      <c r="L101" s="700"/>
      <c r="M101" s="701"/>
      <c r="N101" s="2144"/>
      <c r="O101" s="2144"/>
      <c r="P101" s="2145"/>
      <c r="Q101" s="2138"/>
      <c r="R101" s="2125"/>
      <c r="S101" s="2125"/>
      <c r="T101" s="2125"/>
      <c r="U101" s="2125"/>
      <c r="V101" s="2125"/>
      <c r="W101" s="2125"/>
      <c r="X101" s="2125"/>
      <c r="Y101" s="2125"/>
      <c r="Z101" s="2125"/>
      <c r="AA101" s="2125"/>
      <c r="AB101" s="2125"/>
      <c r="AC101" s="2125"/>
    </row>
    <row r="102" spans="1:29" ht="15.75" thickBot="1">
      <c r="A102" s="649"/>
      <c r="B102" s="658"/>
      <c r="C102" s="659">
        <v>100</v>
      </c>
      <c r="D102" s="659">
        <f t="shared" ref="D102:M102" si="24">C102-$K32</f>
        <v>97.5</v>
      </c>
      <c r="E102" s="659">
        <f t="shared" si="24"/>
        <v>95</v>
      </c>
      <c r="F102" s="659">
        <f t="shared" si="24"/>
        <v>92.5</v>
      </c>
      <c r="G102" s="659">
        <f t="shared" si="24"/>
        <v>90</v>
      </c>
      <c r="H102" s="659">
        <f t="shared" si="24"/>
        <v>87.5</v>
      </c>
      <c r="I102" s="659">
        <f t="shared" si="24"/>
        <v>85</v>
      </c>
      <c r="J102" s="659">
        <f t="shared" si="24"/>
        <v>82.5</v>
      </c>
      <c r="K102" s="659">
        <f t="shared" si="24"/>
        <v>80</v>
      </c>
      <c r="L102" s="659">
        <f t="shared" si="24"/>
        <v>77.5</v>
      </c>
      <c r="M102" s="659">
        <f t="shared" si="24"/>
        <v>75</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49"/>
      <c r="B103" s="661">
        <f>B33</f>
        <v>111</v>
      </c>
      <c r="C103" s="668">
        <v>111</v>
      </c>
      <c r="D103" s="668">
        <v>222</v>
      </c>
      <c r="E103" s="668">
        <v>333</v>
      </c>
      <c r="F103" s="668">
        <v>444</v>
      </c>
      <c r="G103" s="702"/>
      <c r="H103" s="702"/>
      <c r="I103" s="702"/>
      <c r="J103" s="702"/>
      <c r="K103" s="703"/>
      <c r="L103" s="704"/>
      <c r="M103" s="705"/>
      <c r="N103" s="2144"/>
      <c r="O103" s="2144"/>
      <c r="P103" s="2145"/>
      <c r="Q103" s="2138"/>
      <c r="R103" s="2125"/>
      <c r="S103" s="2125"/>
      <c r="T103" s="2125"/>
      <c r="U103" s="2125"/>
      <c r="V103" s="2125"/>
      <c r="W103" s="2125"/>
      <c r="X103" s="2125"/>
      <c r="Y103" s="2125"/>
      <c r="Z103" s="2125"/>
      <c r="AA103" s="2125"/>
      <c r="AB103" s="2125"/>
      <c r="AC103" s="2125"/>
    </row>
    <row r="104" spans="1:29" ht="15.75" thickBot="1">
      <c r="A104" s="649"/>
      <c r="B104" s="679"/>
      <c r="C104" s="672">
        <v>100</v>
      </c>
      <c r="D104" s="651">
        <v>99</v>
      </c>
      <c r="E104" s="651">
        <v>98</v>
      </c>
      <c r="F104" s="651">
        <v>97</v>
      </c>
      <c r="G104" s="706"/>
      <c r="H104" s="706"/>
      <c r="I104" s="706"/>
      <c r="J104" s="706"/>
      <c r="K104" s="706"/>
      <c r="L104" s="706"/>
      <c r="M104" s="707"/>
      <c r="N104" s="2146"/>
      <c r="O104" s="2146"/>
      <c r="P104" s="2145"/>
      <c r="Q104" s="2138"/>
      <c r="R104" s="2125"/>
      <c r="S104" s="2125"/>
      <c r="T104" s="2125"/>
      <c r="U104" s="2125"/>
      <c r="V104" s="2125"/>
      <c r="W104" s="2125"/>
      <c r="X104" s="2125"/>
      <c r="Y104" s="2125"/>
      <c r="Z104" s="2125"/>
      <c r="AA104" s="2125"/>
      <c r="AB104" s="2125"/>
      <c r="AC104" s="2125"/>
    </row>
    <row r="105" spans="1:29" ht="15" thickTop="1">
      <c r="A105" s="567"/>
      <c r="B105" s="653">
        <f>B34</f>
        <v>111</v>
      </c>
      <c r="C105" s="668">
        <v>111</v>
      </c>
      <c r="D105" s="668">
        <v>222</v>
      </c>
      <c r="E105" s="668">
        <v>333</v>
      </c>
      <c r="F105" s="668">
        <v>444</v>
      </c>
      <c r="G105" s="698"/>
      <c r="H105" s="698"/>
      <c r="I105" s="698"/>
      <c r="J105" s="698"/>
      <c r="K105" s="699"/>
      <c r="L105" s="700"/>
      <c r="M105" s="701"/>
      <c r="N105" s="2144"/>
      <c r="O105" s="2144"/>
      <c r="P105" s="2145"/>
      <c r="Q105" s="2138"/>
      <c r="R105" s="2125"/>
      <c r="S105" s="2125"/>
      <c r="T105" s="2125"/>
      <c r="U105" s="2125"/>
      <c r="V105" s="2125"/>
      <c r="W105" s="2125"/>
      <c r="X105" s="2125"/>
      <c r="Y105" s="2125"/>
      <c r="Z105" s="2125"/>
      <c r="AA105" s="2125"/>
      <c r="AB105" s="2125"/>
      <c r="AC105" s="2125"/>
    </row>
    <row r="106" spans="1:29" ht="15.75" thickBot="1">
      <c r="A106" s="649"/>
      <c r="B106" s="658"/>
      <c r="C106" s="672">
        <v>100</v>
      </c>
      <c r="D106" s="672">
        <v>98</v>
      </c>
      <c r="E106" s="672">
        <v>96</v>
      </c>
      <c r="F106" s="672">
        <v>94</v>
      </c>
      <c r="G106" s="651"/>
      <c r="H106" s="651"/>
      <c r="I106" s="651"/>
      <c r="J106" s="651"/>
      <c r="K106" s="651"/>
      <c r="L106" s="651"/>
      <c r="M106" s="652"/>
      <c r="N106" s="2146"/>
      <c r="O106" s="2146"/>
      <c r="P106" s="2145"/>
      <c r="Q106" s="2138"/>
      <c r="R106" s="2125"/>
      <c r="S106" s="2125"/>
      <c r="T106" s="2125"/>
      <c r="U106" s="2125"/>
      <c r="V106" s="2125"/>
      <c r="W106" s="2125"/>
      <c r="X106" s="2125"/>
      <c r="Y106" s="2125"/>
      <c r="Z106" s="2125"/>
      <c r="AA106" s="2125"/>
      <c r="AB106" s="2125"/>
      <c r="AC106" s="2125"/>
    </row>
    <row r="107" spans="1:29" s="1324" customFormat="1" ht="15" thickTop="1">
      <c r="A107" s="708"/>
      <c r="B107" s="709">
        <f>B35</f>
        <v>111</v>
      </c>
      <c r="C107" s="641">
        <v>111</v>
      </c>
      <c r="D107" s="641">
        <v>222</v>
      </c>
      <c r="E107" s="641">
        <v>333</v>
      </c>
      <c r="F107" s="641">
        <v>444</v>
      </c>
      <c r="G107" s="710"/>
      <c r="H107" s="710"/>
      <c r="I107" s="710"/>
      <c r="J107" s="711"/>
      <c r="K107" s="711"/>
      <c r="L107" s="712"/>
      <c r="M107" s="713"/>
      <c r="N107" s="2147"/>
      <c r="O107" s="2147"/>
      <c r="P107" s="2148"/>
      <c r="Q107" s="2149"/>
      <c r="R107" s="2150"/>
      <c r="S107" s="2150"/>
      <c r="T107" s="2150"/>
      <c r="U107" s="2150"/>
      <c r="V107" s="2150"/>
      <c r="W107" s="2150"/>
      <c r="X107" s="2150"/>
      <c r="Y107" s="2150"/>
      <c r="Z107" s="2150"/>
      <c r="AA107" s="2150"/>
      <c r="AB107" s="2150"/>
      <c r="AC107" s="2150"/>
    </row>
    <row r="108" spans="1:29" s="1324" customFormat="1" ht="15.75" thickBot="1">
      <c r="A108" s="667"/>
      <c r="B108" s="661"/>
      <c r="C108" s="680">
        <v>100</v>
      </c>
      <c r="D108" s="680">
        <v>97</v>
      </c>
      <c r="E108" s="680">
        <v>94</v>
      </c>
      <c r="F108" s="680">
        <v>91</v>
      </c>
      <c r="G108" s="572"/>
      <c r="H108" s="572"/>
      <c r="I108" s="572"/>
      <c r="J108" s="572"/>
      <c r="K108" s="572"/>
      <c r="L108" s="572"/>
      <c r="M108" s="714"/>
      <c r="N108" s="2146"/>
      <c r="O108" s="2146"/>
      <c r="P108" s="2148"/>
      <c r="Q108" s="2149"/>
      <c r="R108" s="2150"/>
      <c r="S108" s="2150"/>
      <c r="T108" s="2150"/>
      <c r="U108" s="2150"/>
      <c r="V108" s="2150"/>
      <c r="W108" s="2150"/>
      <c r="X108" s="2150"/>
      <c r="Y108" s="2150"/>
      <c r="Z108" s="2150"/>
      <c r="AA108" s="2150"/>
      <c r="AB108" s="2150"/>
      <c r="AC108" s="2150"/>
    </row>
    <row r="109" spans="1:29" ht="28.5">
      <c r="A109" s="644" t="s">
        <v>544</v>
      </c>
      <c r="B109" s="645" t="s">
        <v>598</v>
      </c>
      <c r="C109" s="578" t="str">
        <f t="shared" ref="C109:L109" si="25">C110&amp;"(含)"&amp;"-"&amp;D110</f>
        <v>0(含)-10000</v>
      </c>
      <c r="D109" s="578" t="str">
        <f t="shared" si="25"/>
        <v>10000(含)-20000</v>
      </c>
      <c r="E109" s="578" t="str">
        <f t="shared" si="25"/>
        <v>20000(含)-50000</v>
      </c>
      <c r="F109" s="578" t="str">
        <f t="shared" si="25"/>
        <v>50000(含)-80000</v>
      </c>
      <c r="G109" s="578" t="str">
        <f t="shared" si="25"/>
        <v>80000(含)-100000</v>
      </c>
      <c r="H109" s="578" t="str">
        <f t="shared" si="25"/>
        <v>100000(含)-</v>
      </c>
      <c r="I109" s="578" t="str">
        <f t="shared" si="25"/>
        <v>(含)-</v>
      </c>
      <c r="J109" s="578" t="str">
        <f t="shared" si="25"/>
        <v>(含)-</v>
      </c>
      <c r="K109" s="2350" t="str">
        <f t="shared" si="25"/>
        <v>(含)-</v>
      </c>
      <c r="L109" s="2351" t="str">
        <f t="shared" si="25"/>
        <v>(含)-</v>
      </c>
      <c r="M109" s="2352"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49"/>
      <c r="B110" s="661"/>
      <c r="C110" s="710">
        <v>0</v>
      </c>
      <c r="D110" s="710">
        <v>10000</v>
      </c>
      <c r="E110" s="710">
        <v>20000</v>
      </c>
      <c r="F110" s="710">
        <v>50000</v>
      </c>
      <c r="G110" s="710">
        <v>80000</v>
      </c>
      <c r="H110" s="710">
        <v>100000</v>
      </c>
      <c r="I110" s="710"/>
      <c r="J110" s="711"/>
      <c r="K110" s="711"/>
      <c r="L110" s="712"/>
      <c r="M110" s="713"/>
      <c r="N110" s="2144"/>
      <c r="O110" s="2144"/>
      <c r="P110" s="2145"/>
      <c r="Q110" s="2138"/>
      <c r="R110" s="2125"/>
      <c r="S110" s="2125"/>
      <c r="T110" s="2125"/>
      <c r="U110" s="2125"/>
      <c r="V110" s="2125"/>
      <c r="W110" s="2125"/>
      <c r="X110" s="2125"/>
      <c r="Y110" s="2125"/>
      <c r="Z110" s="2125"/>
      <c r="AA110" s="2125"/>
      <c r="AB110" s="2125"/>
      <c r="AC110" s="2125"/>
    </row>
    <row r="111" spans="1:29" ht="15.75" thickBot="1">
      <c r="A111" s="649"/>
      <c r="B111" s="658"/>
      <c r="C111" s="680">
        <v>100</v>
      </c>
      <c r="D111" s="706">
        <v>103</v>
      </c>
      <c r="E111" s="706">
        <v>105</v>
      </c>
      <c r="F111" s="706">
        <v>106</v>
      </c>
      <c r="G111" s="706">
        <v>105</v>
      </c>
      <c r="H111" s="706">
        <v>100</v>
      </c>
      <c r="I111" s="706"/>
      <c r="J111" s="706"/>
      <c r="K111" s="706"/>
      <c r="L111" s="706"/>
      <c r="M111" s="707"/>
      <c r="N111" s="2146"/>
      <c r="O111" s="2146"/>
      <c r="P111" s="2145"/>
      <c r="Q111" s="2138"/>
      <c r="R111" s="2125"/>
      <c r="S111" s="2125"/>
      <c r="T111" s="2125"/>
      <c r="U111" s="2125"/>
      <c r="V111" s="2125"/>
      <c r="W111" s="2125"/>
      <c r="X111" s="2125"/>
      <c r="Y111" s="2125"/>
      <c r="Z111" s="2125"/>
      <c r="AA111" s="2125"/>
      <c r="AB111" s="2125"/>
      <c r="AC111" s="2125"/>
    </row>
    <row r="112" spans="1:29" ht="15" thickTop="1">
      <c r="A112" s="715"/>
      <c r="B112" s="653" t="s">
        <v>599</v>
      </c>
      <c r="C112" s="698" t="s">
        <v>600</v>
      </c>
      <c r="D112" s="698" t="s">
        <v>601</v>
      </c>
      <c r="E112" s="698" t="s">
        <v>602</v>
      </c>
      <c r="F112" s="698" t="s">
        <v>603</v>
      </c>
      <c r="G112" s="698"/>
      <c r="H112" s="698"/>
      <c r="I112" s="698"/>
      <c r="J112" s="698"/>
      <c r="K112" s="699"/>
      <c r="L112" s="700"/>
      <c r="M112" s="701"/>
      <c r="N112" s="2144"/>
      <c r="O112" s="2144"/>
      <c r="P112" s="2145"/>
      <c r="Q112" s="2138"/>
      <c r="R112" s="2125"/>
      <c r="S112" s="2125"/>
      <c r="T112" s="2125"/>
      <c r="U112" s="2125"/>
      <c r="V112" s="2125"/>
      <c r="W112" s="2125"/>
      <c r="X112" s="2125"/>
      <c r="Y112" s="2125"/>
      <c r="Z112" s="2125"/>
      <c r="AA112" s="2125"/>
      <c r="AB112" s="2125"/>
      <c r="AC112" s="2125"/>
    </row>
    <row r="113" spans="1:29" ht="15.75" thickBot="1">
      <c r="A113" s="649"/>
      <c r="B113" s="658"/>
      <c r="C113" s="659">
        <v>100</v>
      </c>
      <c r="D113" s="659">
        <f t="shared" ref="D113:M113" si="26">C113-$K37</f>
        <v>98</v>
      </c>
      <c r="E113" s="659">
        <f t="shared" si="26"/>
        <v>96</v>
      </c>
      <c r="F113" s="659">
        <f t="shared" si="26"/>
        <v>94</v>
      </c>
      <c r="G113" s="659">
        <f t="shared" si="26"/>
        <v>92</v>
      </c>
      <c r="H113" s="659">
        <f t="shared" si="26"/>
        <v>90</v>
      </c>
      <c r="I113" s="659">
        <f t="shared" si="26"/>
        <v>88</v>
      </c>
      <c r="J113" s="659">
        <f t="shared" si="26"/>
        <v>86</v>
      </c>
      <c r="K113" s="659">
        <f t="shared" si="26"/>
        <v>84</v>
      </c>
      <c r="L113" s="659">
        <f t="shared" si="26"/>
        <v>82</v>
      </c>
      <c r="M113" s="660">
        <f t="shared" si="26"/>
        <v>80</v>
      </c>
      <c r="N113" s="2146"/>
      <c r="O113" s="2146"/>
      <c r="P113" s="2145"/>
      <c r="Q113" s="2138"/>
      <c r="R113" s="2125"/>
      <c r="S113" s="2125"/>
      <c r="T113" s="2125"/>
      <c r="U113" s="2125"/>
      <c r="V113" s="2125"/>
      <c r="W113" s="2125"/>
      <c r="X113" s="2125"/>
      <c r="Y113" s="2125"/>
      <c r="Z113" s="2125"/>
      <c r="AA113" s="2125"/>
      <c r="AB113" s="2125"/>
      <c r="AC113" s="2125"/>
    </row>
    <row r="114" spans="1:29" s="1324" customFormat="1" ht="15" thickTop="1">
      <c r="A114" s="708"/>
      <c r="B114" s="1871" t="s">
        <v>2680</v>
      </c>
      <c r="C114" s="1358" t="s">
        <v>2681</v>
      </c>
      <c r="D114" s="1358" t="s">
        <v>2682</v>
      </c>
      <c r="E114" s="1358" t="s">
        <v>2683</v>
      </c>
      <c r="F114" s="1358" t="s">
        <v>2684</v>
      </c>
      <c r="G114" s="1358" t="s">
        <v>2685</v>
      </c>
      <c r="H114" s="698"/>
      <c r="I114" s="698"/>
      <c r="J114" s="698"/>
      <c r="K114" s="699"/>
      <c r="L114" s="700"/>
      <c r="M114" s="701"/>
      <c r="N114" s="2147"/>
      <c r="O114" s="2147"/>
      <c r="P114" s="2148"/>
      <c r="Q114" s="2149"/>
      <c r="R114" s="2150"/>
      <c r="S114" s="2150"/>
      <c r="T114" s="2150"/>
      <c r="U114" s="2150"/>
      <c r="V114" s="2150"/>
      <c r="W114" s="2150"/>
      <c r="X114" s="2150"/>
      <c r="Y114" s="2150"/>
      <c r="Z114" s="2150"/>
      <c r="AA114" s="2150"/>
      <c r="AB114" s="2150"/>
      <c r="AC114" s="2150"/>
    </row>
    <row r="115" spans="1:29" s="1324" customFormat="1" ht="15.75" thickBot="1">
      <c r="A115" s="667"/>
      <c r="B115" s="658"/>
      <c r="C115" s="659">
        <v>100</v>
      </c>
      <c r="D115" s="659">
        <f t="shared" ref="D115:M115" si="27">C115-$K38</f>
        <v>98</v>
      </c>
      <c r="E115" s="659">
        <f t="shared" si="27"/>
        <v>96</v>
      </c>
      <c r="F115" s="659">
        <f t="shared" si="27"/>
        <v>94</v>
      </c>
      <c r="G115" s="659">
        <f t="shared" si="27"/>
        <v>92</v>
      </c>
      <c r="H115" s="659">
        <f t="shared" si="27"/>
        <v>90</v>
      </c>
      <c r="I115" s="659">
        <f t="shared" si="27"/>
        <v>88</v>
      </c>
      <c r="J115" s="659">
        <f t="shared" si="27"/>
        <v>86</v>
      </c>
      <c r="K115" s="659">
        <f t="shared" si="27"/>
        <v>84</v>
      </c>
      <c r="L115" s="659">
        <f t="shared" si="27"/>
        <v>82</v>
      </c>
      <c r="M115" s="660">
        <f t="shared" si="27"/>
        <v>80</v>
      </c>
      <c r="N115" s="2147"/>
      <c r="O115" s="2147"/>
      <c r="P115" s="2148"/>
      <c r="Q115" s="2149"/>
      <c r="R115" s="2150"/>
      <c r="S115" s="2150"/>
      <c r="T115" s="2150"/>
      <c r="U115" s="2150"/>
      <c r="V115" s="2150"/>
      <c r="W115" s="2150"/>
      <c r="X115" s="2150"/>
      <c r="Y115" s="2150"/>
      <c r="Z115" s="2150"/>
      <c r="AA115" s="2150"/>
      <c r="AB115" s="2150"/>
      <c r="AC115" s="2150"/>
    </row>
    <row r="116" spans="1:29" ht="15" thickTop="1">
      <c r="A116" s="715"/>
      <c r="B116" s="653" t="s">
        <v>613</v>
      </c>
      <c r="C116" s="668" t="s">
        <v>576</v>
      </c>
      <c r="D116" s="668" t="s">
        <v>577</v>
      </c>
      <c r="E116" s="698" t="s">
        <v>614</v>
      </c>
      <c r="F116" s="698" t="s">
        <v>615</v>
      </c>
      <c r="G116" s="698" t="s">
        <v>616</v>
      </c>
      <c r="H116" s="698"/>
      <c r="I116" s="698"/>
      <c r="J116" s="698"/>
      <c r="K116" s="699"/>
      <c r="L116" s="700"/>
      <c r="M116" s="701"/>
      <c r="N116" s="2144"/>
      <c r="O116" s="2144"/>
      <c r="P116" s="2145"/>
      <c r="Q116" s="2138"/>
      <c r="R116" s="2125"/>
      <c r="S116" s="2125"/>
      <c r="T116" s="2125"/>
      <c r="U116" s="2125"/>
      <c r="V116" s="2125"/>
      <c r="W116" s="2125"/>
      <c r="X116" s="2125"/>
      <c r="Y116" s="2125"/>
      <c r="Z116" s="2125"/>
      <c r="AA116" s="2125"/>
      <c r="AB116" s="2125"/>
      <c r="AC116" s="2125"/>
    </row>
    <row r="117" spans="1:29" ht="15.75" thickBot="1">
      <c r="A117" s="649"/>
      <c r="B117" s="658"/>
      <c r="C117" s="659">
        <v>100</v>
      </c>
      <c r="D117" s="659">
        <f t="shared" ref="D117:M117" si="28">C117-$K39</f>
        <v>98.5</v>
      </c>
      <c r="E117" s="659">
        <f t="shared" si="28"/>
        <v>97</v>
      </c>
      <c r="F117" s="659">
        <f t="shared" si="28"/>
        <v>95.5</v>
      </c>
      <c r="G117" s="659">
        <f t="shared" si="28"/>
        <v>94</v>
      </c>
      <c r="H117" s="659">
        <f t="shared" si="28"/>
        <v>92.5</v>
      </c>
      <c r="I117" s="659">
        <f t="shared" si="28"/>
        <v>91</v>
      </c>
      <c r="J117" s="659">
        <f t="shared" si="28"/>
        <v>89.5</v>
      </c>
      <c r="K117" s="659">
        <f t="shared" si="28"/>
        <v>88</v>
      </c>
      <c r="L117" s="659">
        <f t="shared" si="28"/>
        <v>86.5</v>
      </c>
      <c r="M117" s="660">
        <f t="shared" si="28"/>
        <v>85</v>
      </c>
      <c r="N117" s="2146"/>
      <c r="O117" s="2146"/>
      <c r="P117" s="2145"/>
      <c r="Q117" s="2138"/>
      <c r="R117" s="2125"/>
      <c r="S117" s="2125"/>
      <c r="T117" s="2125"/>
      <c r="U117" s="2125"/>
      <c r="V117" s="2125"/>
      <c r="W117" s="2125"/>
      <c r="X117" s="2125"/>
      <c r="Y117" s="2125"/>
      <c r="Z117" s="2125"/>
      <c r="AA117" s="2125"/>
      <c r="AB117" s="2125"/>
      <c r="AC117" s="2125"/>
    </row>
    <row r="118" spans="1:29" ht="15" thickTop="1">
      <c r="A118" s="715"/>
      <c r="B118" s="653">
        <f>B40</f>
        <v>111</v>
      </c>
      <c r="C118" s="668">
        <v>111</v>
      </c>
      <c r="D118" s="668">
        <v>222</v>
      </c>
      <c r="E118" s="668">
        <v>333</v>
      </c>
      <c r="F118" s="668">
        <v>444</v>
      </c>
      <c r="G118" s="668"/>
      <c r="H118" s="698"/>
      <c r="I118" s="698"/>
      <c r="J118" s="698"/>
      <c r="K118" s="699"/>
      <c r="L118" s="700"/>
      <c r="M118" s="701"/>
      <c r="N118" s="2144"/>
      <c r="O118" s="2144"/>
      <c r="P118" s="2145"/>
      <c r="Q118" s="2138"/>
      <c r="R118" s="2125"/>
      <c r="S118" s="2125"/>
      <c r="T118" s="2125"/>
      <c r="U118" s="2125"/>
      <c r="V118" s="2125"/>
      <c r="W118" s="2125"/>
      <c r="X118" s="2125"/>
      <c r="Y118" s="2125"/>
      <c r="Z118" s="2125"/>
      <c r="AA118" s="2125"/>
      <c r="AB118" s="2125"/>
      <c r="AC118" s="2125"/>
    </row>
    <row r="119" spans="1:29" ht="15.75" thickBot="1">
      <c r="A119" s="649"/>
      <c r="B119" s="658"/>
      <c r="C119" s="672">
        <v>100</v>
      </c>
      <c r="D119" s="651">
        <v>99</v>
      </c>
      <c r="E119" s="651">
        <v>98</v>
      </c>
      <c r="F119" s="651">
        <v>97</v>
      </c>
      <c r="G119" s="651"/>
      <c r="H119" s="651"/>
      <c r="I119" s="651"/>
      <c r="J119" s="651"/>
      <c r="K119" s="651"/>
      <c r="L119" s="651"/>
      <c r="M119" s="652"/>
      <c r="N119" s="2146"/>
      <c r="O119" s="2146"/>
      <c r="P119" s="2145"/>
      <c r="Q119" s="2138"/>
      <c r="R119" s="2125"/>
      <c r="S119" s="2125"/>
      <c r="T119" s="2125"/>
      <c r="U119" s="2125"/>
      <c r="V119" s="2125"/>
      <c r="W119" s="2125"/>
      <c r="X119" s="2125"/>
      <c r="Y119" s="2125"/>
      <c r="Z119" s="2125"/>
      <c r="AA119" s="2125"/>
      <c r="AB119" s="2125"/>
      <c r="AC119" s="2125"/>
    </row>
    <row r="120" spans="1:29" ht="15" thickTop="1">
      <c r="A120" s="715"/>
      <c r="B120" s="653">
        <f>B41</f>
        <v>111</v>
      </c>
      <c r="C120" s="668">
        <v>111</v>
      </c>
      <c r="D120" s="668">
        <v>222</v>
      </c>
      <c r="E120" s="668">
        <v>333</v>
      </c>
      <c r="F120" s="668">
        <v>444</v>
      </c>
      <c r="G120" s="698"/>
      <c r="H120" s="698"/>
      <c r="I120" s="698"/>
      <c r="J120" s="698"/>
      <c r="K120" s="699"/>
      <c r="L120" s="700"/>
      <c r="M120" s="701"/>
      <c r="N120" s="2144"/>
      <c r="O120" s="2144"/>
      <c r="P120" s="2145"/>
      <c r="Q120" s="2138"/>
      <c r="R120" s="2125"/>
      <c r="S120" s="2125"/>
      <c r="T120" s="2125"/>
      <c r="U120" s="2125"/>
      <c r="V120" s="2125"/>
      <c r="W120" s="2125"/>
      <c r="X120" s="2125"/>
      <c r="Y120" s="2125"/>
      <c r="Z120" s="2125"/>
      <c r="AA120" s="2125"/>
      <c r="AB120" s="2125"/>
      <c r="AC120" s="2125"/>
    </row>
    <row r="121" spans="1:29" ht="15.75" thickBot="1">
      <c r="A121" s="649"/>
      <c r="B121" s="658"/>
      <c r="C121" s="672">
        <v>100</v>
      </c>
      <c r="D121" s="672">
        <v>98</v>
      </c>
      <c r="E121" s="672">
        <v>96</v>
      </c>
      <c r="F121" s="672">
        <v>94</v>
      </c>
      <c r="G121" s="651"/>
      <c r="H121" s="651"/>
      <c r="I121" s="651"/>
      <c r="J121" s="651"/>
      <c r="K121" s="651"/>
      <c r="L121" s="651"/>
      <c r="M121" s="652"/>
      <c r="N121" s="2146"/>
      <c r="O121" s="2146"/>
      <c r="P121" s="2145"/>
      <c r="Q121" s="2138"/>
      <c r="R121" s="2125"/>
      <c r="S121" s="2125"/>
      <c r="T121" s="2125"/>
      <c r="U121" s="2125"/>
      <c r="V121" s="2125"/>
      <c r="W121" s="2125"/>
      <c r="X121" s="2125"/>
      <c r="Y121" s="2125"/>
      <c r="Z121" s="2125"/>
      <c r="AA121" s="2125"/>
      <c r="AB121" s="2125"/>
      <c r="AC121" s="2125"/>
    </row>
    <row r="122" spans="1:29" s="1324" customFormat="1" ht="15" thickTop="1">
      <c r="A122" s="708"/>
      <c r="B122" s="653">
        <f>B42</f>
        <v>111</v>
      </c>
      <c r="C122" s="641">
        <v>111</v>
      </c>
      <c r="D122" s="641">
        <v>222</v>
      </c>
      <c r="E122" s="641">
        <v>333</v>
      </c>
      <c r="F122" s="641">
        <v>444</v>
      </c>
      <c r="G122" s="669"/>
      <c r="H122" s="669"/>
      <c r="I122" s="669"/>
      <c r="J122" s="669"/>
      <c r="K122" s="669"/>
      <c r="L122" s="670"/>
      <c r="M122" s="671"/>
      <c r="N122" s="2147"/>
      <c r="O122" s="2147"/>
      <c r="P122" s="2148"/>
      <c r="Q122" s="2149"/>
      <c r="R122" s="2150"/>
      <c r="S122" s="2150"/>
      <c r="T122" s="2150"/>
      <c r="U122" s="2150"/>
      <c r="V122" s="2150"/>
      <c r="W122" s="2150"/>
      <c r="X122" s="2150"/>
      <c r="Y122" s="2150"/>
      <c r="Z122" s="2150"/>
      <c r="AA122" s="2150"/>
      <c r="AB122" s="2150"/>
      <c r="AC122" s="2150"/>
    </row>
    <row r="123" spans="1:29" s="1324" customFormat="1" ht="15.75" thickBot="1">
      <c r="A123" s="678"/>
      <c r="B123" s="716"/>
      <c r="C123" s="680">
        <v>100</v>
      </c>
      <c r="D123" s="680">
        <v>97</v>
      </c>
      <c r="E123" s="680">
        <v>94</v>
      </c>
      <c r="F123" s="680">
        <v>91</v>
      </c>
      <c r="G123" s="706"/>
      <c r="H123" s="706"/>
      <c r="I123" s="706"/>
      <c r="J123" s="706"/>
      <c r="K123" s="706"/>
      <c r="L123" s="706"/>
      <c r="M123" s="707"/>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384" customWidth="1"/>
    <col min="2" max="2" width="19.25" style="1509" customWidth="1"/>
    <col min="3" max="4" width="12" style="1385"/>
    <col min="5" max="5" width="14.625" style="1385" customWidth="1"/>
    <col min="6" max="8" width="12" style="1385"/>
    <col min="9" max="9" width="12.25" style="1385" bestFit="1" customWidth="1"/>
    <col min="10" max="10" width="12" style="1385"/>
    <col min="11" max="11" width="9.625" style="1382" customWidth="1"/>
    <col min="12" max="12" width="12" style="1385"/>
    <col min="13" max="14" width="10.625" style="1385" customWidth="1"/>
    <col min="15" max="17" width="12" style="1385"/>
    <col min="18" max="18" width="12" style="1384"/>
    <col min="19" max="22" width="15.5" style="1384" customWidth="1"/>
    <col min="23" max="28" width="12" style="1385"/>
    <col min="29" max="29" width="9.375" style="1384" customWidth="1"/>
    <col min="30" max="35" width="9.375" style="1383" customWidth="1"/>
    <col min="36" max="39" width="9.375" style="1384" customWidth="1"/>
    <col min="40" max="41" width="9.375" style="1385" customWidth="1"/>
    <col min="42" max="16384" width="12" style="1385"/>
  </cols>
  <sheetData>
    <row r="1" spans="1:39" ht="20.25">
      <c r="A1" s="1379" t="s">
        <v>1905</v>
      </c>
      <c r="B1" s="1380"/>
      <c r="C1" s="1386" t="s">
        <v>2688</v>
      </c>
      <c r="D1" s="1502">
        <f>SUM(D29:D30,D33:D39)</f>
        <v>0</v>
      </c>
      <c r="E1" s="1386" t="s">
        <v>2689</v>
      </c>
      <c r="F1" s="2464"/>
      <c r="G1" s="1381"/>
      <c r="H1" s="1381"/>
      <c r="I1" s="1381"/>
      <c r="J1" s="1381"/>
      <c r="K1" s="1381"/>
      <c r="L1" s="1857" t="s">
        <v>2466</v>
      </c>
      <c r="M1" s="1858">
        <f>SUMPRODUCT((区片价!B5:B9=I2)*(区片价!C3:F3=E2)*(区片价!C5:F9))</f>
        <v>0</v>
      </c>
      <c r="N1" s="1859">
        <f>SUMPRODUCT((因素修正幅度!B5:B9=I2)*(因素修正幅度!C3:F3=E2)*(因素修正幅度!C5:F9))</f>
        <v>0</v>
      </c>
      <c r="O1" s="2169"/>
      <c r="P1" s="2169"/>
      <c r="Q1" s="2169"/>
      <c r="R1" s="2954" t="s">
        <v>3046</v>
      </c>
      <c r="S1" s="2954" t="s">
        <v>3047</v>
      </c>
      <c r="T1" s="2954" t="s">
        <v>3068</v>
      </c>
      <c r="U1" s="2954" t="s">
        <v>3069</v>
      </c>
      <c r="V1" s="2954" t="s">
        <v>3070</v>
      </c>
      <c r="W1" s="2169"/>
      <c r="X1" s="2169"/>
      <c r="Y1" s="2169"/>
      <c r="Z1" s="2169"/>
      <c r="AA1" s="2169"/>
      <c r="AB1" s="2169"/>
      <c r="AC1" s="2170"/>
    </row>
    <row r="2" spans="1:39" ht="15.75">
      <c r="A2" s="1386" t="s">
        <v>1114</v>
      </c>
      <c r="B2" s="1017">
        <f>C26</f>
        <v>0</v>
      </c>
      <c r="C2" s="1387" t="s">
        <v>1115</v>
      </c>
      <c r="D2" s="1388" t="s">
        <v>1116</v>
      </c>
      <c r="E2" s="1389" t="s">
        <v>1117</v>
      </c>
      <c r="F2" s="1388" t="s">
        <v>1118</v>
      </c>
      <c r="G2" s="1633" t="str">
        <f>IF(E2="商业",项目基本情况!B43,IF(E2="办公",项目基本情况!C43,IF(E2="住宅",项目基本情况!D43,项目基本情况!E43)))</f>
        <v>八级</v>
      </c>
      <c r="H2" s="1388" t="s">
        <v>1120</v>
      </c>
      <c r="I2" s="1634" t="str">
        <f>IF(E2="商业",项目基本情况!B44,IF(E2="办公",项目基本情况!C44,IF(E2="住宅",项目基本情况!D44,项目基本情况!E44)))</f>
        <v>Ⅷ-昌1</v>
      </c>
      <c r="J2" s="1390"/>
      <c r="K2" s="1381"/>
      <c r="L2" s="1860" t="s">
        <v>2467</v>
      </c>
      <c r="M2" s="1861">
        <f>SUMPRODUCT((区片价!B10:B28=I2)*(区片价!C3:F3=E2)*(区片价!C10:F28))</f>
        <v>0</v>
      </c>
      <c r="N2" s="1862">
        <f>SUMPRODUCT((因素修正幅度!B10:B28=I2)*(因素修正幅度!C3:F3=E2)*(因素修正幅度!C10:F28))</f>
        <v>0</v>
      </c>
      <c r="O2" s="2169"/>
      <c r="P2" s="2169"/>
      <c r="Q2" s="2169"/>
      <c r="R2" s="2955">
        <v>1</v>
      </c>
      <c r="S2" s="2955">
        <f>ROUND(IF(G3&gt;1,IF(R2&lt;7,SUMPRODUCT((B93:B98=R2)*(C92:N92=G2)*(C93:N98)),SUMIF(C92:N92,G2,C100:N100)),IF(R2&lt;7,SUMPRODUCT((B102:B107=R2)*(C92:N92=G2)*(C102:N107)),SUMIF(C92:N92,G2,C109:N109))),4)</f>
        <v>1.9419999999999999</v>
      </c>
      <c r="T2" s="2955">
        <f>ROUND($C$5*$C$18*$C$19*$C$20*S2*$C$24,0)</f>
        <v>20578</v>
      </c>
      <c r="U2" s="2943"/>
      <c r="V2" s="2955">
        <f>ROUND(T2*U2/10000,0)</f>
        <v>0</v>
      </c>
      <c r="W2" s="2169"/>
      <c r="X2" s="2169"/>
      <c r="Y2" s="2169"/>
      <c r="Z2" s="2169"/>
      <c r="AA2" s="2169"/>
      <c r="AB2" s="2169"/>
      <c r="AC2" s="2170"/>
    </row>
    <row r="3" spans="1:39" ht="24">
      <c r="A3" s="1391" t="s">
        <v>1896</v>
      </c>
      <c r="B3" s="1017" t="e">
        <f>ROUND(B2*10000/D1,0)</f>
        <v>#DIV/0!</v>
      </c>
      <c r="C3" s="1387" t="s">
        <v>1121</v>
      </c>
      <c r="D3" s="1388" t="s">
        <v>1122</v>
      </c>
      <c r="E3" s="1392" t="s">
        <v>3107</v>
      </c>
      <c r="F3" s="1393" t="s">
        <v>1847</v>
      </c>
      <c r="G3" s="1018">
        <f>IF(F3="宗地容积率",'数据-汇总表'!I4,IF(F3="估价对象容积率",'数据-汇总表'!I6,'数据-汇总表'!I7))</f>
        <v>4.45</v>
      </c>
      <c r="H3" s="1394" t="s">
        <v>1123</v>
      </c>
      <c r="I3" s="1019">
        <v>8</v>
      </c>
      <c r="J3" s="1390" t="s">
        <v>1124</v>
      </c>
      <c r="K3" s="1381"/>
      <c r="L3" s="1860" t="s">
        <v>2468</v>
      </c>
      <c r="M3" s="1861">
        <f>SUMPRODUCT((区片价!B29:B48=I2)*(区片价!C3:F3=E2)*(区片价!C29:F48))</f>
        <v>0</v>
      </c>
      <c r="N3" s="1862">
        <f>SUMPRODUCT((因素修正幅度!B29:B48=I2)*(因素修正幅度!C3:F3=E2)*(因素修正幅度!C29:F48))</f>
        <v>0</v>
      </c>
      <c r="O3" s="2169"/>
      <c r="P3" s="2169"/>
      <c r="Q3" s="2169"/>
      <c r="R3" s="2955">
        <v>2</v>
      </c>
      <c r="S3" s="2955">
        <f>ROUND(IF(G3&gt;1,IF(R3&lt;7,SUMPRODUCT((B93:B98=R3)*(C92:N92=G2)*(C93:N98)),SUMIF(C92:N92,G2,C100:N100)),IF(R3&lt;7,SUMPRODUCT((B102:B107=R3)*(C92:N92=G2)*(C102:N107)),SUMIF(C92:N92,G2,C109:N109))),4)</f>
        <v>1.2799</v>
      </c>
      <c r="T3" s="2955">
        <f t="shared" ref="T3:T16" si="0">ROUND($C$5*$C$18*$C$19*$C$20*S3*$C$24,0)</f>
        <v>13562</v>
      </c>
      <c r="U3" s="2943"/>
      <c r="V3" s="2955">
        <f t="shared" ref="V3:V16" si="1">ROUND(T3*U3/10000,0)</f>
        <v>0</v>
      </c>
      <c r="W3" s="2169"/>
      <c r="X3" s="2169"/>
      <c r="Y3" s="2169"/>
      <c r="Z3" s="2169"/>
      <c r="AA3" s="2169"/>
      <c r="AB3" s="2169"/>
      <c r="AC3" s="2170"/>
    </row>
    <row r="4" spans="1:39" ht="28.5">
      <c r="A4" s="1866" t="s">
        <v>2508</v>
      </c>
      <c r="B4" s="2465" t="e">
        <f>ROUND(B2*10000/F1,0)</f>
        <v>#DIV/0!</v>
      </c>
      <c r="C4" s="1869" t="s">
        <v>2482</v>
      </c>
      <c r="D4" s="1869" t="e">
        <f>ROUND(B2/(F1/666.67),0)</f>
        <v>#DIV/0!</v>
      </c>
      <c r="E4" s="1869" t="s">
        <v>2483</v>
      </c>
      <c r="F4" s="1867"/>
      <c r="G4" s="1867"/>
      <c r="H4" s="1867"/>
      <c r="I4" s="1867"/>
      <c r="J4" s="1868"/>
      <c r="K4" s="1381"/>
      <c r="L4" s="1860" t="s">
        <v>2469</v>
      </c>
      <c r="M4" s="1861">
        <f>SUMPRODUCT((区片价!B49:B75=I2)*(区片价!C3:F3=E2)*(区片价!C49:F75))</f>
        <v>0</v>
      </c>
      <c r="N4" s="1862">
        <f>SUMPRODUCT((因素修正幅度!B49:B75=I2)*(因素修正幅度!C3:F3=E2)*(因素修正幅度!C49:F75))</f>
        <v>0</v>
      </c>
      <c r="O4" s="2169"/>
      <c r="P4" s="2169"/>
      <c r="Q4" s="2169"/>
      <c r="R4" s="2955">
        <v>3</v>
      </c>
      <c r="S4" s="2955">
        <f>ROUND(IF(G3&gt;1,IF(R4&lt;7,SUMPRODUCT((B93:B98=R4)*(C92:N92=G2)*(C93:N98)),SUMIF(C92:N92,G2,C100:N100)),IF(R4&lt;7,SUMPRODUCT((B102:B107=R4)*(C92:N92=G2)*(C102:N107)),SUMIF(C92:N92,G2,C109:N109))),4)</f>
        <v>1.0072000000000001</v>
      </c>
      <c r="T4" s="2955">
        <f t="shared" si="0"/>
        <v>10673</v>
      </c>
      <c r="U4" s="2943"/>
      <c r="V4" s="2955">
        <f t="shared" si="1"/>
        <v>0</v>
      </c>
      <c r="W4" s="2169"/>
      <c r="X4" s="2169"/>
      <c r="Y4" s="2169"/>
      <c r="Z4" s="2169"/>
      <c r="AA4" s="2169"/>
      <c r="AB4" s="2169"/>
      <c r="AC4" s="2170"/>
    </row>
    <row r="5" spans="1:39" s="1402" customFormat="1" ht="15.75" thickBot="1">
      <c r="A5" s="1619" t="s">
        <v>2037</v>
      </c>
      <c r="B5" s="1395" t="s">
        <v>1125</v>
      </c>
      <c r="C5" s="1020">
        <f>ROUND(IF(E2="商业",IF(F16="增加",C6*C7+C16,C6*C7-C16),IF(E2="住宅",IF(F16="增加",C6*C12+C16,C6*C12-C16),IF(F16="增加",C6+C16,C6-C16))),0)</f>
        <v>7610</v>
      </c>
      <c r="D5" s="1396"/>
      <c r="E5" s="1397"/>
      <c r="F5" s="1397"/>
      <c r="G5" s="1398"/>
      <c r="H5" s="1398"/>
      <c r="I5" s="1398"/>
      <c r="J5" s="1399"/>
      <c r="K5" s="1575"/>
      <c r="L5" s="1860" t="s">
        <v>2470</v>
      </c>
      <c r="M5" s="1861">
        <f>SUMPRODUCT((区片价!B76:B109=I2)*(区片价!C3:F3=E2)*(区片价!C76:F109))</f>
        <v>0</v>
      </c>
      <c r="N5" s="1862">
        <f>SUMPRODUCT((因素修正幅度!B76:B109=I2)*(因素修正幅度!C3:F3=E2)*(因素修正幅度!C76:F109))</f>
        <v>0</v>
      </c>
      <c r="O5" s="2169"/>
      <c r="P5" s="2169"/>
      <c r="Q5" s="2169"/>
      <c r="R5" s="2955">
        <v>4</v>
      </c>
      <c r="S5" s="2955">
        <f>ROUND(IF(G3&gt;1,IF(R5&lt;7,SUMPRODUCT((B93:B98=R5)*(C92:N92=G2)*(C93:N98)),SUMIF(C92:N92,G2,C100:N100)),IF(R5&lt;7,SUMPRODUCT((B102:B107=R5)*(C92:N92=G2)*(C102:N107)),SUMIF(C92:N92,G2,C109:N109))),4)</f>
        <v>0.75249999999999995</v>
      </c>
      <c r="T5" s="2955">
        <f t="shared" si="0"/>
        <v>7974</v>
      </c>
      <c r="U5" s="2943"/>
      <c r="V5" s="2955">
        <f t="shared" si="1"/>
        <v>0</v>
      </c>
      <c r="W5" s="2169"/>
      <c r="X5" s="2169"/>
      <c r="Y5" s="2169"/>
      <c r="Z5" s="2169"/>
      <c r="AA5" s="2169"/>
      <c r="AB5" s="2169"/>
      <c r="AC5" s="2171"/>
      <c r="AD5" s="1400"/>
      <c r="AE5" s="1400"/>
      <c r="AF5" s="1400"/>
      <c r="AG5" s="1400"/>
      <c r="AH5" s="1400"/>
      <c r="AI5" s="1400"/>
      <c r="AJ5" s="1401"/>
      <c r="AK5" s="1401"/>
      <c r="AL5" s="1401"/>
      <c r="AM5" s="1401"/>
    </row>
    <row r="6" spans="1:39" ht="15.75" thickBot="1">
      <c r="A6" s="1620" t="s">
        <v>2084</v>
      </c>
      <c r="B6" s="1403" t="s">
        <v>1125</v>
      </c>
      <c r="C6" s="1021">
        <f>SUMIF(L1:L12,基准地价!G2,M1:M12)</f>
        <v>5780</v>
      </c>
      <c r="D6" s="1404" t="s">
        <v>1906</v>
      </c>
      <c r="E6" s="1405"/>
      <c r="F6" s="1405"/>
      <c r="G6" s="1406"/>
      <c r="H6" s="1406"/>
      <c r="I6" s="1406"/>
      <c r="J6" s="1407"/>
      <c r="K6" s="1576"/>
      <c r="L6" s="1860" t="s">
        <v>2471</v>
      </c>
      <c r="M6" s="1861">
        <f>SUMPRODUCT((区片价!B110:B157=I2)*(区片价!C3:F3=E2)*(区片价!C110:F157))</f>
        <v>0</v>
      </c>
      <c r="N6" s="1862">
        <f>SUMPRODUCT((因素修正幅度!B110:B157=I2)*(因素修正幅度!C3:F3=E2)*(因素修正幅度!C110:F157))</f>
        <v>0</v>
      </c>
      <c r="O6" s="2169"/>
      <c r="P6" s="2169"/>
      <c r="Q6" s="2169"/>
      <c r="R6" s="2955">
        <v>5</v>
      </c>
      <c r="S6" s="2955">
        <f>ROUND(IF(G3&gt;1,IF(R6&lt;7,SUMPRODUCT((B93:B98=R6)*(C92:N92=G2)*(C93:N98)),SUMIF(C92:N92,G2,C100:N100)),IF(R6&lt;7,SUMPRODUCT((B102:B107=R6)*(C92:N92=G2)*(C102:N107)),SUMIF(C92:N92,G2,C109:N109))),4)</f>
        <v>0.56589999999999996</v>
      </c>
      <c r="T6" s="2955">
        <f t="shared" si="0"/>
        <v>5996</v>
      </c>
      <c r="U6" s="2943"/>
      <c r="V6" s="2955">
        <f t="shared" si="1"/>
        <v>0</v>
      </c>
      <c r="W6" s="2169"/>
      <c r="X6" s="2169"/>
      <c r="Y6" s="2169"/>
      <c r="Z6" s="2169"/>
      <c r="AA6" s="2169"/>
      <c r="AB6" s="2169"/>
      <c r="AC6" s="2171"/>
      <c r="AD6" s="1400"/>
      <c r="AE6" s="1400"/>
      <c r="AF6" s="1400"/>
      <c r="AG6" s="1400"/>
      <c r="AH6" s="1400"/>
      <c r="AI6" s="1400"/>
      <c r="AJ6" s="1401"/>
    </row>
    <row r="7" spans="1:39" ht="24">
      <c r="A7" s="3462" t="str">
        <f>IF(E2="商业",IF(C8="不临58条商业街","",2),"")</f>
        <v/>
      </c>
      <c r="B7" s="1408" t="s">
        <v>1126</v>
      </c>
      <c r="C7" s="1022">
        <f>IF(C8="不临58条商业街",1,ROUND(1+(1.6*E8+1.2*E9+0.8*E10+0.4*E11)*C9,4))</f>
        <v>1</v>
      </c>
      <c r="D7" s="1409" t="s">
        <v>1127</v>
      </c>
      <c r="E7" s="1023">
        <v>60</v>
      </c>
      <c r="F7" s="1410"/>
      <c r="G7" s="1411"/>
      <c r="H7" s="1411"/>
      <c r="I7" s="1411"/>
      <c r="J7" s="1412"/>
      <c r="K7" s="1576"/>
      <c r="L7" s="1860" t="s">
        <v>2472</v>
      </c>
      <c r="M7" s="1861">
        <f>SUMPRODUCT((区片价!B158:B205=I2)*(区片价!C3:F3=E2)*(区片价!C158:F205))</f>
        <v>0</v>
      </c>
      <c r="N7" s="1862">
        <f>SUMPRODUCT((因素修正幅度!B158:B205=I2)*(因素修正幅度!C3:F3=E2)*(因素修正幅度!C158:F205))</f>
        <v>0</v>
      </c>
      <c r="O7" s="2169"/>
      <c r="P7" s="2169"/>
      <c r="Q7" s="2169"/>
      <c r="R7" s="2955">
        <v>6</v>
      </c>
      <c r="S7" s="2955">
        <f>ROUND(IF(G3&gt;1,IF(R7&lt;7,SUMPRODUCT((B93:B98=R7)*(C92:N92=G2)*(C93:N98)),SUMIF(C92:N92,G2,C100:N100)),IF(R7&lt;7,SUMPRODUCT((B102:B107=R7)*(C92:N92=G2)*(C102:N107)),SUMIF(C92:N92,G2,C109:N109))),4)</f>
        <v>0.45250000000000001</v>
      </c>
      <c r="T7" s="2955">
        <f t="shared" si="0"/>
        <v>4795</v>
      </c>
      <c r="U7" s="2943"/>
      <c r="V7" s="2955">
        <f t="shared" si="1"/>
        <v>0</v>
      </c>
      <c r="W7" s="2953" t="s">
        <v>3049</v>
      </c>
      <c r="X7" s="2944" t="str">
        <f>G2</f>
        <v>八级</v>
      </c>
      <c r="Y7" s="2944" t="s">
        <v>3050</v>
      </c>
      <c r="Z7" s="2945">
        <f>G3</f>
        <v>4.45</v>
      </c>
      <c r="AA7" s="2172"/>
      <c r="AB7" s="2172"/>
      <c r="AC7" s="2173"/>
      <c r="AD7" s="2946"/>
      <c r="AE7" s="2946"/>
      <c r="AF7" s="2946"/>
      <c r="AG7" s="2946"/>
      <c r="AH7" s="2946"/>
      <c r="AI7" s="2946"/>
      <c r="AJ7" s="2947"/>
    </row>
    <row r="8" spans="1:39" ht="25.5">
      <c r="A8" s="3463"/>
      <c r="B8" s="1394" t="s">
        <v>1128</v>
      </c>
      <c r="C8" s="1510" t="s">
        <v>1917</v>
      </c>
      <c r="D8" s="1024" t="s">
        <v>1129</v>
      </c>
      <c r="E8" s="1025">
        <f>ROUND(C11/E7,4)</f>
        <v>0</v>
      </c>
      <c r="F8" s="1413" t="s">
        <v>1130</v>
      </c>
      <c r="G8" s="1414"/>
      <c r="H8" s="1414"/>
      <c r="I8" s="1414"/>
      <c r="J8" s="1415"/>
      <c r="K8" s="1381"/>
      <c r="L8" s="1860" t="s">
        <v>2473</v>
      </c>
      <c r="M8" s="1861">
        <f>SUMPRODUCT((区片价!B206:B244=I2)*(区片价!C3:F3=E2)*(区片价!C206:F244))</f>
        <v>5780</v>
      </c>
      <c r="N8" s="1862">
        <f>SUMPRODUCT((因素修正幅度!B206:B244=I2)*(因素修正幅度!C3:F3=E2)*(因素修正幅度!C206:F244))</f>
        <v>0.15</v>
      </c>
      <c r="O8" s="2169"/>
      <c r="P8" s="2169"/>
      <c r="Q8" s="2169"/>
      <c r="R8" s="2955">
        <v>7</v>
      </c>
      <c r="S8" s="2943">
        <v>0.64729999999999999</v>
      </c>
      <c r="T8" s="2955">
        <f t="shared" si="0"/>
        <v>6859</v>
      </c>
      <c r="U8" s="2943"/>
      <c r="V8" s="2955">
        <f t="shared" si="1"/>
        <v>0</v>
      </c>
      <c r="W8" s="3454" t="s">
        <v>3067</v>
      </c>
      <c r="X8" s="3455"/>
      <c r="Y8" s="1822" t="s">
        <v>3051</v>
      </c>
      <c r="Z8" s="1822" t="s">
        <v>3052</v>
      </c>
      <c r="AA8" s="1822" t="s">
        <v>3053</v>
      </c>
      <c r="AB8" s="1822" t="s">
        <v>3054</v>
      </c>
      <c r="AC8" s="1822" t="s">
        <v>3055</v>
      </c>
      <c r="AD8" s="1822" t="s">
        <v>3056</v>
      </c>
      <c r="AE8" s="1822" t="s">
        <v>3057</v>
      </c>
      <c r="AF8" s="1822" t="s">
        <v>3058</v>
      </c>
      <c r="AG8" s="1822" t="s">
        <v>3059</v>
      </c>
      <c r="AH8" s="1822" t="s">
        <v>3060</v>
      </c>
      <c r="AI8" s="1822" t="s">
        <v>3061</v>
      </c>
      <c r="AJ8" s="1822" t="s">
        <v>3062</v>
      </c>
    </row>
    <row r="9" spans="1:39" ht="15">
      <c r="A9" s="3463"/>
      <c r="B9" s="1394" t="s">
        <v>1131</v>
      </c>
      <c r="C9" s="1026">
        <f>SUMIF(修正!C59:C119,C8,修正!E59:E119)</f>
        <v>0</v>
      </c>
      <c r="D9" s="1027" t="s">
        <v>1132</v>
      </c>
      <c r="E9" s="1027">
        <f>ROUND(C11/E7,4)</f>
        <v>0</v>
      </c>
      <c r="F9" s="1413" t="s">
        <v>1133</v>
      </c>
      <c r="G9" s="1414"/>
      <c r="H9" s="1414"/>
      <c r="I9" s="1414"/>
      <c r="J9" s="1415"/>
      <c r="K9" s="1381"/>
      <c r="L9" s="1860" t="s">
        <v>2474</v>
      </c>
      <c r="M9" s="1861">
        <f>SUMPRODUCT((区片价!B245:B289=I2)*(区片价!C3:F3=E2)*(区片价!C245:F289))</f>
        <v>0</v>
      </c>
      <c r="N9" s="1862">
        <f>SUMPRODUCT((因素修正幅度!B245:B289=I2)*(因素修正幅度!C3:F3=E2)*(因素修正幅度!C245:F289))</f>
        <v>0</v>
      </c>
      <c r="O9" s="2169"/>
      <c r="P9" s="2169"/>
      <c r="Q9" s="2169"/>
      <c r="R9" s="2955">
        <v>8</v>
      </c>
      <c r="S9" s="2943">
        <v>0.64629999999999999</v>
      </c>
      <c r="T9" s="2955">
        <f t="shared" si="0"/>
        <v>6848</v>
      </c>
      <c r="U9" s="2943"/>
      <c r="V9" s="2955">
        <f t="shared" si="1"/>
        <v>0</v>
      </c>
      <c r="W9" s="3453" t="s">
        <v>3063</v>
      </c>
      <c r="X9" s="2948" t="s">
        <v>3064</v>
      </c>
      <c r="Y9" s="2949">
        <v>15</v>
      </c>
      <c r="Z9" s="2950">
        <f>$Y$9</f>
        <v>15</v>
      </c>
      <c r="AA9" s="2950">
        <f t="shared" ref="AA9:AJ9" si="2">$Y$9</f>
        <v>15</v>
      </c>
      <c r="AB9" s="2950">
        <f t="shared" si="2"/>
        <v>15</v>
      </c>
      <c r="AC9" s="2950">
        <f t="shared" si="2"/>
        <v>15</v>
      </c>
      <c r="AD9" s="2950">
        <f t="shared" si="2"/>
        <v>15</v>
      </c>
      <c r="AE9" s="2950">
        <f t="shared" si="2"/>
        <v>15</v>
      </c>
      <c r="AF9" s="2950">
        <f t="shared" si="2"/>
        <v>15</v>
      </c>
      <c r="AG9" s="2950">
        <f t="shared" si="2"/>
        <v>15</v>
      </c>
      <c r="AH9" s="2950">
        <f t="shared" si="2"/>
        <v>15</v>
      </c>
      <c r="AI9" s="2950">
        <f t="shared" si="2"/>
        <v>15</v>
      </c>
      <c r="AJ9" s="2950">
        <f t="shared" si="2"/>
        <v>15</v>
      </c>
    </row>
    <row r="10" spans="1:39" ht="15">
      <c r="A10" s="3463"/>
      <c r="B10" s="1394" t="s">
        <v>1134</v>
      </c>
      <c r="C10" s="1027">
        <f>SUMIF(修正!C59:C119,C8,修正!F59:F119)</f>
        <v>0</v>
      </c>
      <c r="D10" s="1027" t="s">
        <v>1135</v>
      </c>
      <c r="E10" s="1027">
        <f>ROUND(C11/E7,4)</f>
        <v>0</v>
      </c>
      <c r="F10" s="1413" t="s">
        <v>1136</v>
      </c>
      <c r="G10" s="1414"/>
      <c r="H10" s="1414"/>
      <c r="I10" s="1414"/>
      <c r="J10" s="1415"/>
      <c r="K10" s="1381"/>
      <c r="L10" s="1860" t="s">
        <v>2475</v>
      </c>
      <c r="M10" s="1861">
        <f>SUMPRODUCT((区片价!B290:B316=I2)*(区片价!C3:F3=E2)*(区片价!C290:F316))</f>
        <v>0</v>
      </c>
      <c r="N10" s="1862">
        <f>SUMPRODUCT((因素修正幅度!B290:B316=I2)*(因素修正幅度!C3:F3=E2)*(因素修正幅度!C290:F316))</f>
        <v>0</v>
      </c>
      <c r="O10" s="2169"/>
      <c r="P10" s="2169"/>
      <c r="Q10" s="2169"/>
      <c r="R10" s="2955">
        <v>9</v>
      </c>
      <c r="S10" s="2943">
        <v>0.6452</v>
      </c>
      <c r="T10" s="2955">
        <f t="shared" si="0"/>
        <v>6837</v>
      </c>
      <c r="U10" s="2943"/>
      <c r="V10" s="2955">
        <f t="shared" si="1"/>
        <v>0</v>
      </c>
      <c r="W10" s="3453"/>
      <c r="X10" s="2948">
        <v>7</v>
      </c>
      <c r="Y10" s="2951">
        <f>(-0.163*(Y9^2)-0.59*Y9+7617)*(10^(-4))</f>
        <v>0.75714750000000008</v>
      </c>
      <c r="Z10" s="2951">
        <f>(-0.163*(Z9^2)-0.59*Z9+7617)*(10^(-4))</f>
        <v>0.75714750000000008</v>
      </c>
      <c r="AA10" s="2951">
        <f>(-0.161*(AA9^2)-7.509*AA9+6533)*(10^(-4))</f>
        <v>0.63841400000000004</v>
      </c>
      <c r="AB10" s="2951">
        <f>(-0.161*(AB9^2)-7.509*AB9+6533)*(10^(-4))</f>
        <v>0.63841400000000004</v>
      </c>
      <c r="AC10" s="2951">
        <f>(-0.161*(AC9^2)-7.509*AC9+6533)*(10^(-4))</f>
        <v>0.63841400000000004</v>
      </c>
      <c r="AD10" s="2951">
        <f>(-0.161*(AD9^2)-7.509*AD9+6533)*(10^(-4))</f>
        <v>0.63841400000000004</v>
      </c>
      <c r="AE10" s="2951">
        <f>(-0.161*(AE9^2)-7.509*AE9+6533)*(10^(-4))</f>
        <v>0.63841400000000004</v>
      </c>
      <c r="AF10" s="2951">
        <f>(-0.214*(AF9^2)-21.991*AF9+4665)*(10^(-4))</f>
        <v>0.42869849999999998</v>
      </c>
      <c r="AG10" s="2951">
        <f>(-0.214*(AG9^2)-21.991*AG9+4665)*(10^(-4))</f>
        <v>0.42869849999999998</v>
      </c>
      <c r="AH10" s="2951">
        <f>(-0.214*(AH9^2)-21.991*AH9+4665)*(10^(-4))</f>
        <v>0.42869849999999998</v>
      </c>
      <c r="AI10" s="2951">
        <f>(-0.214*(AI9^2)-21.991*AI9+4665)*(10^(-4))</f>
        <v>0.42869849999999998</v>
      </c>
      <c r="AJ10" s="2951">
        <f>(-0.214*(AJ9^2)-21.991*AJ9+4665)*(10^(-4))</f>
        <v>0.42869849999999998</v>
      </c>
    </row>
    <row r="11" spans="1:39" ht="15.75" customHeight="1" thickBot="1">
      <c r="A11" s="3463"/>
      <c r="B11" s="1416" t="s">
        <v>1137</v>
      </c>
      <c r="C11" s="1028">
        <f>C10/4</f>
        <v>0</v>
      </c>
      <c r="D11" s="1028" t="s">
        <v>1138</v>
      </c>
      <c r="E11" s="1028">
        <f>ROUND(C11/E7,4)</f>
        <v>0</v>
      </c>
      <c r="F11" s="1417" t="s">
        <v>1139</v>
      </c>
      <c r="G11" s="1418"/>
      <c r="H11" s="1418"/>
      <c r="I11" s="1418"/>
      <c r="J11" s="1419"/>
      <c r="K11" s="1381"/>
      <c r="L11" s="1860" t="s">
        <v>2476</v>
      </c>
      <c r="M11" s="1861">
        <f>SUMPRODUCT((区片价!B317:B337=I2)*(区片价!C3:F3=E2)*(区片价!C317:F337))</f>
        <v>0</v>
      </c>
      <c r="N11" s="1862">
        <f>SUMPRODUCT((因素修正幅度!B317:B337=I2)*(因素修正幅度!C3:F3=E2)*(因素修正幅度!C317:F337))</f>
        <v>0</v>
      </c>
      <c r="O11" s="2169"/>
      <c r="P11" s="2169"/>
      <c r="Q11" s="2169"/>
      <c r="R11" s="2955">
        <v>10</v>
      </c>
      <c r="S11" s="2943">
        <v>0.64419999999999999</v>
      </c>
      <c r="T11" s="2955">
        <f t="shared" si="0"/>
        <v>6826</v>
      </c>
      <c r="U11" s="2943"/>
      <c r="V11" s="2955">
        <f t="shared" si="1"/>
        <v>0</v>
      </c>
      <c r="W11" s="3453" t="s">
        <v>3065</v>
      </c>
      <c r="X11" s="1027" t="s">
        <v>3050</v>
      </c>
      <c r="Y11" s="1634">
        <f>$G$3</f>
        <v>4.45</v>
      </c>
      <c r="Z11" s="1634">
        <f t="shared" ref="Z11:AJ11" si="3">$G$3</f>
        <v>4.45</v>
      </c>
      <c r="AA11" s="1634">
        <f t="shared" si="3"/>
        <v>4.45</v>
      </c>
      <c r="AB11" s="1634">
        <f t="shared" si="3"/>
        <v>4.45</v>
      </c>
      <c r="AC11" s="1634">
        <f t="shared" si="3"/>
        <v>4.45</v>
      </c>
      <c r="AD11" s="1634">
        <f t="shared" si="3"/>
        <v>4.45</v>
      </c>
      <c r="AE11" s="1634">
        <f t="shared" si="3"/>
        <v>4.45</v>
      </c>
      <c r="AF11" s="1634">
        <f t="shared" si="3"/>
        <v>4.45</v>
      </c>
      <c r="AG11" s="1634">
        <f t="shared" si="3"/>
        <v>4.45</v>
      </c>
      <c r="AH11" s="1634">
        <f t="shared" si="3"/>
        <v>4.45</v>
      </c>
      <c r="AI11" s="1634">
        <f t="shared" si="3"/>
        <v>4.45</v>
      </c>
      <c r="AJ11" s="1634">
        <f t="shared" si="3"/>
        <v>4.45</v>
      </c>
    </row>
    <row r="12" spans="1:39" ht="25.5" thickBot="1">
      <c r="A12" s="3462" t="s">
        <v>2085</v>
      </c>
      <c r="B12" s="1420" t="s">
        <v>1140</v>
      </c>
      <c r="C12" s="1022">
        <f>ROUND(C15*D15*E15*F15*G15*H15*I15*J15,4)</f>
        <v>1.32</v>
      </c>
      <c r="D12" s="1421" t="s">
        <v>1141</v>
      </c>
      <c r="E12" s="1422"/>
      <c r="F12" s="1422"/>
      <c r="G12" s="1423"/>
      <c r="H12" s="1423"/>
      <c r="I12" s="1423"/>
      <c r="J12" s="1424"/>
      <c r="K12" s="1381"/>
      <c r="L12" s="1863" t="s">
        <v>2477</v>
      </c>
      <c r="M12" s="1864">
        <f>SUMPRODUCT((区片价!B338:B344=I2)*(区片价!C3:F3=E2)*(区片价!C338:F344))</f>
        <v>0</v>
      </c>
      <c r="N12" s="1865">
        <f>SUMPRODUCT((因素修正幅度!B338:B344=I2)*(因素修正幅度!C3:F3=E2)*(因素修正幅度!C338:F344))</f>
        <v>0</v>
      </c>
      <c r="O12" s="2169"/>
      <c r="P12" s="2169"/>
      <c r="Q12" s="2169"/>
      <c r="R12" s="2955">
        <v>11</v>
      </c>
      <c r="S12" s="2943">
        <v>0.6431</v>
      </c>
      <c r="T12" s="2955">
        <f t="shared" si="0"/>
        <v>6815</v>
      </c>
      <c r="U12" s="2943"/>
      <c r="V12" s="2955">
        <f t="shared" si="1"/>
        <v>0</v>
      </c>
      <c r="W12" s="3453"/>
      <c r="X12" s="2952" t="s">
        <v>3066</v>
      </c>
      <c r="Y12" s="2950">
        <f t="shared" ref="Y12:AJ12" si="4">Y9</f>
        <v>15</v>
      </c>
      <c r="Z12" s="2950">
        <f t="shared" si="4"/>
        <v>15</v>
      </c>
      <c r="AA12" s="2950">
        <f t="shared" si="4"/>
        <v>15</v>
      </c>
      <c r="AB12" s="2950">
        <f t="shared" si="4"/>
        <v>15</v>
      </c>
      <c r="AC12" s="2950">
        <f t="shared" si="4"/>
        <v>15</v>
      </c>
      <c r="AD12" s="2950">
        <f t="shared" si="4"/>
        <v>15</v>
      </c>
      <c r="AE12" s="2950">
        <f t="shared" si="4"/>
        <v>15</v>
      </c>
      <c r="AF12" s="2950">
        <f t="shared" si="4"/>
        <v>15</v>
      </c>
      <c r="AG12" s="2950">
        <f t="shared" si="4"/>
        <v>15</v>
      </c>
      <c r="AH12" s="2950">
        <f t="shared" si="4"/>
        <v>15</v>
      </c>
      <c r="AI12" s="2950">
        <f t="shared" si="4"/>
        <v>15</v>
      </c>
      <c r="AJ12" s="2950">
        <f t="shared" si="4"/>
        <v>15</v>
      </c>
    </row>
    <row r="13" spans="1:39" ht="24">
      <c r="A13" s="3464"/>
      <c r="B13" s="1425" t="s">
        <v>1907</v>
      </c>
      <c r="C13" s="1426" t="s">
        <v>1908</v>
      </c>
      <c r="D13" s="1068" t="s">
        <v>1909</v>
      </c>
      <c r="E13" s="1068" t="s">
        <v>1910</v>
      </c>
      <c r="F13" s="1427" t="s">
        <v>1142</v>
      </c>
      <c r="G13" s="1428" t="s">
        <v>1843</v>
      </c>
      <c r="H13" s="1429" t="s">
        <v>1843</v>
      </c>
      <c r="I13" s="1430" t="s">
        <v>1843</v>
      </c>
      <c r="J13" s="1431" t="s">
        <v>1843</v>
      </c>
      <c r="K13" s="1381"/>
      <c r="L13" s="2169"/>
      <c r="M13" s="2169"/>
      <c r="N13" s="2169"/>
      <c r="O13" s="2169"/>
      <c r="P13" s="2169"/>
      <c r="Q13" s="2169"/>
      <c r="R13" s="2955">
        <v>12</v>
      </c>
      <c r="S13" s="2943">
        <v>0.64200000000000002</v>
      </c>
      <c r="T13" s="2955">
        <f t="shared" si="0"/>
        <v>6803</v>
      </c>
      <c r="U13" s="2943"/>
      <c r="V13" s="2955">
        <f t="shared" si="1"/>
        <v>0</v>
      </c>
      <c r="W13" s="3453"/>
      <c r="X13" s="2952"/>
      <c r="Y13" s="2951">
        <f>(-0.163*(Y12^2)-0.59*Y12+7617)*(10^(-4))/Y11</f>
        <v>0.17014550561797753</v>
      </c>
      <c r="Z13" s="2951">
        <f t="shared" ref="Z13:AJ13" si="5">(-0.163*(Z12^2)-0.59*Z12+7617)*(10^(-4))/Z11</f>
        <v>0.17014550561797753</v>
      </c>
      <c r="AA13" s="2951">
        <f t="shared" si="5"/>
        <v>0.17014550561797753</v>
      </c>
      <c r="AB13" s="2951">
        <f t="shared" si="5"/>
        <v>0.17014550561797753</v>
      </c>
      <c r="AC13" s="2951">
        <f t="shared" si="5"/>
        <v>0.17014550561797753</v>
      </c>
      <c r="AD13" s="2951">
        <f t="shared" si="5"/>
        <v>0.17014550561797753</v>
      </c>
      <c r="AE13" s="2951">
        <f t="shared" si="5"/>
        <v>0.17014550561797753</v>
      </c>
      <c r="AF13" s="2951">
        <f t="shared" si="5"/>
        <v>0.17014550561797753</v>
      </c>
      <c r="AG13" s="2951">
        <f t="shared" si="5"/>
        <v>0.17014550561797753</v>
      </c>
      <c r="AH13" s="2951">
        <f t="shared" si="5"/>
        <v>0.17014550561797753</v>
      </c>
      <c r="AI13" s="2951">
        <f t="shared" si="5"/>
        <v>0.17014550561797753</v>
      </c>
      <c r="AJ13" s="2951">
        <f t="shared" si="5"/>
        <v>0.17014550561797753</v>
      </c>
    </row>
    <row r="14" spans="1:39" ht="12.75" customHeight="1" thickBot="1">
      <c r="A14" s="3464"/>
      <c r="B14" s="1432"/>
      <c r="C14" s="1433" t="s">
        <v>1143</v>
      </c>
      <c r="D14" s="1434" t="s">
        <v>1144</v>
      </c>
      <c r="E14" s="1434" t="s">
        <v>1144</v>
      </c>
      <c r="F14" s="1435" t="s">
        <v>1145</v>
      </c>
      <c r="G14" s="1436" t="s">
        <v>1146</v>
      </c>
      <c r="H14" s="1437"/>
      <c r="I14" s="1438"/>
      <c r="J14" s="1439"/>
      <c r="K14" s="1381"/>
      <c r="L14" s="2169"/>
      <c r="M14" s="2169"/>
      <c r="N14" s="2169"/>
      <c r="O14" s="2169"/>
      <c r="P14" s="2169"/>
      <c r="Q14" s="2169"/>
      <c r="R14" s="2955">
        <v>13</v>
      </c>
      <c r="S14" s="2943">
        <v>0.64080000000000004</v>
      </c>
      <c r="T14" s="2955">
        <f t="shared" si="0"/>
        <v>6790</v>
      </c>
      <c r="U14" s="2943"/>
      <c r="V14" s="2955">
        <f t="shared" si="1"/>
        <v>0</v>
      </c>
      <c r="W14" s="2169"/>
      <c r="X14" s="2169"/>
      <c r="Y14" s="2169"/>
      <c r="Z14" s="2169"/>
      <c r="AA14" s="2169"/>
      <c r="AB14" s="2169"/>
      <c r="AC14" s="2170"/>
    </row>
    <row r="15" spans="1:39" ht="13.5" customHeight="1" thickBot="1">
      <c r="A15" s="3465"/>
      <c r="B15" s="1440" t="s">
        <v>1911</v>
      </c>
      <c r="C15" s="1030">
        <f>IF(C14="有",1.1,1)</f>
        <v>1.1000000000000001</v>
      </c>
      <c r="D15" s="1030">
        <f>IF(D14="有",1.1,1)</f>
        <v>1</v>
      </c>
      <c r="E15" s="1030">
        <f>IF(E14="有",1.1,1)</f>
        <v>1</v>
      </c>
      <c r="F15" s="1030">
        <f>IF(F14="500米范围内",1.2,IF(F14="500-1000米",1.1,1))</f>
        <v>1.2</v>
      </c>
      <c r="G15" s="1031">
        <v>1</v>
      </c>
      <c r="H15" s="1031">
        <v>1</v>
      </c>
      <c r="I15" s="1031">
        <v>1</v>
      </c>
      <c r="J15" s="1032">
        <v>1</v>
      </c>
      <c r="K15" s="1381"/>
      <c r="L15" s="1579" t="s">
        <v>1092</v>
      </c>
      <c r="M15" s="1409" t="s">
        <v>1181</v>
      </c>
      <c r="N15" s="1409" t="s">
        <v>1182</v>
      </c>
      <c r="O15" s="1409" t="s">
        <v>1096</v>
      </c>
      <c r="P15" s="1457" t="s">
        <v>1183</v>
      </c>
      <c r="Q15" s="2169"/>
      <c r="R15" s="2955">
        <v>14</v>
      </c>
      <c r="S15" s="2943">
        <v>0.63959999999999995</v>
      </c>
      <c r="T15" s="2955">
        <f t="shared" si="0"/>
        <v>6777</v>
      </c>
      <c r="U15" s="2943"/>
      <c r="V15" s="2955">
        <f t="shared" si="1"/>
        <v>0</v>
      </c>
      <c r="W15" s="2169"/>
      <c r="X15" s="2169"/>
      <c r="Y15" s="2169"/>
      <c r="Z15" s="2169"/>
      <c r="AA15" s="2169"/>
      <c r="AB15" s="2169"/>
      <c r="AC15" s="2170"/>
    </row>
    <row r="16" spans="1:39" ht="24">
      <c r="A16" s="3462" t="s">
        <v>2052</v>
      </c>
      <c r="B16" s="1408" t="s">
        <v>1147</v>
      </c>
      <c r="C16" s="1033">
        <f>ROUND(SUM(G17:J17)/C17,0)</f>
        <v>20</v>
      </c>
      <c r="D16" s="1441" t="s">
        <v>1148</v>
      </c>
      <c r="E16" s="1442" t="s">
        <v>1903</v>
      </c>
      <c r="F16" s="1443" t="s">
        <v>2672</v>
      </c>
      <c r="G16" s="1444" t="s">
        <v>1904</v>
      </c>
      <c r="H16" s="1444" t="s">
        <v>1149</v>
      </c>
      <c r="I16" s="1444" t="s">
        <v>1149</v>
      </c>
      <c r="J16" s="1444" t="s">
        <v>1149</v>
      </c>
      <c r="K16" s="1381"/>
      <c r="L16" s="1445" t="s">
        <v>1185</v>
      </c>
      <c r="M16" s="1026">
        <v>0.25</v>
      </c>
      <c r="N16" s="1026">
        <v>0.2</v>
      </c>
      <c r="O16" s="1026">
        <v>0.15</v>
      </c>
      <c r="P16" s="1520">
        <v>0.1</v>
      </c>
      <c r="Q16" s="2172"/>
      <c r="R16" s="2955">
        <v>15</v>
      </c>
      <c r="S16" s="2943">
        <v>0.63839999999999997</v>
      </c>
      <c r="T16" s="2955">
        <f t="shared" si="0"/>
        <v>6765</v>
      </c>
      <c r="U16" s="2943"/>
      <c r="V16" s="2955">
        <f t="shared" si="1"/>
        <v>0</v>
      </c>
      <c r="W16" s="2172"/>
      <c r="X16" s="2172"/>
      <c r="Y16" s="2172"/>
      <c r="Z16" s="2172"/>
      <c r="AA16" s="2172"/>
      <c r="AB16" s="2172"/>
      <c r="AC16" s="2173"/>
    </row>
    <row r="17" spans="1:40" ht="13.5" thickBot="1">
      <c r="A17" s="3463"/>
      <c r="B17" s="1446" t="s">
        <v>1150</v>
      </c>
      <c r="C17" s="1034">
        <f>SUMPRODUCT((修正!A2:A5=E2)*(修正!B1:M1=G2)*(修正!B2:M5))</f>
        <v>1.5</v>
      </c>
      <c r="D17" s="1448" t="s">
        <v>1151</v>
      </c>
      <c r="E17" s="1449" t="str">
        <f>IF(OR(G2="八级",G2="九级",G2="十级",G2="十一级",G2="十二级"),"五通一平","七通一平")</f>
        <v>五通一平</v>
      </c>
      <c r="F17" s="1447" t="s">
        <v>1152</v>
      </c>
      <c r="G17" s="1034">
        <f>SUMPRODUCT((七通一平=G16)*(修正!B1:M1=G2)*(修正!B6:M14))</f>
        <v>30</v>
      </c>
      <c r="H17" s="1034">
        <f>SUMPRODUCT((七通一平=H16)*(修正!B1:M1=G2)*(修正!B6:M14))</f>
        <v>0</v>
      </c>
      <c r="I17" s="1034">
        <f>SUMPRODUCT((七通一平=I16)*(修正!B1:M1=G2)*(修正!B6:M14))</f>
        <v>0</v>
      </c>
      <c r="J17" s="1035">
        <f>SUMPRODUCT((七通一平=J16)*(修正!B1:M1=G2)*(修正!B6:M14))</f>
        <v>0</v>
      </c>
      <c r="K17" s="1381"/>
      <c r="L17" s="1450" t="s">
        <v>1171</v>
      </c>
      <c r="M17" s="1521">
        <f>ROUND($E$20*(1+M16),3)</f>
        <v>5.3999999999999999E-2</v>
      </c>
      <c r="N17" s="1521">
        <f>ROUND($E$20*(1+N16),3)</f>
        <v>5.1999999999999998E-2</v>
      </c>
      <c r="O17" s="1521">
        <f>ROUND($E$20*(1+O16),3)</f>
        <v>0.05</v>
      </c>
      <c r="P17" s="1522">
        <f>ROUND($E$20*(1+P16),3)</f>
        <v>4.8000000000000001E-2</v>
      </c>
      <c r="Q17" s="2172"/>
      <c r="R17" s="2173"/>
      <c r="S17" s="2173"/>
      <c r="T17" s="2173"/>
      <c r="U17" s="2173"/>
      <c r="V17" s="2173"/>
      <c r="W17" s="2172"/>
      <c r="X17" s="2172"/>
      <c r="Y17" s="2172"/>
      <c r="Z17" s="2172"/>
      <c r="AA17" s="2172"/>
      <c r="AB17" s="2172"/>
      <c r="AC17" s="2173"/>
      <c r="AH17" s="1382"/>
      <c r="AI17" s="1382"/>
      <c r="AJ17" s="1385"/>
      <c r="AK17" s="1385"/>
      <c r="AL17" s="1385"/>
      <c r="AM17" s="1385"/>
    </row>
    <row r="18" spans="1:40" s="1402" customFormat="1" ht="15.75" thickBot="1">
      <c r="A18" s="1622" t="s">
        <v>2043</v>
      </c>
      <c r="B18" s="2789" t="s">
        <v>1153</v>
      </c>
      <c r="C18" s="2790">
        <f>SUMIF(修正!C18:C39,E3,修正!E18:E39)</f>
        <v>1</v>
      </c>
      <c r="D18" s="2791"/>
      <c r="E18" s="2792"/>
      <c r="F18" s="2793"/>
      <c r="G18" s="2787"/>
      <c r="H18" s="2787"/>
      <c r="I18" s="2787"/>
      <c r="J18" s="2794"/>
      <c r="K18" s="1462"/>
      <c r="L18" s="1462"/>
      <c r="M18" s="1462"/>
      <c r="N18" s="1462"/>
      <c r="O18" s="1578"/>
      <c r="P18" s="1578"/>
      <c r="Q18" s="2174"/>
      <c r="R18" s="2174"/>
      <c r="S18" s="2174"/>
      <c r="T18" s="2174"/>
      <c r="U18" s="2174"/>
      <c r="V18" s="2174"/>
      <c r="W18" s="2173"/>
      <c r="X18" s="2173"/>
      <c r="Y18" s="2173"/>
      <c r="Z18" s="2173"/>
      <c r="AA18" s="2172"/>
      <c r="AB18" s="2172"/>
      <c r="AC18" s="2175"/>
      <c r="AD18" s="1453"/>
      <c r="AE18" s="1453"/>
      <c r="AF18" s="1453"/>
      <c r="AG18" s="1453"/>
      <c r="AH18" s="1383"/>
      <c r="AI18" s="1383"/>
      <c r="AJ18" s="1384"/>
      <c r="AK18" s="1384"/>
      <c r="AL18" s="1384"/>
    </row>
    <row r="19" spans="1:40" s="1402" customFormat="1" ht="27.75" thickBot="1">
      <c r="A19" s="1621" t="s">
        <v>2049</v>
      </c>
      <c r="B19" s="1451" t="s">
        <v>1154</v>
      </c>
      <c r="C19" s="1036">
        <f>ROUND(IF(H19="按公示增长率计算",SUMPRODUCT((地价!A3:A19=YEAR(G19)&amp;"-"&amp;ROUNDUP(MONTH(G19)/3,0))*(地价!X2:AB2=E2)*(地价!X3:AB19)),IF(H19="地价指数",M20/M19,(1+I19)^O19)),4)</f>
        <v>1.3962000000000001</v>
      </c>
      <c r="D19" s="1455" t="s">
        <v>1155</v>
      </c>
      <c r="E19" s="1037">
        <v>41640</v>
      </c>
      <c r="F19" s="1455" t="s">
        <v>1156</v>
      </c>
      <c r="G19" s="1038">
        <f>'数据-取费表'!B2</f>
        <v>42898</v>
      </c>
      <c r="H19" s="1456" t="s">
        <v>2919</v>
      </c>
      <c r="I19" s="2802" t="str">
        <f>IF(H19="季度增幅（自定义）",SUMIF(N21:N24,E2,O21:O24),"")</f>
        <v/>
      </c>
      <c r="J19" s="1452"/>
      <c r="K19" s="1462"/>
      <c r="L19" s="3041" t="s">
        <v>3128</v>
      </c>
      <c r="M19" s="3042">
        <f>ROUND(SUMIF(地价!B2:F2,E2,地价!B19:F19),0)</f>
        <v>423</v>
      </c>
      <c r="N19" s="2804" t="s">
        <v>1884</v>
      </c>
      <c r="O19" s="2803">
        <f>ROUNDDOWN(DATEDIF(E19,G19,"M")/3,0)</f>
        <v>13</v>
      </c>
      <c r="P19" s="1577"/>
      <c r="R19" s="2942"/>
      <c r="S19" s="2942"/>
      <c r="T19" s="2942"/>
      <c r="U19" s="2942"/>
      <c r="V19" s="2942"/>
      <c r="W19" s="2175"/>
      <c r="X19" s="2175"/>
      <c r="Y19" s="2175"/>
      <c r="Z19" s="2175"/>
      <c r="AA19" s="2175"/>
      <c r="AB19" s="2175"/>
      <c r="AC19" s="2175"/>
      <c r="AD19" s="1383"/>
      <c r="AE19" s="1383"/>
      <c r="AF19" s="1383"/>
      <c r="AG19" s="1383"/>
      <c r="AH19" s="1453"/>
      <c r="AI19" s="1454"/>
      <c r="AJ19" s="1458"/>
      <c r="AK19" s="1384"/>
      <c r="AL19" s="1401"/>
      <c r="AM19" s="1401"/>
      <c r="AN19" s="1401"/>
    </row>
    <row r="20" spans="1:40" s="1402" customFormat="1" ht="27.75" thickBot="1">
      <c r="A20" s="2795" t="s">
        <v>2050</v>
      </c>
      <c r="B20" s="2796" t="s">
        <v>1169</v>
      </c>
      <c r="C20" s="2797">
        <f>ROUND(POWER(1+G20,J20-I20)*(POWER(1+G20,I20)-1)/(POWER(1+G20,J20)-1),4)</f>
        <v>0.99729999999999996</v>
      </c>
      <c r="D20" s="2798" t="s">
        <v>1170</v>
      </c>
      <c r="E20" s="2799">
        <v>4.3499999999999997E-2</v>
      </c>
      <c r="F20" s="2798" t="s">
        <v>1171</v>
      </c>
      <c r="G20" s="2800">
        <f>SUMIF(M15:P15,E2,M17:P17)</f>
        <v>0.05</v>
      </c>
      <c r="H20" s="2798" t="s">
        <v>1172</v>
      </c>
      <c r="I20" s="2788">
        <f>SUMIF('数据-取费表'!C6:C18,E2,'数据-取费表'!F6:F18)/COUNTIF('数据-取费表'!C6:C18,E2)</f>
        <v>68.459999999999994</v>
      </c>
      <c r="J20" s="2801">
        <f>IF(E2="住宅",70,IF(E2="商业",40,50))</f>
        <v>70</v>
      </c>
      <c r="K20" s="1462"/>
      <c r="L20" s="3043" t="s">
        <v>3129</v>
      </c>
      <c r="M20" s="3044">
        <f>ROUND(SUMPRODUCT((地价!A4:A19=YEAR(G19)&amp;"-"&amp;ROUNDUP(MONTH(G19)/3,0))*(地价!B2:F2=E2)*(地价!B4:F19)),0)</f>
        <v>590</v>
      </c>
      <c r="N20" s="2807" t="s">
        <v>2922</v>
      </c>
      <c r="O20" s="2805" t="s">
        <v>2921</v>
      </c>
      <c r="P20" s="2806" t="s">
        <v>2926</v>
      </c>
      <c r="R20" s="2942"/>
      <c r="S20" s="2942"/>
      <c r="T20" s="2942"/>
      <c r="U20" s="2942"/>
      <c r="V20" s="2942"/>
      <c r="W20" s="2175"/>
      <c r="X20" s="2175"/>
      <c r="Y20" s="2175"/>
      <c r="Z20" s="2175"/>
      <c r="AA20" s="2175"/>
      <c r="AB20" s="2175"/>
      <c r="AC20" s="2175"/>
      <c r="AD20" s="1453"/>
      <c r="AE20" s="1453"/>
      <c r="AF20" s="1453"/>
      <c r="AG20" s="1453"/>
      <c r="AH20" s="1453"/>
      <c r="AI20" s="1453"/>
    </row>
    <row r="21" spans="1:40" s="1402" customFormat="1" ht="14.25">
      <c r="A21" s="1623" t="s">
        <v>2051</v>
      </c>
      <c r="B21" s="1461" t="s">
        <v>3045</v>
      </c>
      <c r="C21" s="1137">
        <f>IF(B21="容积率修正",IF(G3&lt;=10,D22,J22),C23)</f>
        <v>0.44750000000000001</v>
      </c>
      <c r="D21" s="1462"/>
      <c r="E21" s="1462"/>
      <c r="F21" s="1462"/>
      <c r="G21" s="1462"/>
      <c r="H21" s="1462"/>
      <c r="I21" s="1462"/>
      <c r="J21" s="1463"/>
      <c r="K21" s="1462"/>
      <c r="L21" s="1462"/>
      <c r="M21" s="1462"/>
      <c r="N21" s="1459" t="s">
        <v>1173</v>
      </c>
      <c r="O21" s="1523">
        <v>1.4999999999999999E-2</v>
      </c>
      <c r="P21" s="2786">
        <f>SUMPRODUCT((地价!A3:A19=YEAR(G19)&amp;"-"&amp;ROUNDUP(MONTH(G19)/3,0))*(地价!AD2:AH2=N21)*(地价!AD3:AH19))</f>
        <v>1.5699999999999999E-2</v>
      </c>
      <c r="R21" s="2942"/>
      <c r="S21" s="2942"/>
      <c r="T21" s="2942"/>
      <c r="U21" s="2942"/>
      <c r="V21" s="2942"/>
      <c r="W21" s="2175"/>
      <c r="X21" s="2175"/>
      <c r="Y21" s="2175"/>
      <c r="Z21" s="2175"/>
      <c r="AA21" s="2175"/>
      <c r="AB21" s="2175"/>
      <c r="AC21" s="2175"/>
      <c r="AD21" s="1383"/>
      <c r="AE21" s="1383"/>
      <c r="AF21" s="1383"/>
      <c r="AG21" s="1383"/>
      <c r="AH21" s="1453"/>
      <c r="AI21" s="1453"/>
    </row>
    <row r="22" spans="1:40" s="1402" customFormat="1" ht="14.25">
      <c r="A22" s="1624" t="s">
        <v>2084</v>
      </c>
      <c r="B22" s="1464" t="s">
        <v>1174</v>
      </c>
      <c r="C22" s="1039" t="s">
        <v>1913</v>
      </c>
      <c r="D22" s="1039">
        <f>IF(E22=G22,F22,IF(G3&lt;=10,ROUND(F22+(H22-F22)*(G3-E22)/(G22-E22),4),"——"))</f>
        <v>0.73709999999999998</v>
      </c>
      <c r="E22" s="1018">
        <f>ROUNDDOWN(G3,1)</f>
        <v>4.4000000000000004</v>
      </c>
      <c r="F22" s="1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0.73909999999999998</v>
      </c>
      <c r="G22" s="1018">
        <f>ROUNDUP(G3,1)</f>
        <v>4.5</v>
      </c>
      <c r="H22" s="1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0.73499999999999999</v>
      </c>
      <c r="I22" s="1039" t="s">
        <v>1175</v>
      </c>
      <c r="J22" s="1039" t="str">
        <f>IF(G3&gt;10,D113,"——")</f>
        <v>——</v>
      </c>
      <c r="K22" s="1462"/>
      <c r="L22" s="1462"/>
      <c r="M22" s="1462"/>
      <c r="N22" s="1459" t="s">
        <v>1176</v>
      </c>
      <c r="O22" s="1523">
        <v>1.4999999999999999E-2</v>
      </c>
      <c r="P22" s="2786">
        <f>SUMPRODUCT((地价!A3:A19=YEAR(G19)&amp;"-"&amp;ROUNDUP(MONTH(G19)/3,0))*(地价!AD2:AH2=N22)*(地价!AD3:AH19))</f>
        <v>1.5699999999999999E-2</v>
      </c>
      <c r="R22" s="2942"/>
      <c r="S22" s="2942"/>
      <c r="T22" s="2942"/>
      <c r="U22" s="2942"/>
      <c r="V22" s="2942"/>
      <c r="W22" s="2175"/>
      <c r="X22" s="2175"/>
      <c r="Y22" s="2175"/>
      <c r="Z22" s="2175"/>
      <c r="AA22" s="2175"/>
      <c r="AB22" s="2175"/>
      <c r="AC22" s="2175"/>
      <c r="AD22" s="1453"/>
      <c r="AE22" s="1453"/>
      <c r="AF22" s="1453"/>
      <c r="AG22" s="1453"/>
      <c r="AH22" s="1453"/>
      <c r="AI22" s="1453"/>
    </row>
    <row r="23" spans="1:40" ht="27.75" thickBot="1">
      <c r="A23" s="1624" t="s">
        <v>2085</v>
      </c>
      <c r="B23" s="1464" t="s">
        <v>1177</v>
      </c>
      <c r="C23" s="1040">
        <f>ROUND(IF(G3&gt;1,IF(I3&lt;7,SUMPRODUCT((B93:B98=I3)*(C92:N92=G2)*(C93:N98)),SUMIF(C92:N92,G2,C100:N100)),IF(I3&lt;7,SUMPRODUCT((B102:B107=I3)*(C92:N92=G2)*(C102:N107)),SUMIF(C92:N92,G2,C109:N109))),4)</f>
        <v>0.44750000000000001</v>
      </c>
      <c r="D23" s="1511"/>
      <c r="E23" s="1511"/>
      <c r="F23" s="1512"/>
      <c r="G23" s="1513"/>
      <c r="H23" s="1514"/>
      <c r="I23" s="1515"/>
      <c r="J23" s="1515"/>
      <c r="K23" s="1381"/>
      <c r="L23" s="1381"/>
      <c r="M23" s="1381"/>
      <c r="N23" s="1459" t="s">
        <v>1117</v>
      </c>
      <c r="O23" s="1523">
        <v>2.6599999999999999E-2</v>
      </c>
      <c r="P23" s="2786">
        <f>SUMPRODUCT((地价!A3:A19=YEAR(G19)&amp;"-"&amp;ROUNDUP(MONTH(G19)/3,0))*(地价!AD2:AH2=N23)*(地价!AD3:AH19))</f>
        <v>2.6599999999999999E-2</v>
      </c>
      <c r="R23" s="2942"/>
      <c r="S23" s="2942"/>
      <c r="T23" s="2942"/>
      <c r="U23" s="2942"/>
      <c r="V23" s="2942"/>
      <c r="W23" s="2175"/>
      <c r="X23" s="2175"/>
      <c r="Y23" s="2175"/>
      <c r="Z23" s="2175"/>
      <c r="AA23" s="2175"/>
      <c r="AB23" s="2175"/>
      <c r="AC23" s="2175"/>
      <c r="AN23" s="1384"/>
    </row>
    <row r="24" spans="1:40" s="1402" customFormat="1" ht="15.75" thickBot="1">
      <c r="A24" s="1622" t="s">
        <v>2086</v>
      </c>
      <c r="B24" s="1395" t="s">
        <v>1178</v>
      </c>
      <c r="C24" s="1041">
        <f>SUMIF(A44:A87,E2,B44:B87)</f>
        <v>1</v>
      </c>
      <c r="D24" s="1516"/>
      <c r="E24" s="1517"/>
      <c r="F24" s="1517"/>
      <c r="G24" s="1517"/>
      <c r="H24" s="1517"/>
      <c r="I24" s="1517"/>
      <c r="J24" s="1517"/>
      <c r="K24" s="1462"/>
      <c r="L24" s="1462"/>
      <c r="M24" s="1462"/>
      <c r="N24" s="1465" t="s">
        <v>1179</v>
      </c>
      <c r="O24" s="1524">
        <v>0.01</v>
      </c>
      <c r="P24" s="1522">
        <f>SUMPRODUCT((地价!A3:A19=YEAR(G19)&amp;"-"&amp;ROUNDUP(MONTH(G19)/3,0))*(地价!AD2:AH2=N24)*(地价!AD3:AH19))</f>
        <v>1.34E-2</v>
      </c>
      <c r="R24" s="2942"/>
      <c r="S24" s="2942"/>
      <c r="T24" s="2942"/>
      <c r="U24" s="2942"/>
      <c r="V24" s="2942"/>
      <c r="W24" s="2175"/>
      <c r="X24" s="2175"/>
      <c r="Y24" s="2175"/>
      <c r="Z24" s="2175"/>
      <c r="AA24" s="2175"/>
      <c r="AB24" s="2175"/>
      <c r="AC24" s="2175"/>
      <c r="AD24" s="1453"/>
      <c r="AE24" s="1453"/>
      <c r="AF24" s="1453"/>
      <c r="AG24" s="1453"/>
      <c r="AH24" s="1453"/>
      <c r="AI24" s="1453"/>
    </row>
    <row r="25" spans="1:40" ht="15" thickBot="1">
      <c r="A25" s="1622" t="s">
        <v>2087</v>
      </c>
      <c r="B25" s="1467" t="s">
        <v>1180</v>
      </c>
      <c r="C25" s="1468"/>
      <c r="D25" s="1411"/>
      <c r="E25" s="1411"/>
      <c r="F25" s="1469"/>
      <c r="G25" s="1411"/>
      <c r="H25" s="1411"/>
      <c r="I25" s="1411"/>
      <c r="J25" s="1412"/>
      <c r="K25" s="1381"/>
      <c r="L25" s="2175"/>
      <c r="M25" s="2175"/>
      <c r="N25" s="2815" t="s">
        <v>2924</v>
      </c>
      <c r="O25" s="2175"/>
      <c r="P25" s="1522">
        <f>SUMPRODUCT((地价!A3:A19=YEAR(G19)&amp;"-"&amp;ROUNDUP(MONTH(G19)/3,0))*(地价!AD2:AH2=N25)*(地价!AD3:AH19))</f>
        <v>2.3900000000000001E-2</v>
      </c>
      <c r="R25" s="2942"/>
      <c r="S25" s="2942"/>
      <c r="T25" s="2942"/>
      <c r="U25" s="2942"/>
      <c r="V25" s="2942"/>
      <c r="W25" s="2175"/>
      <c r="X25" s="2175"/>
      <c r="Y25" s="2175"/>
      <c r="Z25" s="2175"/>
      <c r="AA25" s="2175"/>
      <c r="AB25" s="2175"/>
      <c r="AC25" s="2175"/>
    </row>
    <row r="26" spans="1:40" ht="14.25">
      <c r="A26" s="1470"/>
      <c r="B26" s="1464" t="s">
        <v>1184</v>
      </c>
      <c r="C26" s="1042">
        <f>E29+SUM(E33:E39)</f>
        <v>0</v>
      </c>
      <c r="D26" s="1471"/>
      <c r="E26" s="1437"/>
      <c r="F26" s="1472"/>
      <c r="G26" s="1437"/>
      <c r="H26" s="1437"/>
      <c r="I26" s="1437"/>
      <c r="J26" s="1473"/>
      <c r="K26" s="1381"/>
      <c r="L26" s="2175"/>
      <c r="M26" s="2175"/>
      <c r="N26" s="2175"/>
      <c r="O26" s="2175"/>
      <c r="P26" s="2175"/>
      <c r="Q26" s="2175"/>
      <c r="R26" s="2942"/>
      <c r="S26" s="2942"/>
      <c r="T26" s="2942"/>
      <c r="U26" s="2942"/>
      <c r="V26" s="2942"/>
      <c r="W26" s="2175"/>
      <c r="X26" s="2175"/>
      <c r="Y26" s="2175"/>
      <c r="Z26" s="2175"/>
      <c r="AA26" s="2175"/>
      <c r="AB26" s="2175"/>
      <c r="AC26" s="2175"/>
      <c r="AD26" s="1453"/>
      <c r="AE26" s="1453"/>
      <c r="AF26" s="1453"/>
      <c r="AG26" s="1453"/>
    </row>
    <row r="27" spans="1:40" ht="15" thickBot="1">
      <c r="A27" s="1470"/>
      <c r="B27" s="1474" t="s">
        <v>1186</v>
      </c>
      <c r="C27" s="1043">
        <f>E30+SUM(I33:I39)</f>
        <v>0</v>
      </c>
      <c r="D27" s="1475"/>
      <c r="E27" s="1476"/>
      <c r="F27" s="1477"/>
      <c r="G27" s="1476"/>
      <c r="H27" s="1476"/>
      <c r="I27" s="1476"/>
      <c r="J27" s="1478"/>
      <c r="K27" s="1381"/>
      <c r="L27" s="2175"/>
      <c r="M27" s="2175"/>
      <c r="N27" s="2175"/>
      <c r="O27" s="2175"/>
      <c r="P27" s="2175"/>
      <c r="Q27" s="2175"/>
      <c r="R27" s="2942"/>
      <c r="S27" s="2942"/>
      <c r="T27" s="2942"/>
      <c r="U27" s="2942"/>
      <c r="V27" s="2942"/>
      <c r="W27" s="2175"/>
      <c r="X27" s="2175"/>
      <c r="Y27" s="2175"/>
      <c r="Z27" s="2175"/>
      <c r="AA27" s="2175"/>
      <c r="AB27" s="2175"/>
      <c r="AC27" s="2175"/>
    </row>
    <row r="28" spans="1:40" ht="14.25">
      <c r="A28" s="1466"/>
      <c r="B28" s="1479" t="s">
        <v>1187</v>
      </c>
      <c r="C28" s="1480" t="s">
        <v>1188</v>
      </c>
      <c r="D28" s="1480" t="s">
        <v>1189</v>
      </c>
      <c r="E28" s="1481" t="s">
        <v>1190</v>
      </c>
      <c r="F28" s="1482"/>
      <c r="G28" s="1423"/>
      <c r="H28" s="1423"/>
      <c r="I28" s="1423"/>
      <c r="J28" s="1424"/>
      <c r="K28" s="1381"/>
      <c r="L28" s="2175"/>
      <c r="M28" s="2175"/>
      <c r="N28" s="2175"/>
      <c r="O28" s="2175"/>
      <c r="P28" s="2175"/>
      <c r="Q28" s="2175"/>
      <c r="R28" s="2942"/>
      <c r="S28" s="2942"/>
      <c r="T28" s="2942"/>
      <c r="U28" s="2942"/>
      <c r="V28" s="2942"/>
      <c r="W28" s="2175"/>
      <c r="X28" s="2175"/>
      <c r="Y28" s="2175"/>
      <c r="Z28" s="2175"/>
      <c r="AA28" s="2175"/>
      <c r="AB28" s="2175"/>
      <c r="AC28" s="2175"/>
      <c r="AD28" s="1453"/>
      <c r="AE28" s="1453"/>
      <c r="AF28" s="1453"/>
      <c r="AG28" s="1453"/>
    </row>
    <row r="29" spans="1:40" ht="24">
      <c r="A29" s="1483"/>
      <c r="B29" s="1484" t="s">
        <v>1191</v>
      </c>
      <c r="C29" s="1042">
        <f>ROUND(C5*C18*C19*C20*C21*C24,0)</f>
        <v>4742</v>
      </c>
      <c r="D29" s="1485"/>
      <c r="E29" s="1822">
        <f>ROUND(C29*D29/10000,0)</f>
        <v>0</v>
      </c>
      <c r="F29" s="1486" t="s">
        <v>1912</v>
      </c>
      <c r="G29" s="1487"/>
      <c r="H29" s="1487"/>
      <c r="I29" s="1487"/>
      <c r="J29" s="1488"/>
      <c r="K29" s="1381"/>
      <c r="L29" s="2175"/>
      <c r="M29" s="2175"/>
      <c r="N29" s="2175"/>
      <c r="O29" s="2175"/>
      <c r="P29" s="2175"/>
      <c r="Q29" s="2175"/>
      <c r="R29" s="2942"/>
      <c r="S29" s="2942"/>
      <c r="T29" s="2942"/>
      <c r="U29" s="2942"/>
      <c r="V29" s="2942"/>
      <c r="W29" s="2175"/>
      <c r="X29" s="2175"/>
      <c r="Y29" s="2175"/>
      <c r="Z29" s="2175"/>
      <c r="AA29" s="2175"/>
      <c r="AB29" s="2175"/>
      <c r="AC29" s="2175"/>
      <c r="AH29" s="1382"/>
      <c r="AI29" s="1382"/>
      <c r="AJ29" s="1385"/>
      <c r="AK29" s="1385"/>
      <c r="AL29" s="1385"/>
      <c r="AM29" s="1385"/>
    </row>
    <row r="30" spans="1:40" ht="24.75" thickBot="1">
      <c r="A30" s="1489"/>
      <c r="B30" s="1490" t="s">
        <v>1192</v>
      </c>
      <c r="C30" s="1030">
        <f>ROUND(IF(E2="工业",C29*M39,C29*M38),0)</f>
        <v>1186</v>
      </c>
      <c r="D30" s="1491"/>
      <c r="E30" s="1822">
        <f>ROUND(C30*D30/10000,0)</f>
        <v>0</v>
      </c>
      <c r="F30" s="1492" t="s">
        <v>1193</v>
      </c>
      <c r="G30" s="1493"/>
      <c r="H30" s="1493"/>
      <c r="I30" s="1493"/>
      <c r="J30" s="1494"/>
      <c r="K30" s="1381"/>
      <c r="L30" s="2169"/>
      <c r="M30" s="2169"/>
      <c r="N30" s="2169"/>
      <c r="O30" s="2169"/>
      <c r="P30" s="2169"/>
      <c r="Q30" s="2169"/>
      <c r="R30" s="2170"/>
      <c r="S30" s="2170"/>
      <c r="T30" s="2170"/>
      <c r="U30" s="2170"/>
      <c r="V30" s="2170"/>
      <c r="W30" s="2169"/>
      <c r="X30" s="2169"/>
      <c r="Y30" s="2169"/>
      <c r="Z30" s="2169"/>
      <c r="AA30" s="2169"/>
      <c r="AB30" s="2169"/>
      <c r="AC30" s="2169"/>
      <c r="AD30" s="1453"/>
      <c r="AE30" s="1453"/>
      <c r="AF30" s="1453"/>
      <c r="AG30" s="1453"/>
      <c r="AH30" s="1382"/>
      <c r="AI30" s="1382"/>
      <c r="AJ30" s="1385"/>
      <c r="AK30" s="1385"/>
      <c r="AL30" s="1385"/>
      <c r="AM30" s="1385"/>
    </row>
    <row r="31" spans="1:40">
      <c r="A31" s="1495"/>
      <c r="B31" s="1496" t="s">
        <v>1194</v>
      </c>
      <c r="C31" s="1497" t="s">
        <v>1195</v>
      </c>
      <c r="D31" s="1423"/>
      <c r="E31" s="1497"/>
      <c r="F31" s="1497"/>
      <c r="G31" s="1421" t="s">
        <v>1193</v>
      </c>
      <c r="H31" s="1423"/>
      <c r="I31" s="1498"/>
      <c r="J31" s="1424"/>
      <c r="K31" s="1381"/>
      <c r="L31" s="2169"/>
      <c r="M31" s="2169"/>
      <c r="N31" s="2169"/>
      <c r="O31" s="2169"/>
      <c r="P31" s="2169"/>
      <c r="Q31" s="2169"/>
      <c r="R31" s="2170"/>
      <c r="S31" s="2170"/>
      <c r="T31" s="2170"/>
      <c r="U31" s="2170"/>
      <c r="V31" s="2170"/>
      <c r="W31" s="2169"/>
      <c r="X31" s="2169"/>
      <c r="Y31" s="2169"/>
      <c r="Z31" s="2169"/>
      <c r="AA31" s="2169"/>
      <c r="AB31" s="2169"/>
      <c r="AC31" s="2169"/>
      <c r="AH31" s="1382"/>
      <c r="AI31" s="1382"/>
      <c r="AJ31" s="1385"/>
      <c r="AK31" s="1385"/>
      <c r="AL31" s="1385"/>
      <c r="AM31" s="1385"/>
    </row>
    <row r="32" spans="1:40" ht="24">
      <c r="A32" s="1483"/>
      <c r="B32" s="1499"/>
      <c r="C32" s="1500" t="s">
        <v>1188</v>
      </c>
      <c r="D32" s="1501" t="s">
        <v>1189</v>
      </c>
      <c r="E32" s="1501" t="s">
        <v>1190</v>
      </c>
      <c r="F32" s="1502" t="s">
        <v>1196</v>
      </c>
      <c r="G32" s="1460" t="s">
        <v>1188</v>
      </c>
      <c r="H32" s="1460" t="s">
        <v>1189</v>
      </c>
      <c r="I32" s="1460" t="s">
        <v>1190</v>
      </c>
      <c r="J32" s="1503"/>
      <c r="K32" s="1381"/>
      <c r="L32" s="2169"/>
      <c r="M32" s="2169"/>
      <c r="N32" s="2169"/>
      <c r="O32" s="2169"/>
      <c r="P32" s="2169"/>
      <c r="Q32" s="2169"/>
      <c r="R32" s="2170"/>
      <c r="S32" s="2170"/>
      <c r="T32" s="2170"/>
      <c r="U32" s="2170"/>
      <c r="V32" s="2170"/>
      <c r="W32" s="2169"/>
      <c r="X32" s="2169"/>
      <c r="Y32" s="2169"/>
      <c r="Z32" s="2169"/>
      <c r="AA32" s="2169"/>
      <c r="AB32" s="2169"/>
      <c r="AC32" s="2169"/>
      <c r="AD32" s="1382"/>
      <c r="AE32" s="1382"/>
      <c r="AF32" s="1382"/>
      <c r="AG32" s="1382"/>
      <c r="AH32" s="1382"/>
      <c r="AI32" s="1382"/>
      <c r="AJ32" s="1385"/>
      <c r="AK32" s="1385"/>
      <c r="AL32" s="1385"/>
      <c r="AM32" s="1385"/>
    </row>
    <row r="33" spans="1:40" ht="12.75">
      <c r="A33" s="1504"/>
      <c r="B33" s="1505" t="s">
        <v>1197</v>
      </c>
      <c r="C33" s="1042">
        <f>ROUND(C5*C19*C20*C24*F33,0)</f>
        <v>6358</v>
      </c>
      <c r="D33" s="1518"/>
      <c r="E33" s="1027">
        <f>ROUND(C33*D33/10000,0)</f>
        <v>0</v>
      </c>
      <c r="F33" s="1027">
        <f>SUMIF(修正!A45:A56,G2,修正!B45:B56)</f>
        <v>0.6</v>
      </c>
      <c r="G33" s="1027">
        <f t="shared" ref="G33:G39" si="6">ROUND(IF(E2="工业",C33*$M$39,C33*$M$38),0)</f>
        <v>1590</v>
      </c>
      <c r="H33" s="1027">
        <f>D33</f>
        <v>0</v>
      </c>
      <c r="I33" s="1027">
        <f>ROUND(G33*H33/10000,0)</f>
        <v>0</v>
      </c>
      <c r="J33" s="1506"/>
      <c r="K33" s="1381"/>
      <c r="L33" s="2169"/>
      <c r="M33" s="2169"/>
      <c r="N33" s="2169"/>
      <c r="O33" s="2169"/>
      <c r="P33" s="2169"/>
      <c r="Q33" s="2169"/>
      <c r="R33" s="2170"/>
      <c r="S33" s="2170"/>
      <c r="T33" s="2170"/>
      <c r="U33" s="2170"/>
      <c r="V33" s="2170"/>
      <c r="W33" s="2169"/>
      <c r="X33" s="2169"/>
      <c r="Y33" s="2169"/>
      <c r="Z33" s="2169"/>
      <c r="AA33" s="2169"/>
      <c r="AB33" s="2169"/>
      <c r="AC33" s="2170"/>
    </row>
    <row r="34" spans="1:40" ht="12.75">
      <c r="A34" s="1504"/>
      <c r="B34" s="1426" t="s">
        <v>1198</v>
      </c>
      <c r="C34" s="1042">
        <f>ROUND(C5*C19*C20*C24*F34,0)</f>
        <v>3179</v>
      </c>
      <c r="D34" s="1518"/>
      <c r="E34" s="1027">
        <f t="shared" ref="E34:E39" si="7">ROUND(C34*D34/10000,0)</f>
        <v>0</v>
      </c>
      <c r="F34" s="1027">
        <f>SUMIF(修正!A45:A56,G2,修正!C45:C56)</f>
        <v>0.3</v>
      </c>
      <c r="G34" s="1027">
        <f t="shared" si="6"/>
        <v>795</v>
      </c>
      <c r="H34" s="1027">
        <f t="shared" ref="H34:H39" si="8">D34</f>
        <v>0</v>
      </c>
      <c r="I34" s="1027">
        <f t="shared" ref="I34:I39" si="9">ROUND(G34*H34/10000,0)</f>
        <v>0</v>
      </c>
      <c r="J34" s="1506"/>
      <c r="K34" s="1381"/>
      <c r="L34" s="2169"/>
      <c r="M34" s="2169"/>
      <c r="N34" s="2169"/>
      <c r="O34" s="2169"/>
      <c r="P34" s="2169"/>
      <c r="Q34" s="2169"/>
      <c r="R34" s="2170"/>
      <c r="S34" s="2170"/>
      <c r="T34" s="2170"/>
      <c r="U34" s="2170"/>
      <c r="V34" s="2170"/>
      <c r="W34" s="2169"/>
      <c r="X34" s="2169"/>
      <c r="Y34" s="2169"/>
      <c r="Z34" s="2169"/>
      <c r="AA34" s="2169"/>
      <c r="AB34" s="2169"/>
      <c r="AC34" s="2170"/>
    </row>
    <row r="35" spans="1:40" ht="12.75">
      <c r="A35" s="1504"/>
      <c r="B35" s="1426" t="s">
        <v>1199</v>
      </c>
      <c r="C35" s="1042">
        <f>ROUND(C5*C19*C20*C24*F35,0)</f>
        <v>2119</v>
      </c>
      <c r="D35" s="1518"/>
      <c r="E35" s="1027">
        <f t="shared" si="7"/>
        <v>0</v>
      </c>
      <c r="F35" s="1027">
        <f>SUMIF(修正!A45:A56,G2,修正!D45:D56)</f>
        <v>0.2</v>
      </c>
      <c r="G35" s="1027">
        <f t="shared" si="6"/>
        <v>530</v>
      </c>
      <c r="H35" s="1027">
        <f t="shared" si="8"/>
        <v>0</v>
      </c>
      <c r="I35" s="1027">
        <f t="shared" si="9"/>
        <v>0</v>
      </c>
      <c r="J35" s="1506"/>
      <c r="K35" s="1381"/>
      <c r="L35" s="2169"/>
      <c r="M35" s="2169"/>
      <c r="N35" s="2169"/>
      <c r="O35" s="2169"/>
      <c r="P35" s="2169"/>
      <c r="Q35" s="2169"/>
      <c r="R35" s="2170"/>
      <c r="S35" s="2170"/>
      <c r="T35" s="2170"/>
      <c r="U35" s="2170"/>
      <c r="V35" s="2170"/>
      <c r="W35" s="2169"/>
      <c r="X35" s="2169"/>
      <c r="Y35" s="2169"/>
      <c r="Z35" s="2169"/>
      <c r="AA35" s="2169"/>
      <c r="AB35" s="2169"/>
      <c r="AC35" s="2170"/>
    </row>
    <row r="36" spans="1:40" ht="13.5" thickBot="1">
      <c r="A36" s="1504"/>
      <c r="B36" s="1426" t="s">
        <v>1200</v>
      </c>
      <c r="C36" s="1042">
        <f>ROUND(C5*C19*C20*C24*F36,0)</f>
        <v>2119</v>
      </c>
      <c r="D36" s="1518"/>
      <c r="E36" s="1027">
        <f t="shared" si="7"/>
        <v>0</v>
      </c>
      <c r="F36" s="1027">
        <f>SUMIF(修正!A45:A56,G2,修正!E45:E56)</f>
        <v>0.2</v>
      </c>
      <c r="G36" s="1027">
        <f t="shared" si="6"/>
        <v>530</v>
      </c>
      <c r="H36" s="1027">
        <f t="shared" si="8"/>
        <v>0</v>
      </c>
      <c r="I36" s="1027">
        <f t="shared" si="9"/>
        <v>0</v>
      </c>
      <c r="J36" s="1506"/>
      <c r="K36" s="1381"/>
      <c r="L36" s="2169"/>
      <c r="M36" s="2169"/>
      <c r="N36" s="2169"/>
      <c r="O36" s="2169"/>
      <c r="P36" s="2169"/>
      <c r="Q36" s="2169"/>
      <c r="R36" s="2170"/>
      <c r="S36" s="2170"/>
      <c r="T36" s="2170"/>
      <c r="U36" s="2170"/>
      <c r="V36" s="2170"/>
      <c r="W36" s="2169"/>
      <c r="X36" s="2169"/>
      <c r="Y36" s="2169"/>
      <c r="Z36" s="2169"/>
      <c r="AA36" s="2169"/>
      <c r="AB36" s="2169"/>
      <c r="AC36" s="2170"/>
    </row>
    <row r="37" spans="1:40" ht="12.75">
      <c r="A37" s="1504"/>
      <c r="B37" s="1426" t="s">
        <v>1201</v>
      </c>
      <c r="C37" s="1027">
        <f>ROUND(C5*C19*C20*C24*F37,0)</f>
        <v>2119</v>
      </c>
      <c r="D37" s="1518"/>
      <c r="E37" s="1027">
        <f t="shared" si="7"/>
        <v>0</v>
      </c>
      <c r="F37" s="1042">
        <f>SUMIF(修正!A45:A56,G2,修正!F45:F56)</f>
        <v>0.2</v>
      </c>
      <c r="G37" s="1027">
        <f t="shared" si="6"/>
        <v>530</v>
      </c>
      <c r="H37" s="1027">
        <f t="shared" si="8"/>
        <v>0</v>
      </c>
      <c r="I37" s="1027">
        <f t="shared" si="9"/>
        <v>0</v>
      </c>
      <c r="J37" s="1506"/>
      <c r="K37" s="1381"/>
      <c r="L37" s="1525" t="s">
        <v>1914</v>
      </c>
      <c r="M37" s="1526"/>
      <c r="N37" s="2169"/>
      <c r="O37" s="2169"/>
      <c r="P37" s="2169"/>
      <c r="Q37" s="2169"/>
      <c r="R37" s="2170"/>
      <c r="S37" s="2170"/>
      <c r="T37" s="2170"/>
      <c r="U37" s="2170"/>
      <c r="V37" s="2170"/>
      <c r="W37" s="2169"/>
      <c r="X37" s="2169"/>
      <c r="Y37" s="2169"/>
      <c r="Z37" s="2169"/>
      <c r="AA37" s="2169"/>
      <c r="AB37" s="2169"/>
      <c r="AC37" s="2170"/>
    </row>
    <row r="38" spans="1:40" ht="12.75">
      <c r="A38" s="1504"/>
      <c r="B38" s="1426" t="s">
        <v>1202</v>
      </c>
      <c r="C38" s="1027">
        <f>ROUND(C5*C19*C20*C24*F38,0)</f>
        <v>2119</v>
      </c>
      <c r="D38" s="1518"/>
      <c r="E38" s="1027">
        <f t="shared" si="7"/>
        <v>0</v>
      </c>
      <c r="F38" s="1042">
        <f>SUMIF(修正!A45:A56,G2,修正!G45:G56)</f>
        <v>0.2</v>
      </c>
      <c r="G38" s="1027">
        <f t="shared" si="6"/>
        <v>530</v>
      </c>
      <c r="H38" s="1027">
        <f t="shared" si="8"/>
        <v>0</v>
      </c>
      <c r="I38" s="1027">
        <f t="shared" si="9"/>
        <v>0</v>
      </c>
      <c r="J38" s="1506"/>
      <c r="K38" s="1381"/>
      <c r="L38" s="1527" t="s">
        <v>1916</v>
      </c>
      <c r="M38" s="1528">
        <v>0.25</v>
      </c>
      <c r="N38" s="2169"/>
      <c r="O38" s="2169"/>
      <c r="P38" s="2169"/>
      <c r="Q38" s="2169"/>
      <c r="R38" s="2170"/>
      <c r="S38" s="2170"/>
      <c r="T38" s="2170"/>
      <c r="U38" s="2170"/>
      <c r="V38" s="2170"/>
      <c r="W38" s="2169"/>
      <c r="X38" s="2169"/>
      <c r="Y38" s="2169"/>
      <c r="Z38" s="2169"/>
      <c r="AA38" s="2169"/>
      <c r="AB38" s="2169"/>
      <c r="AC38" s="2170"/>
    </row>
    <row r="39" spans="1:40" ht="13.5" thickBot="1">
      <c r="A39" s="1489"/>
      <c r="B39" s="1507" t="s">
        <v>1203</v>
      </c>
      <c r="C39" s="1030">
        <f>ROUND(C5*C19*C20*C24*F39,0)</f>
        <v>1589</v>
      </c>
      <c r="D39" s="1519"/>
      <c r="E39" s="1030">
        <f t="shared" si="7"/>
        <v>0</v>
      </c>
      <c r="F39" s="1044">
        <f>SUMIF(修正!A45:A56,G2,修正!H45:H56)</f>
        <v>0.15</v>
      </c>
      <c r="G39" s="1030">
        <f t="shared" si="6"/>
        <v>397</v>
      </c>
      <c r="H39" s="1030">
        <f t="shared" si="8"/>
        <v>0</v>
      </c>
      <c r="I39" s="1030">
        <f t="shared" si="9"/>
        <v>0</v>
      </c>
      <c r="J39" s="1508"/>
      <c r="K39" s="1381"/>
      <c r="L39" s="1529" t="s">
        <v>1915</v>
      </c>
      <c r="M39" s="1530">
        <v>0.15</v>
      </c>
      <c r="N39" s="2169"/>
      <c r="O39" s="2169"/>
      <c r="P39" s="2169"/>
      <c r="Q39" s="2169"/>
      <c r="R39" s="2170"/>
      <c r="S39" s="2170"/>
      <c r="T39" s="2170"/>
      <c r="U39" s="2170"/>
      <c r="V39" s="2170"/>
      <c r="W39" s="2169"/>
      <c r="X39" s="2169"/>
      <c r="Y39" s="2169"/>
      <c r="Z39" s="2169"/>
      <c r="AA39" s="2169"/>
      <c r="AB39" s="2169"/>
      <c r="AC39" s="2170"/>
    </row>
    <row r="40" spans="1:40" s="1382"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83"/>
      <c r="AE40" s="1383"/>
      <c r="AF40" s="1383"/>
      <c r="AG40" s="1383"/>
      <c r="AH40" s="1383"/>
      <c r="AI40" s="1383"/>
      <c r="AJ40" s="1383"/>
      <c r="AK40" s="1383"/>
      <c r="AL40" s="1383"/>
      <c r="AM40" s="1383"/>
    </row>
    <row r="41" spans="1:40" s="1382" customFormat="1">
      <c r="A41" s="1383"/>
      <c r="B41" s="2178"/>
      <c r="C41" s="2176"/>
      <c r="D41" s="2176"/>
      <c r="E41" s="2176"/>
      <c r="F41" s="2176"/>
      <c r="G41" s="2176"/>
      <c r="H41" s="2176"/>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83"/>
      <c r="AE41" s="1383"/>
      <c r="AF41" s="1383"/>
      <c r="AG41" s="1383"/>
      <c r="AH41" s="1383"/>
      <c r="AI41" s="1383"/>
      <c r="AJ41" s="1383"/>
      <c r="AK41" s="1383"/>
      <c r="AL41" s="1383"/>
      <c r="AM41" s="1383"/>
    </row>
    <row r="42" spans="1:40" s="1382" customFormat="1">
      <c r="A42" s="1383"/>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83"/>
      <c r="AE42" s="1383"/>
      <c r="AF42" s="1383"/>
      <c r="AG42" s="1383"/>
      <c r="AH42" s="1383"/>
      <c r="AI42" s="1383"/>
      <c r="AJ42" s="1383"/>
      <c r="AK42" s="1383"/>
      <c r="AL42" s="1383"/>
      <c r="AM42" s="1383"/>
    </row>
    <row r="43" spans="1:40" s="1382" customFormat="1">
      <c r="A43" s="1383"/>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83"/>
      <c r="AE43" s="1383"/>
      <c r="AF43" s="1383"/>
      <c r="AG43" s="1383"/>
      <c r="AH43" s="1383"/>
      <c r="AI43" s="1383"/>
      <c r="AJ43" s="1383"/>
      <c r="AK43" s="1383"/>
      <c r="AL43" s="1383"/>
      <c r="AM43" s="1383"/>
    </row>
    <row r="44" spans="1:40" s="1382" customFormat="1" ht="15" thickBot="1">
      <c r="A44" s="2431" t="s">
        <v>1204</v>
      </c>
      <c r="B44" s="2432"/>
      <c r="C44" s="2433"/>
      <c r="D44" s="2434"/>
      <c r="E44" s="2434"/>
      <c r="F44" s="2435"/>
      <c r="G44" s="1045"/>
      <c r="H44" s="2435"/>
      <c r="I44" s="1045"/>
      <c r="J44" s="1045"/>
      <c r="K44" s="1045"/>
      <c r="L44" s="1045"/>
      <c r="M44" s="1045"/>
      <c r="O44" s="2176"/>
      <c r="P44" s="2176"/>
      <c r="Q44" s="2176"/>
      <c r="R44" s="2177"/>
      <c r="S44" s="2177"/>
      <c r="T44" s="2177"/>
      <c r="U44" s="2177"/>
      <c r="V44" s="2177"/>
      <c r="W44" s="2176"/>
      <c r="X44" s="2176"/>
      <c r="Y44" s="2176"/>
      <c r="Z44" s="2176"/>
      <c r="AA44" s="2176"/>
      <c r="AB44" s="2176"/>
      <c r="AC44" s="2177"/>
      <c r="AD44" s="1383"/>
      <c r="AE44" s="1383"/>
      <c r="AF44" s="1383"/>
      <c r="AG44" s="1383"/>
      <c r="AH44" s="1383"/>
      <c r="AI44" s="1383"/>
      <c r="AJ44" s="1383"/>
      <c r="AK44" s="1383"/>
      <c r="AL44" s="1383"/>
      <c r="AM44" s="1383"/>
    </row>
    <row r="45" spans="1:40" s="1382" customFormat="1" ht="15">
      <c r="A45" s="2436" t="s">
        <v>1205</v>
      </c>
      <c r="B45" s="2437">
        <f>1+E47</f>
        <v>1</v>
      </c>
      <c r="C45" s="2438"/>
      <c r="D45" s="2439"/>
      <c r="E45" s="2440"/>
      <c r="F45" s="2441"/>
      <c r="G45" s="2435"/>
      <c r="H45" s="2435"/>
      <c r="I45" s="1045"/>
      <c r="J45" s="1045"/>
      <c r="K45" s="1045"/>
      <c r="L45" s="1045"/>
      <c r="M45" s="1045"/>
      <c r="O45" s="2176"/>
      <c r="P45" s="2176"/>
      <c r="Q45" s="2176"/>
      <c r="R45" s="2177"/>
      <c r="S45" s="2177"/>
      <c r="T45" s="2177"/>
      <c r="U45" s="2177"/>
      <c r="V45" s="2177"/>
      <c r="W45" s="2176"/>
      <c r="X45" s="2176"/>
      <c r="Y45" s="2176"/>
      <c r="Z45" s="2176"/>
      <c r="AA45" s="2176"/>
      <c r="AB45" s="2176"/>
      <c r="AC45" s="2177"/>
      <c r="AD45" s="1383"/>
      <c r="AE45" s="1383"/>
      <c r="AF45" s="1383"/>
      <c r="AG45" s="1383"/>
      <c r="AH45" s="1383"/>
      <c r="AI45" s="1383"/>
      <c r="AJ45" s="1383"/>
      <c r="AK45" s="1383"/>
      <c r="AL45" s="1383"/>
      <c r="AM45" s="1383"/>
    </row>
    <row r="46" spans="1:40" s="1382" customFormat="1" ht="24">
      <c r="A46" s="1046" t="s">
        <v>1206</v>
      </c>
      <c r="B46" s="2420" t="s">
        <v>1207</v>
      </c>
      <c r="C46" s="2442" t="s">
        <v>1208</v>
      </c>
      <c r="D46" s="2443" t="s">
        <v>1209</v>
      </c>
      <c r="E46" s="2444" t="s">
        <v>1211</v>
      </c>
      <c r="F46" s="2445" t="s">
        <v>2478</v>
      </c>
      <c r="G46" s="2443" t="s">
        <v>1212</v>
      </c>
      <c r="H46" s="2426" t="s">
        <v>2673</v>
      </c>
      <c r="I46" s="2443" t="s">
        <v>1210</v>
      </c>
      <c r="J46" s="2446" t="s">
        <v>1213</v>
      </c>
      <c r="K46" s="2446" t="s">
        <v>1214</v>
      </c>
      <c r="L46" s="2446" t="s">
        <v>1215</v>
      </c>
      <c r="M46" s="2446" t="s">
        <v>1216</v>
      </c>
      <c r="N46" s="2446" t="s">
        <v>1217</v>
      </c>
      <c r="P46" s="2176"/>
      <c r="Q46" s="2176"/>
      <c r="R46" s="2177"/>
      <c r="S46" s="2177"/>
      <c r="T46" s="2177"/>
      <c r="U46" s="2177"/>
      <c r="V46" s="2177"/>
      <c r="W46" s="2176"/>
      <c r="X46" s="2176"/>
      <c r="Y46" s="2176"/>
      <c r="Z46" s="2176"/>
      <c r="AA46" s="2176"/>
      <c r="AB46" s="2176"/>
      <c r="AC46" s="2176"/>
      <c r="AD46" s="2177"/>
      <c r="AE46" s="1383"/>
      <c r="AF46" s="1383"/>
      <c r="AG46" s="1383"/>
      <c r="AH46" s="1383"/>
      <c r="AI46" s="1383"/>
      <c r="AJ46" s="1383"/>
      <c r="AK46" s="1383"/>
      <c r="AL46" s="1383"/>
      <c r="AM46" s="1383"/>
      <c r="AN46" s="1383"/>
    </row>
    <row r="47" spans="1:40" s="1382" customFormat="1" ht="48">
      <c r="A47" s="1046" t="s">
        <v>1218</v>
      </c>
      <c r="B47" s="2423" t="str">
        <f>估价对象房地状况!C16</f>
        <v>估价对象周边商业用地较少，周边2km仅有小超市、商业规模较小，综合评价商业繁华度较差</v>
      </c>
      <c r="C47" s="1029" t="s">
        <v>1074</v>
      </c>
      <c r="D47" s="2429">
        <f t="shared" ref="D47:D55" si="10">SUMIF($J$46:$N$46,C47,J47:N47)</f>
        <v>0</v>
      </c>
      <c r="E47" s="2448">
        <f>ROUND(SUM(D47:D55),4)</f>
        <v>0</v>
      </c>
      <c r="F47" s="2449" t="str">
        <f>IF(E2="商业",SUMIF(L1:L12,G2,N1:N12),"——")</f>
        <v>——</v>
      </c>
      <c r="G47" s="2427"/>
      <c r="H47" s="2473" t="str">
        <f t="shared" ref="H47:H55" si="11">IFERROR(ROUNDDOWN(($F$47*I47/2),4),"——")</f>
        <v>——</v>
      </c>
      <c r="I47" s="2447">
        <v>0.33</v>
      </c>
      <c r="J47" s="2450">
        <f t="shared" ref="J47:J55" si="12">K47+$G47</f>
        <v>0</v>
      </c>
      <c r="K47" s="2450">
        <f t="shared" ref="K47:K55" si="13">$L47+$G47</f>
        <v>0</v>
      </c>
      <c r="L47" s="2450">
        <v>0</v>
      </c>
      <c r="M47" s="2450">
        <f t="shared" ref="M47:N55" si="14">L47-$G47</f>
        <v>0</v>
      </c>
      <c r="N47" s="2450">
        <f t="shared" si="14"/>
        <v>0</v>
      </c>
      <c r="P47" s="2176"/>
      <c r="Q47" s="2176"/>
      <c r="R47" s="2177"/>
      <c r="S47" s="2177"/>
      <c r="T47" s="2177"/>
      <c r="U47" s="2177"/>
      <c r="V47" s="2177"/>
      <c r="W47" s="2176"/>
      <c r="X47" s="2176"/>
      <c r="Y47" s="2176"/>
      <c r="Z47" s="2176"/>
      <c r="AA47" s="2176"/>
      <c r="AB47" s="2176"/>
      <c r="AC47" s="2176"/>
      <c r="AD47" s="2177"/>
      <c r="AE47" s="1383"/>
      <c r="AF47" s="1383"/>
      <c r="AG47" s="1383"/>
      <c r="AH47" s="1383"/>
      <c r="AI47" s="1383"/>
      <c r="AJ47" s="1383"/>
      <c r="AK47" s="1383"/>
      <c r="AL47" s="1383"/>
      <c r="AM47" s="1383"/>
      <c r="AN47" s="1383"/>
    </row>
    <row r="48" spans="1:40" s="1382" customFormat="1" ht="72">
      <c r="A48" s="1046" t="s">
        <v>1219</v>
      </c>
      <c r="B48" s="2420" t="str">
        <f>估价对象房地状况!C18</f>
        <v>估价对象周边有326、643等公交线路、紧邻昌平线，公共交通通达情况；项目自身有停车位、停车便捷程度较好，综合评价交通便捷度较好</v>
      </c>
      <c r="C48" s="1029" t="s">
        <v>1074</v>
      </c>
      <c r="D48" s="2429">
        <f t="shared" si="10"/>
        <v>0</v>
      </c>
      <c r="E48" s="2451"/>
      <c r="F48" s="2449"/>
      <c r="G48" s="2427"/>
      <c r="H48" s="2473" t="str">
        <f t="shared" si="11"/>
        <v>——</v>
      </c>
      <c r="I48" s="2447">
        <v>0.25</v>
      </c>
      <c r="J48" s="2450">
        <f t="shared" si="12"/>
        <v>0</v>
      </c>
      <c r="K48" s="2450">
        <f t="shared" si="13"/>
        <v>0</v>
      </c>
      <c r="L48" s="2450">
        <v>0</v>
      </c>
      <c r="M48" s="2450">
        <f t="shared" si="14"/>
        <v>0</v>
      </c>
      <c r="N48" s="2450">
        <f t="shared" si="14"/>
        <v>0</v>
      </c>
      <c r="P48" s="2176"/>
      <c r="Q48" s="2176"/>
      <c r="R48" s="2177"/>
      <c r="S48" s="2177"/>
      <c r="T48" s="2177"/>
      <c r="U48" s="2177"/>
      <c r="V48" s="2177"/>
      <c r="W48" s="2176"/>
      <c r="X48" s="2176"/>
      <c r="Y48" s="2176"/>
      <c r="Z48" s="2176"/>
      <c r="AA48" s="2176"/>
      <c r="AB48" s="2176"/>
      <c r="AC48" s="2176"/>
      <c r="AD48" s="2177"/>
      <c r="AE48" s="1383"/>
      <c r="AF48" s="1383"/>
      <c r="AG48" s="1383"/>
      <c r="AH48" s="1383"/>
      <c r="AI48" s="1383"/>
      <c r="AJ48" s="1383"/>
      <c r="AK48" s="1383"/>
      <c r="AL48" s="1383"/>
      <c r="AM48" s="1383"/>
      <c r="AN48" s="1383"/>
    </row>
    <row r="49" spans="1:40" s="1382" customFormat="1" ht="24">
      <c r="A49" s="1046" t="s">
        <v>1220</v>
      </c>
      <c r="B49" s="2420" t="str">
        <f>估价对象房地状况!C19</f>
        <v>零星有其他用地，基本不影响本宗地</v>
      </c>
      <c r="C49" s="1029" t="s">
        <v>1074</v>
      </c>
      <c r="D49" s="2429">
        <f t="shared" si="10"/>
        <v>0</v>
      </c>
      <c r="E49" s="2451"/>
      <c r="F49" s="2449"/>
      <c r="G49" s="2427"/>
      <c r="H49" s="2473" t="str">
        <f t="shared" si="11"/>
        <v>——</v>
      </c>
      <c r="I49" s="2447">
        <v>0.05</v>
      </c>
      <c r="J49" s="2450">
        <f t="shared" si="12"/>
        <v>0</v>
      </c>
      <c r="K49" s="2450">
        <f t="shared" si="13"/>
        <v>0</v>
      </c>
      <c r="L49" s="2450">
        <v>0</v>
      </c>
      <c r="M49" s="2450">
        <f t="shared" si="14"/>
        <v>0</v>
      </c>
      <c r="N49" s="2450">
        <f t="shared" si="14"/>
        <v>0</v>
      </c>
      <c r="P49" s="2176"/>
      <c r="Q49" s="2176"/>
      <c r="R49" s="2177"/>
      <c r="S49" s="2177"/>
      <c r="T49" s="2177"/>
      <c r="U49" s="2177"/>
      <c r="V49" s="2177"/>
      <c r="W49" s="2176"/>
      <c r="X49" s="2176"/>
      <c r="Y49" s="2176"/>
      <c r="Z49" s="2176"/>
      <c r="AA49" s="2176"/>
      <c r="AB49" s="2176"/>
      <c r="AC49" s="2176"/>
      <c r="AD49" s="2177"/>
      <c r="AE49" s="1383"/>
      <c r="AF49" s="1383"/>
      <c r="AG49" s="1383"/>
      <c r="AH49" s="1383"/>
      <c r="AI49" s="1383"/>
      <c r="AJ49" s="1383"/>
      <c r="AK49" s="1383"/>
      <c r="AL49" s="1383"/>
      <c r="AM49" s="1383"/>
      <c r="AN49" s="1383"/>
    </row>
    <row r="50" spans="1:40" s="1382" customFormat="1" ht="48">
      <c r="A50" s="1046" t="s">
        <v>1221</v>
      </c>
      <c r="B50" s="1823" t="s">
        <v>1222</v>
      </c>
      <c r="C50" s="1029" t="s">
        <v>1074</v>
      </c>
      <c r="D50" s="2429">
        <f t="shared" si="10"/>
        <v>0</v>
      </c>
      <c r="E50" s="2451"/>
      <c r="F50" s="2449"/>
      <c r="G50" s="2427"/>
      <c r="H50" s="2473" t="str">
        <f t="shared" si="11"/>
        <v>——</v>
      </c>
      <c r="I50" s="2447">
        <v>0.05</v>
      </c>
      <c r="J50" s="2450">
        <f t="shared" si="12"/>
        <v>0</v>
      </c>
      <c r="K50" s="2450">
        <f t="shared" si="13"/>
        <v>0</v>
      </c>
      <c r="L50" s="2450">
        <v>0</v>
      </c>
      <c r="M50" s="2450">
        <f t="shared" si="14"/>
        <v>0</v>
      </c>
      <c r="N50" s="2450">
        <f t="shared" si="14"/>
        <v>0</v>
      </c>
      <c r="P50" s="2176"/>
      <c r="Q50" s="2176"/>
      <c r="R50" s="2177"/>
      <c r="S50" s="2177"/>
      <c r="T50" s="2177"/>
      <c r="U50" s="2177"/>
      <c r="V50" s="2177"/>
      <c r="W50" s="2176"/>
      <c r="X50" s="2176"/>
      <c r="Y50" s="2176"/>
      <c r="Z50" s="2176"/>
      <c r="AA50" s="2176"/>
      <c r="AB50" s="2176"/>
      <c r="AC50" s="2176"/>
      <c r="AD50" s="2177"/>
      <c r="AE50" s="1383"/>
      <c r="AF50" s="1383"/>
      <c r="AG50" s="1383"/>
      <c r="AH50" s="1383"/>
      <c r="AI50" s="1383"/>
      <c r="AJ50" s="1383"/>
      <c r="AK50" s="1383"/>
      <c r="AL50" s="1383"/>
      <c r="AM50" s="1383"/>
      <c r="AN50" s="1383"/>
    </row>
    <row r="51" spans="1:40" s="1382" customFormat="1" ht="24">
      <c r="A51" s="1046" t="s">
        <v>1223</v>
      </c>
      <c r="B51" s="2420" t="str">
        <f>估价对象房地状况!C24</f>
        <v>城市支路——南中路</v>
      </c>
      <c r="C51" s="1029" t="s">
        <v>1074</v>
      </c>
      <c r="D51" s="2429">
        <f t="shared" si="10"/>
        <v>0</v>
      </c>
      <c r="E51" s="2451"/>
      <c r="F51" s="2449"/>
      <c r="G51" s="2427"/>
      <c r="H51" s="2473" t="str">
        <f t="shared" si="11"/>
        <v>——</v>
      </c>
      <c r="I51" s="2447">
        <v>0.08</v>
      </c>
      <c r="J51" s="2450">
        <f t="shared" si="12"/>
        <v>0</v>
      </c>
      <c r="K51" s="2450">
        <f t="shared" si="13"/>
        <v>0</v>
      </c>
      <c r="L51" s="2450">
        <v>0</v>
      </c>
      <c r="M51" s="2450">
        <f t="shared" si="14"/>
        <v>0</v>
      </c>
      <c r="N51" s="2450">
        <f t="shared" si="14"/>
        <v>0</v>
      </c>
      <c r="P51" s="2176"/>
      <c r="Q51" s="2176"/>
      <c r="R51" s="2177"/>
      <c r="S51" s="2177"/>
      <c r="T51" s="2177"/>
      <c r="U51" s="2177"/>
      <c r="V51" s="2177"/>
      <c r="W51" s="2176"/>
      <c r="X51" s="2176"/>
      <c r="Y51" s="2176"/>
      <c r="Z51" s="2176"/>
      <c r="AA51" s="2176"/>
      <c r="AB51" s="2176"/>
      <c r="AC51" s="2176"/>
      <c r="AD51" s="2177"/>
      <c r="AE51" s="1383"/>
      <c r="AF51" s="1383"/>
      <c r="AG51" s="1383"/>
      <c r="AH51" s="1383"/>
      <c r="AI51" s="1383"/>
      <c r="AJ51" s="1383"/>
      <c r="AK51" s="1383"/>
      <c r="AL51" s="1383"/>
      <c r="AM51" s="1383"/>
      <c r="AN51" s="1383"/>
    </row>
    <row r="52" spans="1:40" s="1382" customFormat="1" ht="24">
      <c r="A52" s="1046" t="s">
        <v>1224</v>
      </c>
      <c r="B52" s="1824" t="s">
        <v>1225</v>
      </c>
      <c r="C52" s="1029" t="s">
        <v>1074</v>
      </c>
      <c r="D52" s="2429">
        <f t="shared" si="10"/>
        <v>0</v>
      </c>
      <c r="E52" s="2451"/>
      <c r="F52" s="2449"/>
      <c r="G52" s="2427"/>
      <c r="H52" s="2473" t="str">
        <f t="shared" si="11"/>
        <v>——</v>
      </c>
      <c r="I52" s="2447">
        <v>0.03</v>
      </c>
      <c r="J52" s="2450">
        <f t="shared" si="12"/>
        <v>0</v>
      </c>
      <c r="K52" s="2450">
        <f t="shared" si="13"/>
        <v>0</v>
      </c>
      <c r="L52" s="2450">
        <v>0</v>
      </c>
      <c r="M52" s="2450">
        <f t="shared" si="14"/>
        <v>0</v>
      </c>
      <c r="N52" s="2450">
        <f t="shared" si="14"/>
        <v>0</v>
      </c>
      <c r="P52" s="2176"/>
      <c r="Q52" s="2176"/>
      <c r="R52" s="2177"/>
      <c r="S52" s="2177"/>
      <c r="T52" s="2177"/>
      <c r="U52" s="2177"/>
      <c r="V52" s="2177"/>
      <c r="W52" s="2176"/>
      <c r="X52" s="2176"/>
      <c r="Y52" s="2176"/>
      <c r="Z52" s="2176"/>
      <c r="AA52" s="2176"/>
      <c r="AB52" s="2176"/>
      <c r="AC52" s="2176"/>
      <c r="AD52" s="2177"/>
      <c r="AE52" s="1383"/>
      <c r="AF52" s="1383"/>
      <c r="AG52" s="1383"/>
      <c r="AH52" s="1383"/>
      <c r="AI52" s="1383"/>
      <c r="AJ52" s="1383"/>
      <c r="AK52" s="1383"/>
      <c r="AL52" s="1383"/>
      <c r="AM52" s="1383"/>
      <c r="AN52" s="1383"/>
    </row>
    <row r="53" spans="1:40" s="1382" customFormat="1" ht="24">
      <c r="A53" s="2452" t="s">
        <v>1226</v>
      </c>
      <c r="B53" s="2421" t="str">
        <f>估价对象房地状况!C21</f>
        <v>估价对象所在区域公共配套设施较齐备；</v>
      </c>
      <c r="C53" s="1029" t="s">
        <v>1074</v>
      </c>
      <c r="D53" s="2429">
        <f t="shared" si="10"/>
        <v>0</v>
      </c>
      <c r="E53" s="2451"/>
      <c r="F53" s="2449"/>
      <c r="G53" s="2427"/>
      <c r="H53" s="2473" t="str">
        <f t="shared" si="11"/>
        <v>——</v>
      </c>
      <c r="I53" s="2447">
        <v>0.05</v>
      </c>
      <c r="J53" s="2450">
        <f t="shared" si="12"/>
        <v>0</v>
      </c>
      <c r="K53" s="2450">
        <f t="shared" si="13"/>
        <v>0</v>
      </c>
      <c r="L53" s="2450">
        <v>0</v>
      </c>
      <c r="M53" s="2450">
        <f t="shared" si="14"/>
        <v>0</v>
      </c>
      <c r="N53" s="2450">
        <f t="shared" si="14"/>
        <v>0</v>
      </c>
      <c r="P53" s="2176"/>
      <c r="Q53" s="2176"/>
      <c r="R53" s="2177"/>
      <c r="S53" s="2177"/>
      <c r="T53" s="2177"/>
      <c r="U53" s="2177"/>
      <c r="V53" s="2177"/>
      <c r="W53" s="2176"/>
      <c r="X53" s="2176"/>
      <c r="Y53" s="2176"/>
      <c r="Z53" s="2176"/>
      <c r="AA53" s="2176"/>
      <c r="AB53" s="2176"/>
      <c r="AC53" s="2176"/>
      <c r="AD53" s="2177"/>
      <c r="AE53" s="1383"/>
      <c r="AF53" s="1383"/>
      <c r="AG53" s="1383"/>
      <c r="AH53" s="1383"/>
      <c r="AI53" s="1383"/>
      <c r="AJ53" s="1383"/>
      <c r="AK53" s="1383"/>
      <c r="AL53" s="1383"/>
      <c r="AM53" s="1383"/>
      <c r="AN53" s="1383"/>
    </row>
    <row r="54" spans="1:40" s="1382" customFormat="1" ht="24">
      <c r="A54" s="2452" t="s">
        <v>1227</v>
      </c>
      <c r="B54" s="2420" t="str">
        <f>估价对象房地状况!C22</f>
        <v>基础设施水平七通一平</v>
      </c>
      <c r="C54" s="1029" t="s">
        <v>1074</v>
      </c>
      <c r="D54" s="2429">
        <f t="shared" si="10"/>
        <v>0</v>
      </c>
      <c r="E54" s="2451"/>
      <c r="F54" s="2449"/>
      <c r="G54" s="2427"/>
      <c r="H54" s="2473" t="str">
        <f t="shared" si="11"/>
        <v>——</v>
      </c>
      <c r="I54" s="2447">
        <v>0.1</v>
      </c>
      <c r="J54" s="2450">
        <f t="shared" si="12"/>
        <v>0</v>
      </c>
      <c r="K54" s="2450">
        <f t="shared" si="13"/>
        <v>0</v>
      </c>
      <c r="L54" s="2450">
        <v>0</v>
      </c>
      <c r="M54" s="2450">
        <f t="shared" si="14"/>
        <v>0</v>
      </c>
      <c r="N54" s="2450">
        <f t="shared" si="14"/>
        <v>0</v>
      </c>
      <c r="P54" s="2176"/>
      <c r="Q54" s="2176"/>
      <c r="R54" s="2177"/>
      <c r="S54" s="2177"/>
      <c r="T54" s="2177"/>
      <c r="U54" s="2177"/>
      <c r="V54" s="2177"/>
      <c r="W54" s="2176"/>
      <c r="X54" s="2176"/>
      <c r="Y54" s="2176"/>
      <c r="Z54" s="2176"/>
      <c r="AA54" s="2176"/>
      <c r="AB54" s="2176"/>
      <c r="AC54" s="2176"/>
      <c r="AD54" s="2177"/>
      <c r="AE54" s="1383"/>
      <c r="AF54" s="1383"/>
      <c r="AG54" s="1383"/>
      <c r="AH54" s="1383"/>
      <c r="AI54" s="1383"/>
      <c r="AJ54" s="1383"/>
      <c r="AK54" s="1383"/>
      <c r="AL54" s="1383"/>
      <c r="AM54" s="1383"/>
      <c r="AN54" s="1383"/>
    </row>
    <row r="55" spans="1:40" s="1382" customFormat="1" ht="36.75" thickBot="1">
      <c r="A55" s="2453" t="s">
        <v>1228</v>
      </c>
      <c r="B55" s="2424" t="str">
        <f>估价对象房地状况!C20</f>
        <v>区域自然环境：白浮泉公园等；人文环境：无；综合评价环境状况一般</v>
      </c>
      <c r="C55" s="1029" t="s">
        <v>1074</v>
      </c>
      <c r="D55" s="2429">
        <f t="shared" si="10"/>
        <v>0</v>
      </c>
      <c r="E55" s="2455"/>
      <c r="F55" s="2449"/>
      <c r="G55" s="2427"/>
      <c r="H55" s="2473" t="str">
        <f t="shared" si="11"/>
        <v>——</v>
      </c>
      <c r="I55" s="2454">
        <v>0.06</v>
      </c>
      <c r="J55" s="2450">
        <f t="shared" si="12"/>
        <v>0</v>
      </c>
      <c r="K55" s="2450">
        <f t="shared" si="13"/>
        <v>0</v>
      </c>
      <c r="L55" s="2450">
        <v>0</v>
      </c>
      <c r="M55" s="2450">
        <f t="shared" si="14"/>
        <v>0</v>
      </c>
      <c r="N55" s="2450">
        <f t="shared" si="14"/>
        <v>0</v>
      </c>
      <c r="P55" s="2176"/>
      <c r="Q55" s="2176"/>
      <c r="R55" s="2177"/>
      <c r="S55" s="2177"/>
      <c r="T55" s="2177"/>
      <c r="U55" s="2177"/>
      <c r="V55" s="2177"/>
      <c r="W55" s="2176"/>
      <c r="X55" s="2176"/>
      <c r="Y55" s="2176"/>
      <c r="Z55" s="2176"/>
      <c r="AA55" s="2176"/>
      <c r="AB55" s="2176"/>
      <c r="AC55" s="2176"/>
      <c r="AD55" s="2177"/>
      <c r="AE55" s="1383"/>
      <c r="AF55" s="1383"/>
      <c r="AG55" s="1383"/>
      <c r="AH55" s="1383"/>
      <c r="AI55" s="1383"/>
      <c r="AJ55" s="1383"/>
      <c r="AK55" s="1383"/>
      <c r="AL55" s="1383"/>
      <c r="AM55" s="1383"/>
      <c r="AN55" s="1383"/>
    </row>
    <row r="56" spans="1:40" s="1382" customFormat="1" ht="15">
      <c r="A56" s="2436" t="s">
        <v>1229</v>
      </c>
      <c r="B56" s="2437">
        <f>1+E58</f>
        <v>1.0979000000000001</v>
      </c>
      <c r="C56" s="2456"/>
      <c r="D56" s="2439"/>
      <c r="E56" s="2440"/>
      <c r="F56" s="2441"/>
      <c r="G56" s="2435"/>
      <c r="H56" s="2435"/>
      <c r="I56" s="2435"/>
      <c r="J56" s="1045"/>
      <c r="K56" s="1045"/>
      <c r="L56" s="1045"/>
      <c r="M56" s="1045"/>
      <c r="N56" s="1045"/>
      <c r="P56" s="2176"/>
      <c r="Q56" s="2176"/>
      <c r="R56" s="2177"/>
      <c r="S56" s="2177"/>
      <c r="T56" s="2177"/>
      <c r="U56" s="2177"/>
      <c r="V56" s="2177"/>
      <c r="W56" s="2176"/>
      <c r="X56" s="2176"/>
      <c r="Y56" s="2176"/>
      <c r="Z56" s="2176"/>
      <c r="AA56" s="2176"/>
      <c r="AB56" s="2176"/>
      <c r="AC56" s="2176"/>
      <c r="AD56" s="2177"/>
      <c r="AE56" s="1383"/>
      <c r="AF56" s="1383"/>
      <c r="AG56" s="1383"/>
      <c r="AH56" s="1383"/>
      <c r="AI56" s="1383"/>
      <c r="AJ56" s="1383"/>
      <c r="AK56" s="1383"/>
      <c r="AL56" s="1383"/>
      <c r="AM56" s="1383"/>
      <c r="AN56" s="1383"/>
    </row>
    <row r="57" spans="1:40" s="1382" customFormat="1" ht="24">
      <c r="A57" s="1046" t="s">
        <v>1206</v>
      </c>
      <c r="B57" s="2420"/>
      <c r="C57" s="2442" t="s">
        <v>1208</v>
      </c>
      <c r="D57" s="2443" t="s">
        <v>1209</v>
      </c>
      <c r="E57" s="2444" t="s">
        <v>1211</v>
      </c>
      <c r="F57" s="2445" t="s">
        <v>2479</v>
      </c>
      <c r="G57" s="2443" t="s">
        <v>1212</v>
      </c>
      <c r="H57" s="2426" t="s">
        <v>2673</v>
      </c>
      <c r="I57" s="2443" t="s">
        <v>1210</v>
      </c>
      <c r="J57" s="2446" t="s">
        <v>1213</v>
      </c>
      <c r="K57" s="2446" t="s">
        <v>1214</v>
      </c>
      <c r="L57" s="2446" t="s">
        <v>1215</v>
      </c>
      <c r="M57" s="2446" t="s">
        <v>1216</v>
      </c>
      <c r="N57" s="2446" t="s">
        <v>1217</v>
      </c>
      <c r="P57" s="2176"/>
      <c r="Q57" s="2176"/>
      <c r="R57" s="2177"/>
      <c r="S57" s="2177"/>
      <c r="T57" s="2177"/>
      <c r="U57" s="2177"/>
      <c r="V57" s="2177"/>
      <c r="W57" s="2176"/>
      <c r="X57" s="2176"/>
      <c r="Y57" s="2176"/>
      <c r="Z57" s="2176"/>
      <c r="AA57" s="2176"/>
      <c r="AB57" s="2176"/>
      <c r="AC57" s="2176"/>
      <c r="AD57" s="2177"/>
      <c r="AE57" s="1383"/>
      <c r="AF57" s="1383"/>
      <c r="AG57" s="1383"/>
      <c r="AH57" s="1383"/>
      <c r="AI57" s="1383"/>
      <c r="AJ57" s="1383"/>
      <c r="AK57" s="1383"/>
      <c r="AL57" s="1383"/>
      <c r="AM57" s="1383"/>
      <c r="AN57" s="1383"/>
    </row>
    <row r="58" spans="1:40" s="1382" customFormat="1" ht="60">
      <c r="A58" s="1046" t="s">
        <v>1230</v>
      </c>
      <c r="B58" s="2423" t="str">
        <f>估价对象房地状况!C17</f>
        <v>估价对象周边办公用地比例合宜，周边有企业墅等办公楼、办公规模一般，综合评价办公集聚程度一般</v>
      </c>
      <c r="C58" s="1029" t="s">
        <v>1074</v>
      </c>
      <c r="D58" s="2429">
        <f t="shared" ref="D58:D66" si="15">SUMIF($J$57:$N$57,C58,J58:N58)</f>
        <v>2.3400000000000001E-2</v>
      </c>
      <c r="E58" s="2448">
        <f>ROUND(SUM(D58:D66),4)</f>
        <v>9.7900000000000001E-2</v>
      </c>
      <c r="F58" s="2449" t="str">
        <f>IF(E2="办公",SUMIF(L1:L12,G2,N1:N12),"——")</f>
        <v>——</v>
      </c>
      <c r="G58" s="2427">
        <v>1.17E-2</v>
      </c>
      <c r="H58" s="2473" t="str">
        <f>IFERROR(ROUNDDOWN($F$58*I58/2,4),"——")</f>
        <v>——</v>
      </c>
      <c r="I58" s="2447">
        <v>0.24</v>
      </c>
      <c r="J58" s="2450">
        <f t="shared" ref="J58:J66" si="16">K58+$G58</f>
        <v>2.3400000000000001E-2</v>
      </c>
      <c r="K58" s="2450">
        <f t="shared" ref="K58:K66" si="17">$L58+$G58</f>
        <v>1.17E-2</v>
      </c>
      <c r="L58" s="2450">
        <v>0</v>
      </c>
      <c r="M58" s="2450">
        <f t="shared" ref="M58:N66" si="18">L58-$G58</f>
        <v>-1.17E-2</v>
      </c>
      <c r="N58" s="2450">
        <f t="shared" si="18"/>
        <v>-2.3400000000000001E-2</v>
      </c>
      <c r="P58" s="2176"/>
      <c r="Q58" s="2176"/>
      <c r="R58" s="2177"/>
      <c r="S58" s="2177"/>
      <c r="T58" s="2177"/>
      <c r="U58" s="2177"/>
      <c r="V58" s="2177"/>
      <c r="W58" s="2176"/>
      <c r="X58" s="2176"/>
      <c r="Y58" s="2176"/>
      <c r="Z58" s="2176"/>
      <c r="AA58" s="2176"/>
      <c r="AB58" s="2176"/>
      <c r="AC58" s="2176"/>
      <c r="AD58" s="2177"/>
      <c r="AE58" s="1383"/>
      <c r="AF58" s="1383"/>
      <c r="AG58" s="1383"/>
      <c r="AH58" s="1383"/>
      <c r="AI58" s="1383"/>
      <c r="AJ58" s="1383"/>
      <c r="AK58" s="1383"/>
      <c r="AL58" s="1383"/>
      <c r="AM58" s="1383"/>
      <c r="AN58" s="1383"/>
    </row>
    <row r="59" spans="1:40" s="1382" customFormat="1" ht="72">
      <c r="A59" s="1046" t="s">
        <v>1219</v>
      </c>
      <c r="B59" s="2420" t="str">
        <f>估价对象房地状况!C18</f>
        <v>估价对象周边有326、643等公交线路、紧邻昌平线，公共交通通达情况；项目自身有停车位、停车便捷程度较好，综合评价交通便捷度较好</v>
      </c>
      <c r="C59" s="1029" t="s">
        <v>1074</v>
      </c>
      <c r="D59" s="2429">
        <f t="shared" si="15"/>
        <v>2.9399999999999999E-2</v>
      </c>
      <c r="E59" s="2451"/>
      <c r="F59" s="2449"/>
      <c r="G59" s="2427">
        <v>1.47E-2</v>
      </c>
      <c r="H59" s="2428" t="str">
        <f t="shared" ref="H59:H66" si="19">IFERROR($F$58*I59/2,"——")</f>
        <v>——</v>
      </c>
      <c r="I59" s="2447">
        <v>0.3</v>
      </c>
      <c r="J59" s="2450">
        <f t="shared" si="16"/>
        <v>2.9399999999999999E-2</v>
      </c>
      <c r="K59" s="2450">
        <f t="shared" si="17"/>
        <v>1.47E-2</v>
      </c>
      <c r="L59" s="2450">
        <v>0</v>
      </c>
      <c r="M59" s="2450">
        <f t="shared" si="18"/>
        <v>-1.47E-2</v>
      </c>
      <c r="N59" s="2450">
        <f t="shared" si="18"/>
        <v>-2.9399999999999999E-2</v>
      </c>
      <c r="P59" s="2176"/>
      <c r="Q59" s="2176"/>
      <c r="R59" s="2177"/>
      <c r="S59" s="2177"/>
      <c r="T59" s="2177"/>
      <c r="U59" s="2177"/>
      <c r="V59" s="2177"/>
      <c r="W59" s="2176"/>
      <c r="X59" s="2176"/>
      <c r="Y59" s="2176"/>
      <c r="Z59" s="2176"/>
      <c r="AA59" s="2176"/>
      <c r="AB59" s="2176"/>
      <c r="AC59" s="2176"/>
      <c r="AD59" s="2177"/>
      <c r="AE59" s="1383"/>
      <c r="AF59" s="1383"/>
      <c r="AG59" s="1383"/>
      <c r="AH59" s="1383"/>
      <c r="AI59" s="1383"/>
      <c r="AJ59" s="1383"/>
      <c r="AK59" s="1383"/>
      <c r="AL59" s="1383"/>
      <c r="AM59" s="1383"/>
      <c r="AN59" s="1383"/>
    </row>
    <row r="60" spans="1:40" s="1382" customFormat="1" ht="24">
      <c r="A60" s="1046" t="s">
        <v>1220</v>
      </c>
      <c r="B60" s="2420" t="str">
        <f>估价对象房地状况!C19</f>
        <v>零星有其他用地，基本不影响本宗地</v>
      </c>
      <c r="C60" s="1029" t="s">
        <v>1074</v>
      </c>
      <c r="D60" s="2429">
        <f t="shared" si="15"/>
        <v>7.8399999999999997E-3</v>
      </c>
      <c r="E60" s="2451"/>
      <c r="F60" s="2449"/>
      <c r="G60" s="2427">
        <v>3.9199999999999999E-3</v>
      </c>
      <c r="H60" s="2428" t="str">
        <f t="shared" si="19"/>
        <v>——</v>
      </c>
      <c r="I60" s="2447">
        <v>0.08</v>
      </c>
      <c r="J60" s="2450">
        <f t="shared" si="16"/>
        <v>7.8399999999999997E-3</v>
      </c>
      <c r="K60" s="2450">
        <f t="shared" si="17"/>
        <v>3.9199999999999999E-3</v>
      </c>
      <c r="L60" s="2450">
        <v>0</v>
      </c>
      <c r="M60" s="2450">
        <f t="shared" si="18"/>
        <v>-3.9199999999999999E-3</v>
      </c>
      <c r="N60" s="2450">
        <f t="shared" si="18"/>
        <v>-7.8399999999999997E-3</v>
      </c>
      <c r="P60" s="2176"/>
      <c r="Q60" s="2176"/>
      <c r="R60" s="2177"/>
      <c r="S60" s="2177"/>
      <c r="T60" s="2177"/>
      <c r="U60" s="2177"/>
      <c r="V60" s="2177"/>
      <c r="W60" s="2176"/>
      <c r="X60" s="2176"/>
      <c r="Y60" s="2176"/>
      <c r="Z60" s="2176"/>
      <c r="AA60" s="2176"/>
      <c r="AB60" s="2176"/>
      <c r="AC60" s="2176"/>
      <c r="AD60" s="2177"/>
      <c r="AE60" s="1383"/>
      <c r="AF60" s="1383"/>
      <c r="AG60" s="1383"/>
      <c r="AH60" s="1383"/>
      <c r="AI60" s="1383"/>
      <c r="AJ60" s="1383"/>
      <c r="AK60" s="1383"/>
      <c r="AL60" s="1383"/>
      <c r="AM60" s="1383"/>
      <c r="AN60" s="1383"/>
    </row>
    <row r="61" spans="1:40" s="1382" customFormat="1" ht="48">
      <c r="A61" s="1046" t="s">
        <v>1221</v>
      </c>
      <c r="B61" s="1823" t="s">
        <v>1222</v>
      </c>
      <c r="C61" s="1029" t="s">
        <v>1074</v>
      </c>
      <c r="D61" s="2429">
        <f t="shared" si="15"/>
        <v>3.9199999999999999E-3</v>
      </c>
      <c r="E61" s="2451"/>
      <c r="F61" s="2449"/>
      <c r="G61" s="2427">
        <v>1.9599999999999999E-3</v>
      </c>
      <c r="H61" s="2428" t="str">
        <f t="shared" si="19"/>
        <v>——</v>
      </c>
      <c r="I61" s="2447">
        <v>0.04</v>
      </c>
      <c r="J61" s="2450">
        <f t="shared" si="16"/>
        <v>3.9199999999999999E-3</v>
      </c>
      <c r="K61" s="2450">
        <f t="shared" si="17"/>
        <v>1.9599999999999999E-3</v>
      </c>
      <c r="L61" s="2450">
        <v>0</v>
      </c>
      <c r="M61" s="2450">
        <f t="shared" si="18"/>
        <v>-1.9599999999999999E-3</v>
      </c>
      <c r="N61" s="2450">
        <f t="shared" si="18"/>
        <v>-3.9199999999999999E-3</v>
      </c>
      <c r="P61" s="2176"/>
      <c r="Q61" s="2176"/>
      <c r="R61" s="2177"/>
      <c r="S61" s="2177"/>
      <c r="T61" s="2177"/>
      <c r="U61" s="2177"/>
      <c r="V61" s="2177"/>
      <c r="W61" s="2176"/>
      <c r="X61" s="2176"/>
      <c r="Y61" s="2176"/>
      <c r="Z61" s="2176"/>
      <c r="AA61" s="2176"/>
      <c r="AB61" s="2176"/>
      <c r="AC61" s="2176"/>
      <c r="AD61" s="2177"/>
      <c r="AE61" s="1383"/>
      <c r="AF61" s="1383"/>
      <c r="AG61" s="1383"/>
      <c r="AH61" s="1383"/>
      <c r="AI61" s="1383"/>
      <c r="AJ61" s="1383"/>
      <c r="AK61" s="1383"/>
      <c r="AL61" s="1383"/>
      <c r="AM61" s="1383"/>
      <c r="AN61" s="1383"/>
    </row>
    <row r="62" spans="1:40" s="1382" customFormat="1" ht="24">
      <c r="A62" s="1046" t="s">
        <v>1223</v>
      </c>
      <c r="B62" s="2420" t="str">
        <f>估价对象房地状况!C24</f>
        <v>城市支路——南中路</v>
      </c>
      <c r="C62" s="1029" t="s">
        <v>1074</v>
      </c>
      <c r="D62" s="2429">
        <f t="shared" si="15"/>
        <v>4.8999999999999998E-3</v>
      </c>
      <c r="E62" s="2451"/>
      <c r="F62" s="2449"/>
      <c r="G62" s="2427">
        <v>2.4499999999999999E-3</v>
      </c>
      <c r="H62" s="2428" t="str">
        <f t="shared" si="19"/>
        <v>——</v>
      </c>
      <c r="I62" s="2447">
        <v>0.05</v>
      </c>
      <c r="J62" s="2450">
        <f t="shared" si="16"/>
        <v>4.8999999999999998E-3</v>
      </c>
      <c r="K62" s="2450">
        <f t="shared" si="17"/>
        <v>2.4499999999999999E-3</v>
      </c>
      <c r="L62" s="2450">
        <v>0</v>
      </c>
      <c r="M62" s="2450">
        <f t="shared" si="18"/>
        <v>-2.4499999999999999E-3</v>
      </c>
      <c r="N62" s="2450">
        <f t="shared" si="18"/>
        <v>-4.8999999999999998E-3</v>
      </c>
      <c r="P62" s="2176"/>
      <c r="Q62" s="2176"/>
      <c r="R62" s="2177"/>
      <c r="S62" s="2177"/>
      <c r="T62" s="2177"/>
      <c r="U62" s="2177"/>
      <c r="V62" s="2177"/>
      <c r="W62" s="2176"/>
      <c r="X62" s="2176"/>
      <c r="Y62" s="2176"/>
      <c r="Z62" s="2176"/>
      <c r="AA62" s="2176"/>
      <c r="AB62" s="2176"/>
      <c r="AC62" s="2176"/>
      <c r="AD62" s="2177"/>
      <c r="AE62" s="1383"/>
      <c r="AF62" s="1383"/>
      <c r="AG62" s="1383"/>
      <c r="AH62" s="1383"/>
      <c r="AI62" s="1383"/>
      <c r="AJ62" s="1383"/>
      <c r="AK62" s="1383"/>
      <c r="AL62" s="1383"/>
      <c r="AM62" s="1383"/>
      <c r="AN62" s="1383"/>
    </row>
    <row r="63" spans="1:40" s="1382" customFormat="1" ht="24">
      <c r="A63" s="1046" t="s">
        <v>1224</v>
      </c>
      <c r="B63" s="1824" t="s">
        <v>1225</v>
      </c>
      <c r="C63" s="1029" t="s">
        <v>1074</v>
      </c>
      <c r="D63" s="2429">
        <f t="shared" si="15"/>
        <v>4.8999999999999998E-3</v>
      </c>
      <c r="E63" s="2451"/>
      <c r="F63" s="2449"/>
      <c r="G63" s="2427">
        <v>2.4499999999999999E-3</v>
      </c>
      <c r="H63" s="2428" t="str">
        <f t="shared" si="19"/>
        <v>——</v>
      </c>
      <c r="I63" s="2447">
        <v>0.05</v>
      </c>
      <c r="J63" s="2450">
        <f t="shared" si="16"/>
        <v>4.8999999999999998E-3</v>
      </c>
      <c r="K63" s="2450">
        <f t="shared" si="17"/>
        <v>2.4499999999999999E-3</v>
      </c>
      <c r="L63" s="2450">
        <v>0</v>
      </c>
      <c r="M63" s="2450">
        <f t="shared" si="18"/>
        <v>-2.4499999999999999E-3</v>
      </c>
      <c r="N63" s="2450">
        <f t="shared" si="18"/>
        <v>-4.8999999999999998E-3</v>
      </c>
      <c r="P63" s="2176"/>
      <c r="Q63" s="2176"/>
      <c r="R63" s="2177"/>
      <c r="S63" s="2177"/>
      <c r="T63" s="2177"/>
      <c r="U63" s="2177"/>
      <c r="V63" s="2177"/>
      <c r="W63" s="2176"/>
      <c r="X63" s="2176"/>
      <c r="Y63" s="2176"/>
      <c r="Z63" s="2176"/>
      <c r="AA63" s="2176"/>
      <c r="AB63" s="2176"/>
      <c r="AC63" s="2176"/>
      <c r="AD63" s="2177"/>
      <c r="AE63" s="1383"/>
      <c r="AF63" s="1383"/>
      <c r="AG63" s="1383"/>
      <c r="AH63" s="1383"/>
      <c r="AI63" s="1383"/>
      <c r="AJ63" s="1383"/>
      <c r="AK63" s="1383"/>
      <c r="AL63" s="1383"/>
      <c r="AM63" s="1383"/>
      <c r="AN63" s="1383"/>
    </row>
    <row r="64" spans="1:40" s="1382" customFormat="1" ht="24">
      <c r="A64" s="1046" t="s">
        <v>1226</v>
      </c>
      <c r="B64" s="2421" t="str">
        <f>估价对象房地状况!C21</f>
        <v>估价对象所在区域公共配套设施较齐备；</v>
      </c>
      <c r="C64" s="1029" t="s">
        <v>1074</v>
      </c>
      <c r="D64" s="2429">
        <f t="shared" si="15"/>
        <v>5.8799999999999998E-3</v>
      </c>
      <c r="E64" s="2451"/>
      <c r="F64" s="2449"/>
      <c r="G64" s="2427">
        <v>2.9399999999999999E-3</v>
      </c>
      <c r="H64" s="2428" t="str">
        <f t="shared" si="19"/>
        <v>——</v>
      </c>
      <c r="I64" s="2447">
        <v>0.06</v>
      </c>
      <c r="J64" s="2450">
        <f t="shared" si="16"/>
        <v>5.8799999999999998E-3</v>
      </c>
      <c r="K64" s="2450">
        <f t="shared" si="17"/>
        <v>2.9399999999999999E-3</v>
      </c>
      <c r="L64" s="2450">
        <v>0</v>
      </c>
      <c r="M64" s="2450">
        <f t="shared" si="18"/>
        <v>-2.9399999999999999E-3</v>
      </c>
      <c r="N64" s="2450">
        <f t="shared" si="18"/>
        <v>-5.8799999999999998E-3</v>
      </c>
      <c r="P64" s="2176"/>
      <c r="Q64" s="2176"/>
      <c r="R64" s="2177"/>
      <c r="S64" s="2177"/>
      <c r="T64" s="2177"/>
      <c r="U64" s="2177"/>
      <c r="V64" s="2177"/>
      <c r="W64" s="2176"/>
      <c r="X64" s="2176"/>
      <c r="Y64" s="2176"/>
      <c r="Z64" s="2176"/>
      <c r="AA64" s="2176"/>
      <c r="AB64" s="2176"/>
      <c r="AC64" s="2176"/>
      <c r="AD64" s="2177"/>
      <c r="AE64" s="1383"/>
      <c r="AF64" s="1383"/>
      <c r="AG64" s="1383"/>
      <c r="AH64" s="1383"/>
      <c r="AI64" s="1383"/>
      <c r="AJ64" s="1383"/>
      <c r="AK64" s="1383"/>
      <c r="AL64" s="1383"/>
      <c r="AM64" s="1383"/>
      <c r="AN64" s="1383"/>
    </row>
    <row r="65" spans="1:40" s="1382" customFormat="1" ht="24">
      <c r="A65" s="1046" t="s">
        <v>1227</v>
      </c>
      <c r="B65" s="2421" t="str">
        <f>估价对象房地状况!C22</f>
        <v>基础设施水平七通一平</v>
      </c>
      <c r="C65" s="1029" t="s">
        <v>1074</v>
      </c>
      <c r="D65" s="2429">
        <f t="shared" si="15"/>
        <v>1.176E-2</v>
      </c>
      <c r="E65" s="2451"/>
      <c r="F65" s="2449"/>
      <c r="G65" s="2427">
        <v>5.8799999999999998E-3</v>
      </c>
      <c r="H65" s="2428" t="str">
        <f t="shared" si="19"/>
        <v>——</v>
      </c>
      <c r="I65" s="2447">
        <v>0.12</v>
      </c>
      <c r="J65" s="2450">
        <f t="shared" si="16"/>
        <v>1.176E-2</v>
      </c>
      <c r="K65" s="2450">
        <f t="shared" si="17"/>
        <v>5.8799999999999998E-3</v>
      </c>
      <c r="L65" s="2450">
        <v>0</v>
      </c>
      <c r="M65" s="2450">
        <f t="shared" si="18"/>
        <v>-5.8799999999999998E-3</v>
      </c>
      <c r="N65" s="2450">
        <f t="shared" si="18"/>
        <v>-1.176E-2</v>
      </c>
      <c r="P65" s="2176"/>
      <c r="Q65" s="2176"/>
      <c r="R65" s="2177"/>
      <c r="S65" s="2177"/>
      <c r="T65" s="2177"/>
      <c r="U65" s="2177"/>
      <c r="V65" s="2177"/>
      <c r="W65" s="2176"/>
      <c r="X65" s="2176"/>
      <c r="Y65" s="2176"/>
      <c r="Z65" s="2176"/>
      <c r="AA65" s="2176"/>
      <c r="AB65" s="2176"/>
      <c r="AC65" s="2176"/>
      <c r="AD65" s="2177"/>
      <c r="AE65" s="1383"/>
      <c r="AF65" s="1383"/>
      <c r="AG65" s="1383"/>
      <c r="AH65" s="1383"/>
      <c r="AI65" s="1383"/>
      <c r="AJ65" s="1383"/>
      <c r="AK65" s="1383"/>
      <c r="AL65" s="1383"/>
      <c r="AM65" s="1383"/>
      <c r="AN65" s="1383"/>
    </row>
    <row r="66" spans="1:40" s="1382" customFormat="1" ht="36.75" thickBot="1">
      <c r="A66" s="2453" t="s">
        <v>1228</v>
      </c>
      <c r="B66" s="2425" t="str">
        <f>估价对象房地状况!C20</f>
        <v>区域自然环境：白浮泉公园等；人文环境：无；综合评价环境状况一般</v>
      </c>
      <c r="C66" s="1029" t="s">
        <v>1074</v>
      </c>
      <c r="D66" s="2429">
        <f t="shared" si="15"/>
        <v>5.8799999999999998E-3</v>
      </c>
      <c r="E66" s="2455"/>
      <c r="F66" s="2449"/>
      <c r="G66" s="2427">
        <v>2.9399999999999999E-3</v>
      </c>
      <c r="H66" s="2428" t="str">
        <f t="shared" si="19"/>
        <v>——</v>
      </c>
      <c r="I66" s="2454">
        <v>0.06</v>
      </c>
      <c r="J66" s="2450">
        <f t="shared" si="16"/>
        <v>5.8799999999999998E-3</v>
      </c>
      <c r="K66" s="2450">
        <f t="shared" si="17"/>
        <v>2.9399999999999999E-3</v>
      </c>
      <c r="L66" s="2450">
        <v>0</v>
      </c>
      <c r="M66" s="2450">
        <f t="shared" si="18"/>
        <v>-2.9399999999999999E-3</v>
      </c>
      <c r="N66" s="2450">
        <f t="shared" si="18"/>
        <v>-5.8799999999999998E-3</v>
      </c>
      <c r="P66" s="2176"/>
      <c r="Q66" s="2176"/>
      <c r="R66" s="2177"/>
      <c r="S66" s="2177"/>
      <c r="T66" s="2177"/>
      <c r="U66" s="2177"/>
      <c r="V66" s="2177"/>
      <c r="W66" s="2176"/>
      <c r="X66" s="2176"/>
      <c r="Y66" s="2176"/>
      <c r="Z66" s="2176"/>
      <c r="AA66" s="2176"/>
      <c r="AB66" s="2176"/>
      <c r="AC66" s="2176"/>
      <c r="AD66" s="2177"/>
      <c r="AE66" s="1383"/>
      <c r="AF66" s="1383"/>
      <c r="AG66" s="1383"/>
      <c r="AH66" s="1383"/>
      <c r="AI66" s="1383"/>
      <c r="AJ66" s="1383"/>
      <c r="AK66" s="1383"/>
      <c r="AL66" s="1383"/>
      <c r="AM66" s="1383"/>
      <c r="AN66" s="1383"/>
    </row>
    <row r="67" spans="1:40" s="1382" customFormat="1" ht="15">
      <c r="A67" s="2436" t="s">
        <v>1231</v>
      </c>
      <c r="B67" s="2437">
        <f>1+E69</f>
        <v>1</v>
      </c>
      <c r="C67" s="2456"/>
      <c r="D67" s="2439"/>
      <c r="E67" s="2440"/>
      <c r="F67" s="2441"/>
      <c r="G67" s="2435"/>
      <c r="H67" s="2435"/>
      <c r="I67" s="2435"/>
      <c r="J67" s="1045"/>
      <c r="K67" s="1045"/>
      <c r="L67" s="1045"/>
      <c r="M67" s="1045"/>
      <c r="N67" s="1045"/>
      <c r="P67" s="2176"/>
      <c r="Q67" s="2176"/>
      <c r="R67" s="2177"/>
      <c r="S67" s="2177"/>
      <c r="T67" s="2177"/>
      <c r="U67" s="2177"/>
      <c r="V67" s="2177"/>
      <c r="W67" s="2176"/>
      <c r="X67" s="2176"/>
      <c r="Y67" s="2176"/>
      <c r="Z67" s="2176"/>
      <c r="AA67" s="2176"/>
      <c r="AB67" s="2176"/>
      <c r="AC67" s="2176"/>
      <c r="AD67" s="2177"/>
      <c r="AE67" s="1383"/>
      <c r="AF67" s="1383"/>
      <c r="AG67" s="1383"/>
      <c r="AH67" s="1383"/>
      <c r="AI67" s="1383"/>
      <c r="AJ67" s="1383"/>
      <c r="AK67" s="1383"/>
      <c r="AL67" s="1383"/>
      <c r="AM67" s="1383"/>
      <c r="AN67" s="1383"/>
    </row>
    <row r="68" spans="1:40" s="1382" customFormat="1" ht="24">
      <c r="A68" s="1046" t="s">
        <v>1206</v>
      </c>
      <c r="B68" s="2420"/>
      <c r="C68" s="2442" t="s">
        <v>1208</v>
      </c>
      <c r="D68" s="2443" t="s">
        <v>1209</v>
      </c>
      <c r="E68" s="2444" t="s">
        <v>1211</v>
      </c>
      <c r="F68" s="2445" t="s">
        <v>2480</v>
      </c>
      <c r="G68" s="2443" t="s">
        <v>1212</v>
      </c>
      <c r="H68" s="2426" t="s">
        <v>2673</v>
      </c>
      <c r="I68" s="2443" t="s">
        <v>1210</v>
      </c>
      <c r="J68" s="2446" t="s">
        <v>1213</v>
      </c>
      <c r="K68" s="2446" t="s">
        <v>1214</v>
      </c>
      <c r="L68" s="2446" t="s">
        <v>1215</v>
      </c>
      <c r="M68" s="2446" t="s">
        <v>1216</v>
      </c>
      <c r="N68" s="2446" t="s">
        <v>1217</v>
      </c>
      <c r="P68" s="2176"/>
      <c r="Q68" s="2176"/>
      <c r="R68" s="2177"/>
      <c r="S68" s="2177"/>
      <c r="T68" s="2177"/>
      <c r="U68" s="2177"/>
      <c r="V68" s="2177"/>
      <c r="W68" s="2176"/>
      <c r="X68" s="2176"/>
      <c r="Y68" s="2176"/>
      <c r="Z68" s="2176"/>
      <c r="AA68" s="2176"/>
      <c r="AB68" s="2176"/>
      <c r="AC68" s="2176"/>
      <c r="AD68" s="2177"/>
      <c r="AE68" s="1383"/>
      <c r="AF68" s="1383"/>
      <c r="AG68" s="1383"/>
      <c r="AH68" s="1383"/>
      <c r="AI68" s="1383"/>
      <c r="AJ68" s="1383"/>
      <c r="AK68" s="1383"/>
      <c r="AL68" s="1383"/>
      <c r="AM68" s="1383"/>
      <c r="AN68" s="1383"/>
    </row>
    <row r="69" spans="1:40" s="1382" customFormat="1" ht="72">
      <c r="A69" s="1046" t="s">
        <v>1232</v>
      </c>
      <c r="B69" s="2423" t="str">
        <f>估价对象房地状况!C15</f>
        <v>估价对象周边居住用地比例合宜，周边有路劲世界城和北京风景等住宅小区、居住规模较大，社区发展完善程度较好，综合评价居住社区成熟度较好</v>
      </c>
      <c r="C69" s="1138" t="s">
        <v>1846</v>
      </c>
      <c r="D69" s="2429">
        <f t="shared" ref="D69:D77" si="20">SUMIF($J$68:$N$68,C69,J69:N69)</f>
        <v>0</v>
      </c>
      <c r="E69" s="2448">
        <f>ROUND(SUM(D69:D77),4)</f>
        <v>0</v>
      </c>
      <c r="F69" s="2449">
        <f>IF(E2="住宅",SUMIF(L1:L12,G2,N1:N12),"——")</f>
        <v>0.15</v>
      </c>
      <c r="G69" s="2430"/>
      <c r="H69" s="2474">
        <f t="shared" ref="H69:H77" si="21">IFERROR(ROUNDDOWN($F$69*I69/2,4),"——")</f>
        <v>1.0500000000000001E-2</v>
      </c>
      <c r="I69" s="2447">
        <v>0.14000000000000001</v>
      </c>
      <c r="J69" s="2450">
        <f t="shared" ref="J69:J77" si="22">K69+$G69</f>
        <v>0</v>
      </c>
      <c r="K69" s="2450">
        <f t="shared" ref="K69:K77" si="23">$L69+$G69</f>
        <v>0</v>
      </c>
      <c r="L69" s="2450">
        <v>0</v>
      </c>
      <c r="M69" s="2450">
        <f t="shared" ref="M69:N77" si="24">L69-$G69</f>
        <v>0</v>
      </c>
      <c r="N69" s="2450">
        <f t="shared" si="24"/>
        <v>0</v>
      </c>
      <c r="P69" s="2176"/>
      <c r="Q69" s="2176"/>
      <c r="R69" s="2177"/>
      <c r="S69" s="2177"/>
      <c r="T69" s="2177"/>
      <c r="U69" s="2177"/>
      <c r="V69" s="2177"/>
      <c r="W69" s="2176"/>
      <c r="X69" s="2176"/>
      <c r="Y69" s="2176"/>
      <c r="Z69" s="2176"/>
      <c r="AA69" s="2176"/>
      <c r="AB69" s="2176"/>
      <c r="AC69" s="2176"/>
      <c r="AD69" s="2177"/>
      <c r="AE69" s="1383"/>
      <c r="AF69" s="1383"/>
      <c r="AG69" s="1383"/>
      <c r="AH69" s="1383"/>
      <c r="AI69" s="1383"/>
      <c r="AJ69" s="1383"/>
      <c r="AK69" s="1383"/>
      <c r="AL69" s="1383"/>
      <c r="AM69" s="1383"/>
      <c r="AN69" s="1383"/>
    </row>
    <row r="70" spans="1:40" s="1382" customFormat="1" ht="72">
      <c r="A70" s="1046" t="s">
        <v>1234</v>
      </c>
      <c r="B70" s="2420" t="str">
        <f>估价对象房地状况!C18</f>
        <v>估价对象周边有326、643等公交线路、紧邻昌平线，公共交通通达情况；项目自身有停车位、停车便捷程度较好，综合评价交通便捷度较好</v>
      </c>
      <c r="C70" s="1138" t="s">
        <v>1074</v>
      </c>
      <c r="D70" s="2429">
        <f t="shared" si="20"/>
        <v>0</v>
      </c>
      <c r="E70" s="2457"/>
      <c r="F70" s="2458"/>
      <c r="G70" s="2430"/>
      <c r="H70" s="2474">
        <f t="shared" si="21"/>
        <v>2.2499999999999999E-2</v>
      </c>
      <c r="I70" s="2447">
        <v>0.3</v>
      </c>
      <c r="J70" s="2450">
        <f t="shared" si="22"/>
        <v>0</v>
      </c>
      <c r="K70" s="2450">
        <f t="shared" si="23"/>
        <v>0</v>
      </c>
      <c r="L70" s="2450">
        <v>0</v>
      </c>
      <c r="M70" s="2450">
        <f t="shared" si="24"/>
        <v>0</v>
      </c>
      <c r="N70" s="2450">
        <f t="shared" si="24"/>
        <v>0</v>
      </c>
      <c r="P70" s="2176"/>
      <c r="Q70" s="2176"/>
      <c r="R70" s="2177"/>
      <c r="S70" s="2177"/>
      <c r="T70" s="2177"/>
      <c r="U70" s="2177"/>
      <c r="V70" s="2177"/>
      <c r="W70" s="2176"/>
      <c r="X70" s="2176"/>
      <c r="Y70" s="2176"/>
      <c r="Z70" s="2176"/>
      <c r="AA70" s="2176"/>
      <c r="AB70" s="2176"/>
      <c r="AC70" s="2176"/>
      <c r="AD70" s="2177"/>
      <c r="AE70" s="1383"/>
      <c r="AF70" s="1383"/>
      <c r="AG70" s="1383"/>
      <c r="AH70" s="1383"/>
      <c r="AI70" s="1383"/>
      <c r="AJ70" s="1383"/>
      <c r="AK70" s="1383"/>
      <c r="AL70" s="1383"/>
      <c r="AM70" s="1383"/>
      <c r="AN70" s="1383"/>
    </row>
    <row r="71" spans="1:40" s="1382" customFormat="1" ht="24">
      <c r="A71" s="1046" t="s">
        <v>1220</v>
      </c>
      <c r="B71" s="2420" t="str">
        <f>估价对象房地状况!C19</f>
        <v>零星有其他用地，基本不影响本宗地</v>
      </c>
      <c r="C71" s="1138" t="s">
        <v>1846</v>
      </c>
      <c r="D71" s="2429">
        <f t="shared" si="20"/>
        <v>0</v>
      </c>
      <c r="E71" s="2457"/>
      <c r="F71" s="2458"/>
      <c r="G71" s="2430"/>
      <c r="H71" s="2474">
        <f t="shared" si="21"/>
        <v>6.0000000000000001E-3</v>
      </c>
      <c r="I71" s="2447">
        <v>0.08</v>
      </c>
      <c r="J71" s="2450">
        <f t="shared" si="22"/>
        <v>0</v>
      </c>
      <c r="K71" s="2450">
        <f t="shared" si="23"/>
        <v>0</v>
      </c>
      <c r="L71" s="2450">
        <v>0</v>
      </c>
      <c r="M71" s="2450">
        <f t="shared" si="24"/>
        <v>0</v>
      </c>
      <c r="N71" s="2450">
        <f t="shared" si="24"/>
        <v>0</v>
      </c>
      <c r="P71" s="2176"/>
      <c r="Q71" s="2176"/>
      <c r="R71" s="2177"/>
      <c r="S71" s="2177"/>
      <c r="T71" s="2177"/>
      <c r="U71" s="2177"/>
      <c r="V71" s="2177"/>
      <c r="W71" s="2176"/>
      <c r="X71" s="2176"/>
      <c r="Y71" s="2176"/>
      <c r="Z71" s="2176"/>
      <c r="AA71" s="2176"/>
      <c r="AB71" s="2176"/>
      <c r="AC71" s="2176"/>
      <c r="AD71" s="2177"/>
      <c r="AE71" s="1383"/>
      <c r="AF71" s="1383"/>
      <c r="AG71" s="1383"/>
      <c r="AH71" s="1383"/>
      <c r="AI71" s="1383"/>
      <c r="AJ71" s="1383"/>
      <c r="AK71" s="1383"/>
      <c r="AL71" s="1383"/>
      <c r="AM71" s="1383"/>
      <c r="AN71" s="1383"/>
    </row>
    <row r="72" spans="1:40" s="1382" customFormat="1" ht="14.25">
      <c r="A72" s="1046" t="s">
        <v>1235</v>
      </c>
      <c r="B72" s="2420" t="str">
        <f>估价对象房地状况!C24</f>
        <v>城市支路——南中路</v>
      </c>
      <c r="C72" s="1138" t="s">
        <v>1074</v>
      </c>
      <c r="D72" s="2429">
        <f t="shared" si="20"/>
        <v>0</v>
      </c>
      <c r="E72" s="2457"/>
      <c r="F72" s="2458"/>
      <c r="G72" s="2430"/>
      <c r="H72" s="2474">
        <f t="shared" si="21"/>
        <v>3.0000000000000001E-3</v>
      </c>
      <c r="I72" s="2447">
        <v>0.04</v>
      </c>
      <c r="J72" s="2450">
        <f t="shared" si="22"/>
        <v>0</v>
      </c>
      <c r="K72" s="2450">
        <f t="shared" si="23"/>
        <v>0</v>
      </c>
      <c r="L72" s="2450">
        <v>0</v>
      </c>
      <c r="M72" s="2450">
        <f t="shared" si="24"/>
        <v>0</v>
      </c>
      <c r="N72" s="2450">
        <f t="shared" si="24"/>
        <v>0</v>
      </c>
      <c r="P72" s="2176"/>
      <c r="Q72" s="2176"/>
      <c r="R72" s="2177"/>
      <c r="S72" s="2177"/>
      <c r="T72" s="2177"/>
      <c r="U72" s="2177"/>
      <c r="V72" s="2177"/>
      <c r="W72" s="2176"/>
      <c r="X72" s="2176"/>
      <c r="Y72" s="2176"/>
      <c r="Z72" s="2176"/>
      <c r="AA72" s="2176"/>
      <c r="AB72" s="2176"/>
      <c r="AC72" s="2176"/>
      <c r="AD72" s="2177"/>
      <c r="AE72" s="1383"/>
      <c r="AF72" s="1383"/>
      <c r="AG72" s="1383"/>
      <c r="AH72" s="1383"/>
      <c r="AI72" s="1383"/>
      <c r="AJ72" s="1383"/>
      <c r="AK72" s="1383"/>
      <c r="AL72" s="1383"/>
      <c r="AM72" s="1383"/>
      <c r="AN72" s="1383"/>
    </row>
    <row r="73" spans="1:40" s="1382" customFormat="1" ht="24">
      <c r="A73" s="1046" t="s">
        <v>1226</v>
      </c>
      <c r="B73" s="2421" t="str">
        <f>估价对象房地状况!C21</f>
        <v>估价对象所在区域公共配套设施较齐备；</v>
      </c>
      <c r="C73" s="1138" t="s">
        <v>1075</v>
      </c>
      <c r="D73" s="2429">
        <f t="shared" si="20"/>
        <v>0</v>
      </c>
      <c r="E73" s="2457"/>
      <c r="F73" s="2458"/>
      <c r="G73" s="2430"/>
      <c r="H73" s="2474">
        <f t="shared" si="21"/>
        <v>6.0000000000000001E-3</v>
      </c>
      <c r="I73" s="2447">
        <v>0.08</v>
      </c>
      <c r="J73" s="2450">
        <f t="shared" si="22"/>
        <v>0</v>
      </c>
      <c r="K73" s="2450">
        <f t="shared" si="23"/>
        <v>0</v>
      </c>
      <c r="L73" s="2450">
        <v>0</v>
      </c>
      <c r="M73" s="2450">
        <f t="shared" si="24"/>
        <v>0</v>
      </c>
      <c r="N73" s="2450">
        <f t="shared" si="24"/>
        <v>0</v>
      </c>
      <c r="P73" s="2176"/>
      <c r="Q73" s="2176"/>
      <c r="R73" s="2177"/>
      <c r="S73" s="2177"/>
      <c r="T73" s="2177"/>
      <c r="U73" s="2177"/>
      <c r="V73" s="2177"/>
      <c r="W73" s="2176"/>
      <c r="X73" s="2176"/>
      <c r="Y73" s="2176"/>
      <c r="Z73" s="2176"/>
      <c r="AA73" s="2176"/>
      <c r="AB73" s="2176"/>
      <c r="AC73" s="2176"/>
      <c r="AD73" s="2177"/>
      <c r="AE73" s="1383"/>
      <c r="AF73" s="1383"/>
      <c r="AG73" s="1383"/>
      <c r="AH73" s="1383"/>
      <c r="AI73" s="1383"/>
      <c r="AJ73" s="1383"/>
      <c r="AK73" s="1383"/>
      <c r="AL73" s="1383"/>
      <c r="AM73" s="1383"/>
      <c r="AN73" s="1383"/>
    </row>
    <row r="74" spans="1:40" s="1382" customFormat="1" ht="24">
      <c r="A74" s="1046" t="s">
        <v>1227</v>
      </c>
      <c r="B74" s="2421" t="str">
        <f>估价对象房地状况!C22</f>
        <v>基础设施水平七通一平</v>
      </c>
      <c r="C74" s="1138" t="s">
        <v>1074</v>
      </c>
      <c r="D74" s="2429">
        <f t="shared" si="20"/>
        <v>0</v>
      </c>
      <c r="E74" s="2457"/>
      <c r="F74" s="2458"/>
      <c r="G74" s="2430"/>
      <c r="H74" s="2474">
        <f t="shared" si="21"/>
        <v>8.9999999999999993E-3</v>
      </c>
      <c r="I74" s="2447">
        <v>0.12</v>
      </c>
      <c r="J74" s="2450">
        <f t="shared" si="22"/>
        <v>0</v>
      </c>
      <c r="K74" s="2450">
        <f t="shared" si="23"/>
        <v>0</v>
      </c>
      <c r="L74" s="2450">
        <v>0</v>
      </c>
      <c r="M74" s="2450">
        <f t="shared" si="24"/>
        <v>0</v>
      </c>
      <c r="N74" s="2450">
        <f t="shared" si="24"/>
        <v>0</v>
      </c>
      <c r="P74" s="2176"/>
      <c r="Q74" s="2176"/>
      <c r="R74" s="2177"/>
      <c r="S74" s="2177"/>
      <c r="T74" s="2177"/>
      <c r="U74" s="2177"/>
      <c r="V74" s="2177"/>
      <c r="W74" s="2176"/>
      <c r="X74" s="2176"/>
      <c r="Y74" s="2176"/>
      <c r="Z74" s="2176"/>
      <c r="AA74" s="2176"/>
      <c r="AB74" s="2176"/>
      <c r="AC74" s="2176"/>
      <c r="AD74" s="2177"/>
      <c r="AE74" s="1383"/>
      <c r="AF74" s="1383"/>
      <c r="AG74" s="1383"/>
      <c r="AH74" s="1383"/>
      <c r="AI74" s="1383"/>
      <c r="AJ74" s="1383"/>
      <c r="AK74" s="1383"/>
      <c r="AL74" s="1383"/>
      <c r="AM74" s="1383"/>
      <c r="AN74" s="1383"/>
    </row>
    <row r="75" spans="1:40" s="1382" customFormat="1" ht="24">
      <c r="A75" s="1046" t="s">
        <v>1224</v>
      </c>
      <c r="B75" s="1824" t="s">
        <v>1225</v>
      </c>
      <c r="C75" s="1138" t="s">
        <v>1072</v>
      </c>
      <c r="D75" s="2429">
        <f t="shared" si="20"/>
        <v>0</v>
      </c>
      <c r="E75" s="2457"/>
      <c r="F75" s="2458"/>
      <c r="G75" s="2430"/>
      <c r="H75" s="2474">
        <f t="shared" si="21"/>
        <v>3.7000000000000002E-3</v>
      </c>
      <c r="I75" s="2447">
        <v>0.05</v>
      </c>
      <c r="J75" s="2450">
        <f t="shared" si="22"/>
        <v>0</v>
      </c>
      <c r="K75" s="2450">
        <f t="shared" si="23"/>
        <v>0</v>
      </c>
      <c r="L75" s="2450">
        <v>0</v>
      </c>
      <c r="M75" s="2450">
        <f t="shared" si="24"/>
        <v>0</v>
      </c>
      <c r="N75" s="2450">
        <f t="shared" si="24"/>
        <v>0</v>
      </c>
      <c r="P75" s="2176"/>
      <c r="Q75" s="2176"/>
      <c r="R75" s="2177"/>
      <c r="S75" s="2177"/>
      <c r="T75" s="2177"/>
      <c r="U75" s="2177"/>
      <c r="V75" s="2177"/>
      <c r="W75" s="2176"/>
      <c r="X75" s="2176"/>
      <c r="Y75" s="2176"/>
      <c r="Z75" s="2176"/>
      <c r="AA75" s="2176"/>
      <c r="AB75" s="2176"/>
      <c r="AC75" s="2176"/>
      <c r="AD75" s="2177"/>
      <c r="AE75" s="1383"/>
      <c r="AF75" s="1383"/>
      <c r="AG75" s="1383"/>
      <c r="AH75" s="1383"/>
      <c r="AI75" s="1383"/>
      <c r="AJ75" s="1383"/>
      <c r="AK75" s="1383"/>
      <c r="AL75" s="1383"/>
      <c r="AM75" s="1383"/>
      <c r="AN75" s="1383"/>
    </row>
    <row r="76" spans="1:40" ht="36">
      <c r="A76" s="1046" t="s">
        <v>1228</v>
      </c>
      <c r="B76" s="2423" t="str">
        <f>估价对象房地状况!C20</f>
        <v>区域自然环境：白浮泉公园等；人文环境：无；综合评价环境状况一般</v>
      </c>
      <c r="C76" s="1138" t="s">
        <v>2588</v>
      </c>
      <c r="D76" s="2429">
        <f t="shared" si="20"/>
        <v>0</v>
      </c>
      <c r="E76" s="2457"/>
      <c r="F76" s="2458"/>
      <c r="G76" s="2430"/>
      <c r="H76" s="2474">
        <f t="shared" si="21"/>
        <v>1.12E-2</v>
      </c>
      <c r="I76" s="2447">
        <v>0.15</v>
      </c>
      <c r="J76" s="2450">
        <f t="shared" si="22"/>
        <v>0</v>
      </c>
      <c r="K76" s="2450">
        <f t="shared" si="23"/>
        <v>0</v>
      </c>
      <c r="L76" s="2450">
        <v>0</v>
      </c>
      <c r="M76" s="2450">
        <f t="shared" si="24"/>
        <v>0</v>
      </c>
      <c r="N76" s="2450">
        <f t="shared" si="24"/>
        <v>0</v>
      </c>
      <c r="P76" s="2179"/>
      <c r="Q76" s="2179"/>
      <c r="R76" s="2180"/>
      <c r="S76" s="2180"/>
      <c r="T76" s="2180"/>
      <c r="U76" s="2180"/>
      <c r="V76" s="2180"/>
      <c r="W76" s="2179"/>
      <c r="X76" s="2179"/>
      <c r="Y76" s="2179"/>
      <c r="Z76" s="2179"/>
      <c r="AA76" s="2179"/>
      <c r="AB76" s="2179"/>
      <c r="AC76" s="2179"/>
      <c r="AD76" s="2180"/>
      <c r="AJ76" s="1383"/>
      <c r="AN76" s="1384"/>
    </row>
    <row r="77" spans="1:40" ht="24.75" thickBot="1">
      <c r="A77" s="2453" t="s">
        <v>1236</v>
      </c>
      <c r="B77" s="1825" t="s">
        <v>1237</v>
      </c>
      <c r="C77" s="1138" t="s">
        <v>1073</v>
      </c>
      <c r="D77" s="2429">
        <f t="shared" si="20"/>
        <v>0</v>
      </c>
      <c r="E77" s="2459"/>
      <c r="F77" s="2458"/>
      <c r="G77" s="2430"/>
      <c r="H77" s="2474">
        <f t="shared" si="21"/>
        <v>3.0000000000000001E-3</v>
      </c>
      <c r="I77" s="2454">
        <v>0.04</v>
      </c>
      <c r="J77" s="2450">
        <f t="shared" si="22"/>
        <v>0</v>
      </c>
      <c r="K77" s="2450">
        <f t="shared" si="23"/>
        <v>0</v>
      </c>
      <c r="L77" s="2450">
        <v>0</v>
      </c>
      <c r="M77" s="2450">
        <f t="shared" si="24"/>
        <v>0</v>
      </c>
      <c r="N77" s="2450">
        <f t="shared" si="24"/>
        <v>0</v>
      </c>
      <c r="AC77" s="1385"/>
      <c r="AD77" s="1384"/>
      <c r="AJ77" s="1383"/>
      <c r="AN77" s="1384"/>
    </row>
    <row r="78" spans="1:40" ht="15">
      <c r="A78" s="2436" t="s">
        <v>1238</v>
      </c>
      <c r="B78" s="2437">
        <f>1+E80</f>
        <v>1</v>
      </c>
      <c r="C78" s="2456"/>
      <c r="D78" s="2439"/>
      <c r="E78" s="2440"/>
      <c r="F78" s="2441"/>
      <c r="G78" s="2435"/>
      <c r="H78" s="2435"/>
      <c r="I78" s="2435"/>
      <c r="J78" s="1045"/>
      <c r="K78" s="1045"/>
      <c r="L78" s="1045"/>
      <c r="M78" s="1045"/>
      <c r="N78" s="1045"/>
      <c r="AC78" s="1385"/>
      <c r="AD78" s="1384"/>
      <c r="AJ78" s="1383"/>
      <c r="AN78" s="1384"/>
    </row>
    <row r="79" spans="1:40" ht="24">
      <c r="A79" s="1046" t="s">
        <v>1206</v>
      </c>
      <c r="B79" s="2420"/>
      <c r="C79" s="2442" t="s">
        <v>1208</v>
      </c>
      <c r="D79" s="2443" t="s">
        <v>1209</v>
      </c>
      <c r="E79" s="2444" t="s">
        <v>1211</v>
      </c>
      <c r="F79" s="2445" t="s">
        <v>2481</v>
      </c>
      <c r="G79" s="2443" t="s">
        <v>1212</v>
      </c>
      <c r="H79" s="2426" t="s">
        <v>2673</v>
      </c>
      <c r="I79" s="2443" t="s">
        <v>1210</v>
      </c>
      <c r="J79" s="2446" t="s">
        <v>1213</v>
      </c>
      <c r="K79" s="2446" t="s">
        <v>1214</v>
      </c>
      <c r="L79" s="2446" t="s">
        <v>1215</v>
      </c>
      <c r="M79" s="2446" t="s">
        <v>1216</v>
      </c>
      <c r="N79" s="2446" t="s">
        <v>1217</v>
      </c>
      <c r="AC79" s="1385"/>
      <c r="AD79" s="1384"/>
      <c r="AJ79" s="1383"/>
      <c r="AN79" s="1384"/>
    </row>
    <row r="80" spans="1:40" ht="36">
      <c r="A80" s="1046" t="s">
        <v>1239</v>
      </c>
      <c r="B80" s="2420" t="str">
        <f>估价对象房地状况!G15</f>
        <v>估价对象位于北京经济技术开发区，园区建设成熟，产业集聚程度较好</v>
      </c>
      <c r="C80" s="1029" t="s">
        <v>1233</v>
      </c>
      <c r="D80" s="2429">
        <f t="shared" ref="D80:D87" si="25">SUMIF($J$79:$N$79,C80,J80:N80)</f>
        <v>0</v>
      </c>
      <c r="E80" s="2448">
        <f>ROUND(SUM(D80:D87),4)</f>
        <v>0</v>
      </c>
      <c r="F80" s="2449" t="str">
        <f>IF(E2="工业",SUMIF(L1:L12,G2,N1:N12),"——")</f>
        <v>——</v>
      </c>
      <c r="G80" s="2427"/>
      <c r="H80" s="2473" t="str">
        <f t="shared" ref="H80:H87" si="26">IFERROR(ROUNDDOWN($F$80*I80/2,4),"——")</f>
        <v>——</v>
      </c>
      <c r="I80" s="2447">
        <v>0.26</v>
      </c>
      <c r="J80" s="2450">
        <f t="shared" ref="J80:J87" si="27">K80+$G80</f>
        <v>0</v>
      </c>
      <c r="K80" s="2450">
        <f t="shared" ref="K80:K87" si="28">$L80+$G80</f>
        <v>0</v>
      </c>
      <c r="L80" s="2450">
        <v>0</v>
      </c>
      <c r="M80" s="2450">
        <f t="shared" ref="M80:N87" si="29">L80-$G80</f>
        <v>0</v>
      </c>
      <c r="N80" s="2450">
        <f t="shared" si="29"/>
        <v>0</v>
      </c>
      <c r="AC80" s="1385"/>
      <c r="AD80" s="1384"/>
      <c r="AJ80" s="1383"/>
      <c r="AN80" s="1384"/>
    </row>
    <row r="81" spans="1:40" ht="48">
      <c r="A81" s="1046" t="s">
        <v>1234</v>
      </c>
      <c r="B81" s="2420" t="str">
        <f>估价对象房地状况!G16</f>
        <v>估价对象周边道路状况、公共交通通达情况、停车便捷程度，综合评价交通便捷度较好</v>
      </c>
      <c r="C81" s="1029" t="s">
        <v>1072</v>
      </c>
      <c r="D81" s="2429">
        <f t="shared" si="25"/>
        <v>0</v>
      </c>
      <c r="E81" s="2457"/>
      <c r="F81" s="2458"/>
      <c r="G81" s="2427"/>
      <c r="H81" s="2473" t="str">
        <f t="shared" si="26"/>
        <v>——</v>
      </c>
      <c r="I81" s="2447">
        <v>0.33</v>
      </c>
      <c r="J81" s="2450">
        <f t="shared" si="27"/>
        <v>0</v>
      </c>
      <c r="K81" s="2450">
        <f t="shared" si="28"/>
        <v>0</v>
      </c>
      <c r="L81" s="2450">
        <v>0</v>
      </c>
      <c r="M81" s="2450">
        <f t="shared" si="29"/>
        <v>0</v>
      </c>
      <c r="N81" s="2450">
        <f t="shared" si="29"/>
        <v>0</v>
      </c>
      <c r="AC81" s="1385"/>
      <c r="AD81" s="1384"/>
      <c r="AJ81" s="1383"/>
      <c r="AN81" s="1384"/>
    </row>
    <row r="82" spans="1:40" ht="24">
      <c r="A82" s="1046" t="s">
        <v>1220</v>
      </c>
      <c r="B82" s="2420" t="str">
        <f>估价对象房地状况!G17</f>
        <v>零星有其他用地，基本不影响本宗地</v>
      </c>
      <c r="C82" s="1029" t="s">
        <v>1074</v>
      </c>
      <c r="D82" s="2429">
        <f t="shared" si="25"/>
        <v>0</v>
      </c>
      <c r="E82" s="2457"/>
      <c r="F82" s="2458"/>
      <c r="G82" s="2427"/>
      <c r="H82" s="2473" t="str">
        <f t="shared" si="26"/>
        <v>——</v>
      </c>
      <c r="I82" s="2447">
        <v>0.05</v>
      </c>
      <c r="J82" s="2450">
        <f t="shared" si="27"/>
        <v>0</v>
      </c>
      <c r="K82" s="2450">
        <f t="shared" si="28"/>
        <v>0</v>
      </c>
      <c r="L82" s="2450">
        <v>0</v>
      </c>
      <c r="M82" s="2450">
        <f t="shared" si="29"/>
        <v>0</v>
      </c>
      <c r="N82" s="2450">
        <f t="shared" si="29"/>
        <v>0</v>
      </c>
      <c r="AC82" s="1385"/>
      <c r="AD82" s="1384"/>
      <c r="AJ82" s="1383"/>
      <c r="AN82" s="1384"/>
    </row>
    <row r="83" spans="1:40" ht="14.25">
      <c r="A83" s="1046" t="s">
        <v>1235</v>
      </c>
      <c r="B83" s="2420" t="str">
        <f>估价对象房地状况!G22</f>
        <v>城市支路——裕民中路</v>
      </c>
      <c r="C83" s="1029" t="s">
        <v>1073</v>
      </c>
      <c r="D83" s="2429">
        <f t="shared" si="25"/>
        <v>0</v>
      </c>
      <c r="E83" s="2457"/>
      <c r="F83" s="2458"/>
      <c r="G83" s="2427"/>
      <c r="H83" s="2473" t="str">
        <f t="shared" si="26"/>
        <v>——</v>
      </c>
      <c r="I83" s="2447">
        <v>0.04</v>
      </c>
      <c r="J83" s="2450">
        <f t="shared" si="27"/>
        <v>0</v>
      </c>
      <c r="K83" s="2450">
        <f t="shared" si="28"/>
        <v>0</v>
      </c>
      <c r="L83" s="2450">
        <v>0</v>
      </c>
      <c r="M83" s="2450">
        <f t="shared" si="29"/>
        <v>0</v>
      </c>
      <c r="N83" s="2450">
        <f t="shared" si="29"/>
        <v>0</v>
      </c>
      <c r="AC83" s="1385"/>
      <c r="AD83" s="1384"/>
      <c r="AJ83" s="1383"/>
      <c r="AN83" s="1384"/>
    </row>
    <row r="84" spans="1:40" ht="24">
      <c r="A84" s="1046" t="s">
        <v>1226</v>
      </c>
      <c r="B84" s="2421" t="str">
        <f>估价对象房地状况!G19</f>
        <v>估价对象所在区域公共配套设施齐备情况</v>
      </c>
      <c r="C84" s="1029" t="s">
        <v>1075</v>
      </c>
      <c r="D84" s="2429">
        <f t="shared" si="25"/>
        <v>0</v>
      </c>
      <c r="E84" s="2457"/>
      <c r="F84" s="2458"/>
      <c r="G84" s="2427"/>
      <c r="H84" s="2473" t="str">
        <f t="shared" si="26"/>
        <v>——</v>
      </c>
      <c r="I84" s="2447">
        <v>0.06</v>
      </c>
      <c r="J84" s="2450">
        <f t="shared" si="27"/>
        <v>0</v>
      </c>
      <c r="K84" s="2450">
        <f t="shared" si="28"/>
        <v>0</v>
      </c>
      <c r="L84" s="2450">
        <v>0</v>
      </c>
      <c r="M84" s="2450">
        <f t="shared" si="29"/>
        <v>0</v>
      </c>
      <c r="N84" s="2450">
        <f t="shared" si="29"/>
        <v>0</v>
      </c>
      <c r="AC84" s="1385"/>
      <c r="AD84" s="1384"/>
      <c r="AJ84" s="1383"/>
      <c r="AN84" s="1384"/>
    </row>
    <row r="85" spans="1:40" ht="24">
      <c r="A85" s="1046" t="s">
        <v>1227</v>
      </c>
      <c r="B85" s="2421" t="str">
        <f>估价对象房地状况!G20</f>
        <v>估价对象所在区域基础设施水平</v>
      </c>
      <c r="C85" s="1029" t="s">
        <v>2588</v>
      </c>
      <c r="D85" s="2429">
        <f t="shared" si="25"/>
        <v>0</v>
      </c>
      <c r="E85" s="2457"/>
      <c r="F85" s="2458"/>
      <c r="G85" s="2427"/>
      <c r="H85" s="2473" t="str">
        <f t="shared" si="26"/>
        <v>——</v>
      </c>
      <c r="I85" s="2447">
        <v>0.15</v>
      </c>
      <c r="J85" s="2450">
        <f t="shared" si="27"/>
        <v>0</v>
      </c>
      <c r="K85" s="2450">
        <f t="shared" si="28"/>
        <v>0</v>
      </c>
      <c r="L85" s="2450">
        <v>0</v>
      </c>
      <c r="M85" s="2450">
        <f t="shared" si="29"/>
        <v>0</v>
      </c>
      <c r="N85" s="2450">
        <f t="shared" si="29"/>
        <v>0</v>
      </c>
      <c r="AC85" s="1385"/>
      <c r="AD85" s="1384"/>
      <c r="AJ85" s="1383"/>
      <c r="AN85" s="1384"/>
    </row>
    <row r="86" spans="1:40" ht="24">
      <c r="A86" s="1046" t="s">
        <v>1224</v>
      </c>
      <c r="B86" s="1824" t="s">
        <v>1225</v>
      </c>
      <c r="C86" s="1029" t="s">
        <v>1075</v>
      </c>
      <c r="D86" s="2429">
        <f t="shared" si="25"/>
        <v>0</v>
      </c>
      <c r="E86" s="2457"/>
      <c r="F86" s="2458"/>
      <c r="G86" s="2427"/>
      <c r="H86" s="2473" t="str">
        <f t="shared" si="26"/>
        <v>——</v>
      </c>
      <c r="I86" s="2447">
        <v>0.05</v>
      </c>
      <c r="J86" s="2450">
        <f t="shared" si="27"/>
        <v>0</v>
      </c>
      <c r="K86" s="2450">
        <f t="shared" si="28"/>
        <v>0</v>
      </c>
      <c r="L86" s="2450">
        <v>0</v>
      </c>
      <c r="M86" s="2450">
        <f t="shared" si="29"/>
        <v>0</v>
      </c>
      <c r="N86" s="2450">
        <f t="shared" si="29"/>
        <v>0</v>
      </c>
      <c r="AC86" s="1385"/>
      <c r="AD86" s="1384"/>
      <c r="AJ86" s="1383"/>
      <c r="AN86" s="1384"/>
    </row>
    <row r="87" spans="1:40" ht="36.75" thickBot="1">
      <c r="A87" s="2453" t="s">
        <v>1240</v>
      </c>
      <c r="B87" s="2422" t="str">
        <f>估价对象房地状况!G18</f>
        <v>该园区内无污染型企业，绿化较好，卫生条件良好，整体环境状况较好</v>
      </c>
      <c r="C87" s="1029" t="s">
        <v>1074</v>
      </c>
      <c r="D87" s="2429">
        <f t="shared" si="25"/>
        <v>0</v>
      </c>
      <c r="E87" s="2459"/>
      <c r="F87" s="2458"/>
      <c r="G87" s="2427"/>
      <c r="H87" s="2473" t="str">
        <f t="shared" si="26"/>
        <v>——</v>
      </c>
      <c r="I87" s="2454">
        <v>0.06</v>
      </c>
      <c r="J87" s="2450">
        <f t="shared" si="27"/>
        <v>0</v>
      </c>
      <c r="K87" s="2450">
        <f t="shared" si="28"/>
        <v>0</v>
      </c>
      <c r="L87" s="2450">
        <v>0</v>
      </c>
      <c r="M87" s="2450">
        <f t="shared" si="29"/>
        <v>0</v>
      </c>
      <c r="N87" s="2450">
        <f t="shared" si="29"/>
        <v>0</v>
      </c>
      <c r="AC87" s="1385"/>
      <c r="AD87" s="1384"/>
      <c r="AJ87" s="1383"/>
      <c r="AN87" s="1384"/>
    </row>
    <row r="90" spans="1:40">
      <c r="A90" s="3466" t="s">
        <v>1835</v>
      </c>
      <c r="B90" s="3466"/>
      <c r="C90" s="3466"/>
      <c r="D90" s="3466"/>
      <c r="E90" s="3466"/>
      <c r="F90" s="3466"/>
      <c r="G90" s="3466"/>
      <c r="H90" s="3466"/>
      <c r="I90" s="3466"/>
      <c r="J90" s="3466"/>
      <c r="K90" s="2462"/>
      <c r="L90" s="2462"/>
      <c r="M90" s="2462"/>
      <c r="N90" s="2462"/>
    </row>
    <row r="91" spans="1:40">
      <c r="A91" s="3467" t="s">
        <v>1645</v>
      </c>
      <c r="B91" s="3467" t="s">
        <v>1836</v>
      </c>
      <c r="C91" s="1119" t="s">
        <v>1837</v>
      </c>
      <c r="D91" s="1120"/>
      <c r="E91" s="1120"/>
      <c r="F91" s="1120"/>
      <c r="G91" s="1120"/>
      <c r="H91" s="1120"/>
      <c r="I91" s="1120"/>
      <c r="J91" s="1121"/>
      <c r="K91" s="1113"/>
      <c r="L91" s="1113"/>
      <c r="M91" s="1113"/>
      <c r="N91" s="1113"/>
    </row>
    <row r="92" spans="1:40">
      <c r="A92" s="3467"/>
      <c r="B92" s="3467"/>
      <c r="C92" s="2461" t="s">
        <v>1101</v>
      </c>
      <c r="D92" s="2461" t="s">
        <v>1079</v>
      </c>
      <c r="E92" s="2461" t="s">
        <v>1080</v>
      </c>
      <c r="F92" s="2461" t="s">
        <v>1104</v>
      </c>
      <c r="G92" s="2461" t="s">
        <v>1082</v>
      </c>
      <c r="H92" s="2461" t="s">
        <v>1083</v>
      </c>
      <c r="I92" s="2461" t="s">
        <v>1084</v>
      </c>
      <c r="J92" s="2461" t="s">
        <v>1085</v>
      </c>
      <c r="K92" s="2461" t="s">
        <v>1109</v>
      </c>
      <c r="L92" s="2461" t="s">
        <v>1087</v>
      </c>
      <c r="M92" s="2461" t="s">
        <v>1088</v>
      </c>
      <c r="N92" s="2461" t="s">
        <v>1112</v>
      </c>
    </row>
    <row r="93" spans="1:40">
      <c r="A93" s="3456" t="s">
        <v>3048</v>
      </c>
      <c r="B93" s="1122">
        <v>1</v>
      </c>
      <c r="C93" s="1123">
        <v>1.9361999999999999</v>
      </c>
      <c r="D93" s="1123">
        <v>1.9361999999999999</v>
      </c>
      <c r="E93" s="1123">
        <v>1.8629</v>
      </c>
      <c r="F93" s="1123">
        <v>1.8629</v>
      </c>
      <c r="G93" s="1123">
        <v>1.8629</v>
      </c>
      <c r="H93" s="1123">
        <v>1.8629</v>
      </c>
      <c r="I93" s="1123">
        <v>1.8629</v>
      </c>
      <c r="J93" s="1123">
        <v>1.9419999999999999</v>
      </c>
      <c r="K93" s="1123">
        <v>1.9419999999999999</v>
      </c>
      <c r="L93" s="1123">
        <v>1.9419999999999999</v>
      </c>
      <c r="M93" s="1123">
        <v>1.9419999999999999</v>
      </c>
      <c r="N93" s="1123">
        <v>1.9419999999999999</v>
      </c>
    </row>
    <row r="94" spans="1:40">
      <c r="A94" s="3457"/>
      <c r="B94" s="1122">
        <v>2</v>
      </c>
      <c r="C94" s="1123">
        <v>1.4198</v>
      </c>
      <c r="D94" s="1123">
        <v>1.4198</v>
      </c>
      <c r="E94" s="1123">
        <v>1.3371999999999999</v>
      </c>
      <c r="F94" s="1123">
        <v>1.3371999999999999</v>
      </c>
      <c r="G94" s="1123">
        <v>1.3371999999999999</v>
      </c>
      <c r="H94" s="1123">
        <v>1.3371999999999999</v>
      </c>
      <c r="I94" s="1123">
        <v>1.3371999999999999</v>
      </c>
      <c r="J94" s="1123">
        <v>1.2799</v>
      </c>
      <c r="K94" s="1123">
        <v>1.2799</v>
      </c>
      <c r="L94" s="1123">
        <v>1.2799</v>
      </c>
      <c r="M94" s="1123">
        <v>1.2799</v>
      </c>
      <c r="N94" s="1123">
        <v>1.2799</v>
      </c>
    </row>
    <row r="95" spans="1:40">
      <c r="A95" s="3457"/>
      <c r="B95" s="1122">
        <v>3</v>
      </c>
      <c r="C95" s="1123">
        <v>1.1594</v>
      </c>
      <c r="D95" s="1123">
        <v>1.1594</v>
      </c>
      <c r="E95" s="1123">
        <v>1.0788</v>
      </c>
      <c r="F95" s="1123">
        <v>1.0788</v>
      </c>
      <c r="G95" s="1123">
        <v>1.0788</v>
      </c>
      <c r="H95" s="1123">
        <v>1.0788</v>
      </c>
      <c r="I95" s="1123">
        <v>1.0788</v>
      </c>
      <c r="J95" s="1123">
        <v>1.0072000000000001</v>
      </c>
      <c r="K95" s="1123">
        <v>1.0072000000000001</v>
      </c>
      <c r="L95" s="1123">
        <v>1.0072000000000001</v>
      </c>
      <c r="M95" s="1123">
        <v>1.0072000000000001</v>
      </c>
      <c r="N95" s="1123">
        <v>1.0072000000000001</v>
      </c>
    </row>
    <row r="96" spans="1:40">
      <c r="A96" s="3457"/>
      <c r="B96" s="1122">
        <v>4</v>
      </c>
      <c r="C96" s="1123">
        <v>0.96220000000000006</v>
      </c>
      <c r="D96" s="1123">
        <v>0.96220000000000006</v>
      </c>
      <c r="E96" s="1123">
        <v>0.86560000000000004</v>
      </c>
      <c r="F96" s="1123">
        <v>0.86560000000000004</v>
      </c>
      <c r="G96" s="1123">
        <v>0.86560000000000004</v>
      </c>
      <c r="H96" s="1123">
        <v>0.86560000000000004</v>
      </c>
      <c r="I96" s="1123">
        <v>0.86560000000000004</v>
      </c>
      <c r="J96" s="1123">
        <v>0.75249999999999995</v>
      </c>
      <c r="K96" s="1123">
        <v>0.75249999999999995</v>
      </c>
      <c r="L96" s="1123">
        <v>0.75249999999999995</v>
      </c>
      <c r="M96" s="1123">
        <v>0.75249999999999995</v>
      </c>
      <c r="N96" s="1123">
        <v>0.75249999999999995</v>
      </c>
    </row>
    <row r="97" spans="1:14">
      <c r="A97" s="3457"/>
      <c r="B97" s="1122">
        <v>5</v>
      </c>
      <c r="C97" s="1123">
        <v>0.8417</v>
      </c>
      <c r="D97" s="1123">
        <v>0.8417</v>
      </c>
      <c r="E97" s="1123">
        <v>0.73709999999999998</v>
      </c>
      <c r="F97" s="1123">
        <v>0.73709999999999998</v>
      </c>
      <c r="G97" s="1123">
        <v>0.73709999999999998</v>
      </c>
      <c r="H97" s="1123">
        <v>0.73709999999999998</v>
      </c>
      <c r="I97" s="1123">
        <v>0.73709999999999998</v>
      </c>
      <c r="J97" s="1123">
        <v>0.56589999999999996</v>
      </c>
      <c r="K97" s="1123">
        <v>0.56589999999999996</v>
      </c>
      <c r="L97" s="1123">
        <v>0.56589999999999996</v>
      </c>
      <c r="M97" s="1123">
        <v>0.56589999999999996</v>
      </c>
      <c r="N97" s="1123">
        <v>0.56589999999999996</v>
      </c>
    </row>
    <row r="98" spans="1:14">
      <c r="A98" s="3457"/>
      <c r="B98" s="1122">
        <v>6</v>
      </c>
      <c r="C98" s="1123">
        <v>0.76080000000000003</v>
      </c>
      <c r="D98" s="1123">
        <v>0.76080000000000003</v>
      </c>
      <c r="E98" s="1123">
        <v>0.6482</v>
      </c>
      <c r="F98" s="1123">
        <v>0.6482</v>
      </c>
      <c r="G98" s="1123">
        <v>0.6482</v>
      </c>
      <c r="H98" s="1123">
        <v>0.6482</v>
      </c>
      <c r="I98" s="1123">
        <v>0.6482</v>
      </c>
      <c r="J98" s="1123">
        <v>0.45250000000000001</v>
      </c>
      <c r="K98" s="1123">
        <v>0.45250000000000001</v>
      </c>
      <c r="L98" s="1123">
        <v>0.45250000000000001</v>
      </c>
      <c r="M98" s="1123">
        <v>0.45250000000000001</v>
      </c>
      <c r="N98" s="1123">
        <v>0.45250000000000001</v>
      </c>
    </row>
    <row r="99" spans="1:14">
      <c r="A99" s="3457"/>
      <c r="B99" s="1122" t="s">
        <v>1838</v>
      </c>
      <c r="C99" s="1124">
        <f>$I$3</f>
        <v>8</v>
      </c>
      <c r="D99" s="1124">
        <f t="shared" ref="D99:N99" si="30">$I$3</f>
        <v>8</v>
      </c>
      <c r="E99" s="1124">
        <f t="shared" si="30"/>
        <v>8</v>
      </c>
      <c r="F99" s="1124">
        <f t="shared" si="30"/>
        <v>8</v>
      </c>
      <c r="G99" s="1124">
        <f t="shared" si="30"/>
        <v>8</v>
      </c>
      <c r="H99" s="1124">
        <f t="shared" si="30"/>
        <v>8</v>
      </c>
      <c r="I99" s="1124">
        <f t="shared" si="30"/>
        <v>8</v>
      </c>
      <c r="J99" s="1124">
        <f t="shared" si="30"/>
        <v>8</v>
      </c>
      <c r="K99" s="1124">
        <f t="shared" si="30"/>
        <v>8</v>
      </c>
      <c r="L99" s="1124">
        <f t="shared" si="30"/>
        <v>8</v>
      </c>
      <c r="M99" s="1124">
        <f t="shared" si="30"/>
        <v>8</v>
      </c>
      <c r="N99" s="1124">
        <f t="shared" si="30"/>
        <v>8</v>
      </c>
    </row>
    <row r="100" spans="1:14">
      <c r="A100" s="3458"/>
      <c r="B100" s="1122">
        <v>7</v>
      </c>
      <c r="C100" s="1125">
        <f>(-0.163*(C99^2)-0.59*C99+7617)*(10^(-4))</f>
        <v>0.76018479999999999</v>
      </c>
      <c r="D100" s="1125">
        <f>(-0.163*(D99^2)-0.59*D99+7617)*(10^(-4))</f>
        <v>0.76018479999999999</v>
      </c>
      <c r="E100" s="1125">
        <f>(-0.161*(E99^2)-7.509*E99+6533)*(10^(-4))</f>
        <v>0.64626240000000001</v>
      </c>
      <c r="F100" s="1125">
        <f>(-0.161*(F99^2)-7.509*F99+6533)*(10^(-4))</f>
        <v>0.64626240000000001</v>
      </c>
      <c r="G100" s="1125">
        <f>(-0.161*(G99^2)-7.509*G99+6533)*(10^(-4))</f>
        <v>0.64626240000000001</v>
      </c>
      <c r="H100" s="1125">
        <f>(-0.161*(H99^2)-7.509*H99+6533)*(10^(-4))</f>
        <v>0.64626240000000001</v>
      </c>
      <c r="I100" s="1125">
        <f>(-0.161*(I99^2)-7.509*I99+6533)*(10^(-4))</f>
        <v>0.64626240000000001</v>
      </c>
      <c r="J100" s="1125">
        <f>(-0.214*(J99^2)-21.991*J99+4665)*(10^(-4))</f>
        <v>0.44753760000000004</v>
      </c>
      <c r="K100" s="1125">
        <f>(-0.214*(K99^2)-21.991*K99+4665)*(10^(-4))</f>
        <v>0.44753760000000004</v>
      </c>
      <c r="L100" s="1125">
        <f>(-0.214*(L99^2)-21.991*L99+4665)*(10^(-4))</f>
        <v>0.44753760000000004</v>
      </c>
      <c r="M100" s="1125">
        <f>(-0.214*(M99^2)-21.991*M99+4665)*(10^(-4))</f>
        <v>0.44753760000000004</v>
      </c>
      <c r="N100" s="1125">
        <f>(-0.214*(N99^2)-21.991*N99+4665)*(10^(-4))</f>
        <v>0.44753760000000004</v>
      </c>
    </row>
    <row r="101" spans="1:14">
      <c r="A101" s="3456" t="s">
        <v>1839</v>
      </c>
      <c r="B101" s="1126" t="s">
        <v>1100</v>
      </c>
      <c r="C101" s="1127">
        <f>$G$3</f>
        <v>4.45</v>
      </c>
      <c r="D101" s="1127">
        <f t="shared" ref="D101:N101" si="31">$G$3</f>
        <v>4.45</v>
      </c>
      <c r="E101" s="1127">
        <f t="shared" si="31"/>
        <v>4.45</v>
      </c>
      <c r="F101" s="1127">
        <f t="shared" si="31"/>
        <v>4.45</v>
      </c>
      <c r="G101" s="1127">
        <f t="shared" si="31"/>
        <v>4.45</v>
      </c>
      <c r="H101" s="1127">
        <f t="shared" si="31"/>
        <v>4.45</v>
      </c>
      <c r="I101" s="1127">
        <f t="shared" si="31"/>
        <v>4.45</v>
      </c>
      <c r="J101" s="1127">
        <f t="shared" si="31"/>
        <v>4.45</v>
      </c>
      <c r="K101" s="1127">
        <f t="shared" si="31"/>
        <v>4.45</v>
      </c>
      <c r="L101" s="1127">
        <f t="shared" si="31"/>
        <v>4.45</v>
      </c>
      <c r="M101" s="1127">
        <f t="shared" si="31"/>
        <v>4.45</v>
      </c>
      <c r="N101" s="1127">
        <f t="shared" si="31"/>
        <v>4.45</v>
      </c>
    </row>
    <row r="102" spans="1:14">
      <c r="A102" s="3457"/>
      <c r="B102" s="1122">
        <v>1</v>
      </c>
      <c r="C102" s="1123">
        <f>1.9362/C101</f>
        <v>0.43510112359550557</v>
      </c>
      <c r="D102" s="1123">
        <f>1.9362/D101</f>
        <v>0.43510112359550557</v>
      </c>
      <c r="E102" s="1123">
        <f>1.8629/E101</f>
        <v>0.41862921348314602</v>
      </c>
      <c r="F102" s="1123">
        <f>1.8629/F101</f>
        <v>0.41862921348314602</v>
      </c>
      <c r="G102" s="1123">
        <f>1.8629/G101</f>
        <v>0.41862921348314602</v>
      </c>
      <c r="H102" s="1123">
        <f>1.8629/H101</f>
        <v>0.41862921348314602</v>
      </c>
      <c r="I102" s="1123">
        <f>1.8629/I101</f>
        <v>0.41862921348314602</v>
      </c>
      <c r="J102" s="1123">
        <f>1.942/J101</f>
        <v>0.43640449438202245</v>
      </c>
      <c r="K102" s="1123">
        <f>1.942/K101</f>
        <v>0.43640449438202245</v>
      </c>
      <c r="L102" s="1123">
        <f>1.942/L101</f>
        <v>0.43640449438202245</v>
      </c>
      <c r="M102" s="1123">
        <f>1.942/M101</f>
        <v>0.43640449438202245</v>
      </c>
      <c r="N102" s="1123">
        <f>1.942/N101</f>
        <v>0.43640449438202245</v>
      </c>
    </row>
    <row r="103" spans="1:14">
      <c r="A103" s="3457"/>
      <c r="B103" s="1122">
        <v>2</v>
      </c>
      <c r="C103" s="1123">
        <f>1.4198/C101</f>
        <v>0.31905617977528089</v>
      </c>
      <c r="D103" s="1123">
        <f>1.4198/D101</f>
        <v>0.31905617977528089</v>
      </c>
      <c r="E103" s="1123">
        <f>1.3372/E101</f>
        <v>0.30049438202247186</v>
      </c>
      <c r="F103" s="1123">
        <f>1.3372/F101</f>
        <v>0.30049438202247186</v>
      </c>
      <c r="G103" s="1123">
        <f>1.3372/G101</f>
        <v>0.30049438202247186</v>
      </c>
      <c r="H103" s="1123">
        <f>1.3372/H101</f>
        <v>0.30049438202247186</v>
      </c>
      <c r="I103" s="1123">
        <f>1.3372/I101</f>
        <v>0.30049438202247186</v>
      </c>
      <c r="J103" s="1123">
        <f>1.2799/J101</f>
        <v>0.28761797752808987</v>
      </c>
      <c r="K103" s="1123">
        <f>1.2799/K101</f>
        <v>0.28761797752808987</v>
      </c>
      <c r="L103" s="1123">
        <f>1.2799/L101</f>
        <v>0.28761797752808987</v>
      </c>
      <c r="M103" s="1123">
        <f>1.2799/M101</f>
        <v>0.28761797752808987</v>
      </c>
      <c r="N103" s="1123">
        <f>1.2799/N101</f>
        <v>0.28761797752808987</v>
      </c>
    </row>
    <row r="104" spans="1:14">
      <c r="A104" s="3457"/>
      <c r="B104" s="1122">
        <v>3</v>
      </c>
      <c r="C104" s="1123">
        <f>1.1594/C101</f>
        <v>0.26053932584269662</v>
      </c>
      <c r="D104" s="1123">
        <f>1.1594/D101</f>
        <v>0.26053932584269662</v>
      </c>
      <c r="E104" s="1123">
        <f>1.0788/E101</f>
        <v>0.24242696629213481</v>
      </c>
      <c r="F104" s="1123">
        <f>1.0788/F101</f>
        <v>0.24242696629213481</v>
      </c>
      <c r="G104" s="1123">
        <f>1.0788/G101</f>
        <v>0.24242696629213481</v>
      </c>
      <c r="H104" s="1123">
        <f>1.0788/H101</f>
        <v>0.24242696629213481</v>
      </c>
      <c r="I104" s="1123">
        <f>1.0788/I101</f>
        <v>0.24242696629213481</v>
      </c>
      <c r="J104" s="1123">
        <f>1.0072/J101</f>
        <v>0.2263370786516854</v>
      </c>
      <c r="K104" s="1123">
        <f>1.0072/K101</f>
        <v>0.2263370786516854</v>
      </c>
      <c r="L104" s="1123">
        <f>1.0072/L101</f>
        <v>0.2263370786516854</v>
      </c>
      <c r="M104" s="1123">
        <f>1.0072/M101</f>
        <v>0.2263370786516854</v>
      </c>
      <c r="N104" s="1123">
        <f>1.0072/N101</f>
        <v>0.2263370786516854</v>
      </c>
    </row>
    <row r="105" spans="1:14">
      <c r="A105" s="3457"/>
      <c r="B105" s="1122">
        <v>4</v>
      </c>
      <c r="C105" s="1123">
        <f>0.9622/C101</f>
        <v>0.21622471910112359</v>
      </c>
      <c r="D105" s="1123">
        <f>0.9622/D101</f>
        <v>0.21622471910112359</v>
      </c>
      <c r="E105" s="1123">
        <f>0.8656/E101</f>
        <v>0.19451685393258428</v>
      </c>
      <c r="F105" s="1123">
        <f>0.8656/F101</f>
        <v>0.19451685393258428</v>
      </c>
      <c r="G105" s="1123">
        <f>0.8656/G101</f>
        <v>0.19451685393258428</v>
      </c>
      <c r="H105" s="1123">
        <f>0.8656/H101</f>
        <v>0.19451685393258428</v>
      </c>
      <c r="I105" s="1123">
        <f>0.8656/I101</f>
        <v>0.19451685393258428</v>
      </c>
      <c r="J105" s="1123">
        <f>0.7525/J101</f>
        <v>0.16910112359550561</v>
      </c>
      <c r="K105" s="1123">
        <f>0.7525/K101</f>
        <v>0.16910112359550561</v>
      </c>
      <c r="L105" s="1123">
        <f>0.7525/L101</f>
        <v>0.16910112359550561</v>
      </c>
      <c r="M105" s="1123">
        <f>0.7525/M101</f>
        <v>0.16910112359550561</v>
      </c>
      <c r="N105" s="1123">
        <f>0.7525/N101</f>
        <v>0.16910112359550561</v>
      </c>
    </row>
    <row r="106" spans="1:14">
      <c r="A106" s="3457"/>
      <c r="B106" s="1122">
        <v>5</v>
      </c>
      <c r="C106" s="1123">
        <f>0.8417/C101</f>
        <v>0.18914606741573034</v>
      </c>
      <c r="D106" s="1123">
        <f>0.8417/D101</f>
        <v>0.18914606741573034</v>
      </c>
      <c r="E106" s="1123">
        <f>0.7371/E101</f>
        <v>0.16564044943820225</v>
      </c>
      <c r="F106" s="1123">
        <f>0.7371/F101</f>
        <v>0.16564044943820225</v>
      </c>
      <c r="G106" s="1123">
        <f>0.7371/G101</f>
        <v>0.16564044943820225</v>
      </c>
      <c r="H106" s="1123">
        <f>0.7371/H101</f>
        <v>0.16564044943820225</v>
      </c>
      <c r="I106" s="1123">
        <f>0.7371/I101</f>
        <v>0.16564044943820225</v>
      </c>
      <c r="J106" s="1123">
        <f>0.5659/J101</f>
        <v>0.12716853932584268</v>
      </c>
      <c r="K106" s="1123">
        <f>0.5659/K101</f>
        <v>0.12716853932584268</v>
      </c>
      <c r="L106" s="1123">
        <f>0.5659/L101</f>
        <v>0.12716853932584268</v>
      </c>
      <c r="M106" s="1123">
        <f>0.5659/M101</f>
        <v>0.12716853932584268</v>
      </c>
      <c r="N106" s="1123">
        <f>0.5659/N101</f>
        <v>0.12716853932584268</v>
      </c>
    </row>
    <row r="107" spans="1:14">
      <c r="A107" s="3457"/>
      <c r="B107" s="1122">
        <v>6</v>
      </c>
      <c r="C107" s="1123">
        <f>0.7608/C101</f>
        <v>0.17096629213483147</v>
      </c>
      <c r="D107" s="1123">
        <f>0.7608/D101</f>
        <v>0.17096629213483147</v>
      </c>
      <c r="E107" s="1123">
        <f>0.6482/E101</f>
        <v>0.1456629213483146</v>
      </c>
      <c r="F107" s="1123">
        <f>0.6482/F101</f>
        <v>0.1456629213483146</v>
      </c>
      <c r="G107" s="1123">
        <f>0.6482/G101</f>
        <v>0.1456629213483146</v>
      </c>
      <c r="H107" s="1123">
        <f>0.6482/H101</f>
        <v>0.1456629213483146</v>
      </c>
      <c r="I107" s="1123">
        <f>0.6482/I101</f>
        <v>0.1456629213483146</v>
      </c>
      <c r="J107" s="1123">
        <f>0.4525/J101</f>
        <v>0.10168539325842696</v>
      </c>
      <c r="K107" s="1123">
        <f>0.4525/K101</f>
        <v>0.10168539325842696</v>
      </c>
      <c r="L107" s="1123">
        <f>0.4525/L101</f>
        <v>0.10168539325842696</v>
      </c>
      <c r="M107" s="1123">
        <f>0.4525/M101</f>
        <v>0.10168539325842696</v>
      </c>
      <c r="N107" s="1123">
        <f>0.4525/N101</f>
        <v>0.10168539325842696</v>
      </c>
    </row>
    <row r="108" spans="1:14">
      <c r="A108" s="3457"/>
      <c r="B108" s="3459" t="s">
        <v>1840</v>
      </c>
      <c r="C108" s="1124">
        <f>C99</f>
        <v>8</v>
      </c>
      <c r="D108" s="1124">
        <f t="shared" ref="D108:N108" si="32">D99</f>
        <v>8</v>
      </c>
      <c r="E108" s="1124">
        <f t="shared" si="32"/>
        <v>8</v>
      </c>
      <c r="F108" s="1124">
        <f t="shared" si="32"/>
        <v>8</v>
      </c>
      <c r="G108" s="1124">
        <f t="shared" si="32"/>
        <v>8</v>
      </c>
      <c r="H108" s="1124">
        <f t="shared" si="32"/>
        <v>8</v>
      </c>
      <c r="I108" s="1124">
        <f t="shared" si="32"/>
        <v>8</v>
      </c>
      <c r="J108" s="1124">
        <f t="shared" si="32"/>
        <v>8</v>
      </c>
      <c r="K108" s="1124">
        <f t="shared" si="32"/>
        <v>8</v>
      </c>
      <c r="L108" s="1124">
        <f t="shared" si="32"/>
        <v>8</v>
      </c>
      <c r="M108" s="1124">
        <f t="shared" si="32"/>
        <v>8</v>
      </c>
      <c r="N108" s="1124">
        <f t="shared" si="32"/>
        <v>8</v>
      </c>
    </row>
    <row r="109" spans="1:14">
      <c r="A109" s="3458"/>
      <c r="B109" s="3460"/>
      <c r="C109" s="1125">
        <f>(-0.163*(C108^2)-0.59*C108+7617)*(10^(-4))/C101</f>
        <v>0.17082804494382023</v>
      </c>
      <c r="D109" s="1125">
        <f>(-0.163*(D108^2)-0.59*D108+7617)*(10^(-4))/D101</f>
        <v>0.17082804494382023</v>
      </c>
      <c r="E109" s="1125">
        <f>(-0.161*(E108^2)-7.509*E108+6533)*(10^(-4))/E101</f>
        <v>0.14522750561797754</v>
      </c>
      <c r="F109" s="1125">
        <f>(-0.161*(F108^2)-7.509*F108+6533)*(10^(-4))/F101</f>
        <v>0.14522750561797754</v>
      </c>
      <c r="G109" s="1125">
        <f>(-0.161*(G108^2)-7.509*G108+6533)*(10^(-4))/G101</f>
        <v>0.14522750561797754</v>
      </c>
      <c r="H109" s="1125">
        <f>(-0.161*(H108^2)-7.509*H108+6533)*(10^(-4))/H101</f>
        <v>0.14522750561797754</v>
      </c>
      <c r="I109" s="1125">
        <f>(-0.161*(I108^2)-7.509*I108+6533)*(10^(-4))/I101</f>
        <v>0.14522750561797754</v>
      </c>
      <c r="J109" s="1125">
        <f>(-0.214*(J108^2)-21.991*J108+4665)*(10^(-4))/J101</f>
        <v>0.10057024719101124</v>
      </c>
      <c r="K109" s="1125">
        <f>(-0.214*(K108^2)-21.991*K108+4665)*(10^(-4))/K101</f>
        <v>0.10057024719101124</v>
      </c>
      <c r="L109" s="1125">
        <f>(-0.214*(L108^2)-21.991*L108+4665)*(10^(-4))/L101</f>
        <v>0.10057024719101124</v>
      </c>
      <c r="M109" s="1125">
        <f>(-0.214*(M108^2)-21.991*M108+4665)*(10^(-4))/M101</f>
        <v>0.10057024719101124</v>
      </c>
      <c r="N109" s="1125">
        <f>(-0.214*(N108^2)-21.991*N108+4665)*(10^(-4))/N101</f>
        <v>0.10057024719101124</v>
      </c>
    </row>
    <row r="110" spans="1:14">
      <c r="A110" s="3461" t="s">
        <v>1841</v>
      </c>
      <c r="B110" s="3461"/>
      <c r="C110" s="3461"/>
      <c r="D110" s="3461"/>
      <c r="E110" s="3461"/>
      <c r="F110" s="3461"/>
      <c r="G110" s="3461"/>
      <c r="H110" s="3461"/>
      <c r="I110" s="3461"/>
      <c r="J110" s="3461"/>
      <c r="K110" s="2460"/>
      <c r="L110" s="2460"/>
      <c r="M110" s="2460"/>
      <c r="N110" s="2460"/>
    </row>
    <row r="112" spans="1:14" ht="12.75" thickBot="1"/>
    <row r="113" spans="1:13" ht="25.5" thickBot="1">
      <c r="A113" s="995" t="s">
        <v>1090</v>
      </c>
      <c r="B113" s="2463">
        <f>G3</f>
        <v>4.45</v>
      </c>
      <c r="C113" s="996" t="s">
        <v>1091</v>
      </c>
      <c r="D113" s="997">
        <f>SUMPRODUCT((A115:A118=F113)*(B114:M114=H113)*B115:M118)</f>
        <v>0.69889999999999997</v>
      </c>
      <c r="E113" s="998" t="s">
        <v>1092</v>
      </c>
      <c r="F113" s="999" t="str">
        <f>E2</f>
        <v>住宅</v>
      </c>
      <c r="G113" s="998" t="s">
        <v>1093</v>
      </c>
      <c r="H113" s="999" t="str">
        <f>G2</f>
        <v>八级</v>
      </c>
      <c r="I113" s="998"/>
      <c r="J113" s="990"/>
      <c r="K113" s="990"/>
      <c r="L113" s="990"/>
      <c r="M113" s="990"/>
    </row>
    <row r="114" spans="1:13" ht="12.75">
      <c r="A114" s="1002"/>
      <c r="B114" s="1003" t="s">
        <v>1078</v>
      </c>
      <c r="C114" s="1003" t="s">
        <v>1079</v>
      </c>
      <c r="D114" s="1003" t="s">
        <v>1080</v>
      </c>
      <c r="E114" s="1004" t="s">
        <v>1081</v>
      </c>
      <c r="F114" s="1004" t="s">
        <v>1082</v>
      </c>
      <c r="G114" s="1004" t="s">
        <v>1083</v>
      </c>
      <c r="H114" s="1005" t="s">
        <v>1084</v>
      </c>
      <c r="I114" s="1005" t="s">
        <v>1085</v>
      </c>
      <c r="J114" s="1006" t="s">
        <v>1086</v>
      </c>
      <c r="K114" s="1006" t="s">
        <v>1087</v>
      </c>
      <c r="L114" s="1006" t="s">
        <v>1088</v>
      </c>
      <c r="M114" s="1007" t="s">
        <v>1089</v>
      </c>
    </row>
    <row r="115" spans="1:13" ht="12.75">
      <c r="A115" s="1008" t="s">
        <v>1094</v>
      </c>
      <c r="B115" s="1009">
        <f>ROUND(0.9335-0.0094*B113,4)</f>
        <v>0.89170000000000005</v>
      </c>
      <c r="C115" s="1009">
        <f>B115</f>
        <v>0.89170000000000005</v>
      </c>
      <c r="D115" s="1009">
        <f>ROUND(0.8331-0.0109*B113,4)</f>
        <v>0.78459999999999996</v>
      </c>
      <c r="E115" s="1009">
        <f>D115</f>
        <v>0.78459999999999996</v>
      </c>
      <c r="F115" s="1009">
        <f>E115</f>
        <v>0.78459999999999996</v>
      </c>
      <c r="G115" s="1009">
        <f>F115</f>
        <v>0.78459999999999996</v>
      </c>
      <c r="H115" s="1009">
        <f>G115</f>
        <v>0.78459999999999996</v>
      </c>
      <c r="I115" s="1009">
        <f>ROUND(0.689-0.0155*B113,4)</f>
        <v>0.62</v>
      </c>
      <c r="J115" s="1009">
        <f t="shared" ref="J115:M118" si="33">I115</f>
        <v>0.62</v>
      </c>
      <c r="K115" s="1009">
        <f t="shared" si="33"/>
        <v>0.62</v>
      </c>
      <c r="L115" s="1009">
        <f t="shared" si="33"/>
        <v>0.62</v>
      </c>
      <c r="M115" s="1010">
        <f t="shared" si="33"/>
        <v>0.62</v>
      </c>
    </row>
    <row r="116" spans="1:13" ht="12.75">
      <c r="A116" s="1008" t="s">
        <v>1095</v>
      </c>
      <c r="B116" s="1009">
        <f>ROUND(0.949-0.012*B113,4)</f>
        <v>0.89559999999999995</v>
      </c>
      <c r="C116" s="1009">
        <f>B116</f>
        <v>0.89559999999999995</v>
      </c>
      <c r="D116" s="1009">
        <f>ROUND(0.8567-0.013*B113,4)</f>
        <v>0.79890000000000005</v>
      </c>
      <c r="E116" s="1009">
        <f t="shared" ref="E116:H117" si="34">D116</f>
        <v>0.79890000000000005</v>
      </c>
      <c r="F116" s="1009">
        <f t="shared" si="34"/>
        <v>0.79890000000000005</v>
      </c>
      <c r="G116" s="1009">
        <f t="shared" si="34"/>
        <v>0.79890000000000005</v>
      </c>
      <c r="H116" s="1009">
        <f t="shared" si="34"/>
        <v>0.79890000000000005</v>
      </c>
      <c r="I116" s="1009">
        <f>ROUND(0.7694-0.014*B113,4)</f>
        <v>0.70709999999999995</v>
      </c>
      <c r="J116" s="1009">
        <f t="shared" si="33"/>
        <v>0.70709999999999995</v>
      </c>
      <c r="K116" s="1009">
        <f t="shared" si="33"/>
        <v>0.70709999999999995</v>
      </c>
      <c r="L116" s="1009">
        <f t="shared" si="33"/>
        <v>0.70709999999999995</v>
      </c>
      <c r="M116" s="1010">
        <f t="shared" si="33"/>
        <v>0.70709999999999995</v>
      </c>
    </row>
    <row r="117" spans="1:13" ht="12.75">
      <c r="A117" s="1011" t="s">
        <v>1096</v>
      </c>
      <c r="B117" s="1009">
        <f>ROUND(0.8808-0.006*B113,4)</f>
        <v>0.85409999999999997</v>
      </c>
      <c r="C117" s="1009">
        <f>B117</f>
        <v>0.85409999999999997</v>
      </c>
      <c r="D117" s="1009">
        <f>ROUND(0.8748-0.008*B113,4)</f>
        <v>0.83919999999999995</v>
      </c>
      <c r="E117" s="1009">
        <f t="shared" si="34"/>
        <v>0.83919999999999995</v>
      </c>
      <c r="F117" s="1009">
        <f t="shared" si="34"/>
        <v>0.83919999999999995</v>
      </c>
      <c r="G117" s="1009">
        <f t="shared" si="34"/>
        <v>0.83919999999999995</v>
      </c>
      <c r="H117" s="1009">
        <f t="shared" si="34"/>
        <v>0.83919999999999995</v>
      </c>
      <c r="I117" s="1009">
        <f>ROUND(0.7412-0.0095*B113,4)</f>
        <v>0.69889999999999997</v>
      </c>
      <c r="J117" s="1009">
        <f t="shared" si="33"/>
        <v>0.69889999999999997</v>
      </c>
      <c r="K117" s="1009">
        <f t="shared" si="33"/>
        <v>0.69889999999999997</v>
      </c>
      <c r="L117" s="1009">
        <f t="shared" si="33"/>
        <v>0.69889999999999997</v>
      </c>
      <c r="M117" s="1010">
        <f t="shared" si="33"/>
        <v>0.69889999999999997</v>
      </c>
    </row>
    <row r="118" spans="1:13" ht="13.5" thickBot="1">
      <c r="A118" s="1012" t="s">
        <v>1097</v>
      </c>
      <c r="B118" s="1013">
        <f>ROUND(0.7275-0.01*B113,4)</f>
        <v>0.68300000000000005</v>
      </c>
      <c r="C118" s="1013">
        <f>B118</f>
        <v>0.68300000000000005</v>
      </c>
      <c r="D118" s="1013">
        <f>ROUND(0.7043-0.012*B113,4)</f>
        <v>0.65090000000000003</v>
      </c>
      <c r="E118" s="1013">
        <f>D118</f>
        <v>0.65090000000000003</v>
      </c>
      <c r="F118" s="1013">
        <f>E118</f>
        <v>0.65090000000000003</v>
      </c>
      <c r="G118" s="1013">
        <f>ROUND(0.6299-0.0122*B113,4)</f>
        <v>0.5756</v>
      </c>
      <c r="H118" s="1013">
        <f>G118</f>
        <v>0.5756</v>
      </c>
      <c r="I118" s="1013">
        <f>ROUND(0.5667-0.0136*B113,4)</f>
        <v>0.50619999999999998</v>
      </c>
      <c r="J118" s="1013">
        <f t="shared" si="33"/>
        <v>0.50619999999999998</v>
      </c>
      <c r="K118" s="1013">
        <f t="shared" si="33"/>
        <v>0.50619999999999998</v>
      </c>
      <c r="L118" s="1013">
        <f t="shared" si="33"/>
        <v>0.50619999999999998</v>
      </c>
      <c r="M118" s="1014">
        <f t="shared" si="33"/>
        <v>0.50619999999999998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45" customWidth="1"/>
    <col min="2" max="9" width="8.25" style="1084" customWidth="1"/>
    <col min="10" max="13" width="8.25" style="1045"/>
    <col min="14" max="14" width="10" style="1045" customWidth="1"/>
    <col min="15" max="16" width="8.25" style="1045"/>
    <col min="17" max="17" width="34.125" style="1045" customWidth="1"/>
    <col min="18" max="18" width="8.25" style="1045" customWidth="1"/>
    <col min="19" max="19" width="8.25" style="1045"/>
    <col min="20" max="20" width="11.625" style="1045" customWidth="1"/>
    <col min="21" max="16384" width="8.25" style="1045"/>
  </cols>
  <sheetData>
    <row r="1" spans="1:13" ht="19.5" customHeight="1" thickBot="1">
      <c r="A1" s="1085" t="s">
        <v>1633</v>
      </c>
      <c r="B1" s="1051" t="s">
        <v>1101</v>
      </c>
      <c r="C1" s="1051" t="s">
        <v>1102</v>
      </c>
      <c r="D1" s="1051" t="s">
        <v>1103</v>
      </c>
      <c r="E1" s="1051" t="s">
        <v>1104</v>
      </c>
      <c r="F1" s="1051" t="s">
        <v>1105</v>
      </c>
      <c r="G1" s="1051" t="s">
        <v>1106</v>
      </c>
      <c r="H1" s="1051" t="s">
        <v>1107</v>
      </c>
      <c r="I1" s="1051" t="s">
        <v>1108</v>
      </c>
      <c r="J1" s="1051" t="s">
        <v>1109</v>
      </c>
      <c r="K1" s="1051" t="s">
        <v>1110</v>
      </c>
      <c r="L1" s="1051" t="s">
        <v>1111</v>
      </c>
      <c r="M1" s="1052" t="s">
        <v>1112</v>
      </c>
    </row>
    <row r="2" spans="1:13" ht="19.5" customHeight="1">
      <c r="A2" s="1086" t="s">
        <v>1205</v>
      </c>
      <c r="B2" s="1087">
        <v>3.5</v>
      </c>
      <c r="C2" s="1087">
        <v>3.5</v>
      </c>
      <c r="D2" s="1088">
        <v>2.5</v>
      </c>
      <c r="E2" s="1088">
        <v>2.5</v>
      </c>
      <c r="F2" s="1088">
        <v>2.5</v>
      </c>
      <c r="G2" s="1088">
        <v>2.5</v>
      </c>
      <c r="H2" s="1088">
        <v>2.5</v>
      </c>
      <c r="I2" s="1087">
        <v>2</v>
      </c>
      <c r="J2" s="1087">
        <v>2</v>
      </c>
      <c r="K2" s="1087">
        <v>2</v>
      </c>
      <c r="L2" s="1087">
        <v>2</v>
      </c>
      <c r="M2" s="1089">
        <v>2</v>
      </c>
    </row>
    <row r="3" spans="1:13" ht="19.5" customHeight="1">
      <c r="A3" s="1090" t="s">
        <v>1229</v>
      </c>
      <c r="B3" s="1091">
        <v>3.5</v>
      </c>
      <c r="C3" s="1091">
        <v>3.5</v>
      </c>
      <c r="D3" s="1092">
        <v>2.5</v>
      </c>
      <c r="E3" s="1092">
        <v>2.5</v>
      </c>
      <c r="F3" s="1092">
        <v>2.5</v>
      </c>
      <c r="G3" s="1092">
        <v>2.5</v>
      </c>
      <c r="H3" s="1092">
        <v>2.5</v>
      </c>
      <c r="I3" s="1091">
        <v>2</v>
      </c>
      <c r="J3" s="1091">
        <v>2</v>
      </c>
      <c r="K3" s="1091">
        <v>2</v>
      </c>
      <c r="L3" s="1091">
        <v>2</v>
      </c>
      <c r="M3" s="1093">
        <v>2</v>
      </c>
    </row>
    <row r="4" spans="1:13" ht="19.5" customHeight="1">
      <c r="A4" s="1090" t="s">
        <v>1231</v>
      </c>
      <c r="B4" s="1092">
        <v>2.5</v>
      </c>
      <c r="C4" s="1092">
        <v>2.5</v>
      </c>
      <c r="D4" s="1092">
        <v>2.5</v>
      </c>
      <c r="E4" s="1092">
        <v>2.5</v>
      </c>
      <c r="F4" s="1092">
        <v>2.5</v>
      </c>
      <c r="G4" s="1092">
        <v>2.5</v>
      </c>
      <c r="H4" s="1092">
        <v>2.5</v>
      </c>
      <c r="I4" s="1091">
        <v>1.5</v>
      </c>
      <c r="J4" s="1091">
        <v>1.5</v>
      </c>
      <c r="K4" s="1091">
        <v>1.5</v>
      </c>
      <c r="L4" s="1091">
        <v>1.5</v>
      </c>
      <c r="M4" s="1093">
        <v>1.5</v>
      </c>
    </row>
    <row r="5" spans="1:13" ht="19.5" customHeight="1" thickBot="1">
      <c r="A5" s="1094" t="s">
        <v>1634</v>
      </c>
      <c r="B5" s="1095">
        <v>1.5</v>
      </c>
      <c r="C5" s="1095">
        <v>1.5</v>
      </c>
      <c r="D5" s="1095">
        <v>1.5</v>
      </c>
      <c r="E5" s="1095">
        <v>1.5</v>
      </c>
      <c r="F5" s="1095">
        <v>1.5</v>
      </c>
      <c r="G5" s="1096">
        <v>1.2</v>
      </c>
      <c r="H5" s="1096">
        <v>1.2</v>
      </c>
      <c r="I5" s="1096">
        <v>1</v>
      </c>
      <c r="J5" s="1096">
        <v>1</v>
      </c>
      <c r="K5" s="1096">
        <v>1</v>
      </c>
      <c r="L5" s="1096">
        <v>1</v>
      </c>
      <c r="M5" s="1097">
        <v>1</v>
      </c>
    </row>
    <row r="6" spans="1:13" ht="19.5" customHeight="1">
      <c r="A6" s="1098" t="s">
        <v>1635</v>
      </c>
      <c r="B6" s="1099">
        <v>80</v>
      </c>
      <c r="C6" s="1099">
        <v>80</v>
      </c>
      <c r="D6" s="1099">
        <v>65</v>
      </c>
      <c r="E6" s="1099">
        <v>65</v>
      </c>
      <c r="F6" s="1099">
        <v>65</v>
      </c>
      <c r="G6" s="1099">
        <v>65</v>
      </c>
      <c r="H6" s="1099">
        <v>65</v>
      </c>
      <c r="I6" s="1099">
        <v>50</v>
      </c>
      <c r="J6" s="1099">
        <v>50</v>
      </c>
      <c r="K6" s="1099">
        <v>50</v>
      </c>
      <c r="L6" s="1099">
        <v>50</v>
      </c>
      <c r="M6" s="1100">
        <v>50</v>
      </c>
    </row>
    <row r="7" spans="1:13" ht="19.5" customHeight="1">
      <c r="A7" s="1046" t="s">
        <v>1636</v>
      </c>
      <c r="B7" s="1047">
        <v>70</v>
      </c>
      <c r="C7" s="1047">
        <v>70</v>
      </c>
      <c r="D7" s="1047">
        <v>55</v>
      </c>
      <c r="E7" s="1047">
        <v>55</v>
      </c>
      <c r="F7" s="1047">
        <v>55</v>
      </c>
      <c r="G7" s="1047">
        <v>55</v>
      </c>
      <c r="H7" s="1047">
        <v>55</v>
      </c>
      <c r="I7" s="1047">
        <v>40</v>
      </c>
      <c r="J7" s="1047">
        <v>40</v>
      </c>
      <c r="K7" s="1047">
        <v>40</v>
      </c>
      <c r="L7" s="1047">
        <v>40</v>
      </c>
      <c r="M7" s="1101">
        <v>40</v>
      </c>
    </row>
    <row r="8" spans="1:13" ht="19.5" customHeight="1">
      <c r="A8" s="1046" t="s">
        <v>1637</v>
      </c>
      <c r="B8" s="1047">
        <v>20</v>
      </c>
      <c r="C8" s="1047">
        <v>20</v>
      </c>
      <c r="D8" s="1047">
        <v>15</v>
      </c>
      <c r="E8" s="1047">
        <v>15</v>
      </c>
      <c r="F8" s="1047">
        <v>15</v>
      </c>
      <c r="G8" s="1047">
        <v>15</v>
      </c>
      <c r="H8" s="1047">
        <v>15</v>
      </c>
      <c r="I8" s="1047">
        <v>10</v>
      </c>
      <c r="J8" s="1047">
        <v>10</v>
      </c>
      <c r="K8" s="1047">
        <v>10</v>
      </c>
      <c r="L8" s="1047">
        <v>10</v>
      </c>
      <c r="M8" s="1101">
        <v>10</v>
      </c>
    </row>
    <row r="9" spans="1:13" ht="19.5" customHeight="1">
      <c r="A9" s="1046" t="s">
        <v>1638</v>
      </c>
      <c r="B9" s="1047">
        <v>30</v>
      </c>
      <c r="C9" s="1047">
        <v>30</v>
      </c>
      <c r="D9" s="1047">
        <v>25</v>
      </c>
      <c r="E9" s="1047">
        <v>25</v>
      </c>
      <c r="F9" s="1047">
        <v>25</v>
      </c>
      <c r="G9" s="1047">
        <v>25</v>
      </c>
      <c r="H9" s="1047">
        <v>25</v>
      </c>
      <c r="I9" s="1047">
        <v>20</v>
      </c>
      <c r="J9" s="1047">
        <v>20</v>
      </c>
      <c r="K9" s="1047">
        <v>20</v>
      </c>
      <c r="L9" s="1047">
        <v>20</v>
      </c>
      <c r="M9" s="1101">
        <v>20</v>
      </c>
    </row>
    <row r="10" spans="1:13" ht="19.5" customHeight="1">
      <c r="A10" s="1046" t="s">
        <v>1639</v>
      </c>
      <c r="B10" s="1047">
        <v>45</v>
      </c>
      <c r="C10" s="1047">
        <v>45</v>
      </c>
      <c r="D10" s="1047">
        <v>35</v>
      </c>
      <c r="E10" s="1047">
        <v>35</v>
      </c>
      <c r="F10" s="1047">
        <v>35</v>
      </c>
      <c r="G10" s="1047">
        <v>35</v>
      </c>
      <c r="H10" s="1047">
        <v>35</v>
      </c>
      <c r="I10" s="1047">
        <v>25</v>
      </c>
      <c r="J10" s="1047">
        <v>25</v>
      </c>
      <c r="K10" s="1047">
        <v>25</v>
      </c>
      <c r="L10" s="1047">
        <v>25</v>
      </c>
      <c r="M10" s="1101">
        <v>25</v>
      </c>
    </row>
    <row r="11" spans="1:13" ht="19.5" customHeight="1">
      <c r="A11" s="1046" t="s">
        <v>1640</v>
      </c>
      <c r="B11" s="1047">
        <v>60</v>
      </c>
      <c r="C11" s="1047">
        <v>60</v>
      </c>
      <c r="D11" s="1047">
        <v>50</v>
      </c>
      <c r="E11" s="1047">
        <v>50</v>
      </c>
      <c r="F11" s="1047">
        <v>50</v>
      </c>
      <c r="G11" s="1047">
        <v>50</v>
      </c>
      <c r="H11" s="1047">
        <v>50</v>
      </c>
      <c r="I11" s="1047">
        <v>40</v>
      </c>
      <c r="J11" s="1047">
        <v>40</v>
      </c>
      <c r="K11" s="1047">
        <v>40</v>
      </c>
      <c r="L11" s="1047">
        <v>40</v>
      </c>
      <c r="M11" s="1101">
        <v>40</v>
      </c>
    </row>
    <row r="12" spans="1:13" ht="19.5" customHeight="1">
      <c r="A12" s="1046" t="s">
        <v>1641</v>
      </c>
      <c r="B12" s="1047">
        <v>50</v>
      </c>
      <c r="C12" s="1047">
        <v>50</v>
      </c>
      <c r="D12" s="1047">
        <v>40</v>
      </c>
      <c r="E12" s="1047">
        <v>40</v>
      </c>
      <c r="F12" s="1047">
        <v>40</v>
      </c>
      <c r="G12" s="1047">
        <v>40</v>
      </c>
      <c r="H12" s="1047">
        <v>40</v>
      </c>
      <c r="I12" s="1047">
        <v>30</v>
      </c>
      <c r="J12" s="1047">
        <v>30</v>
      </c>
      <c r="K12" s="1047">
        <v>30</v>
      </c>
      <c r="L12" s="1047">
        <v>30</v>
      </c>
      <c r="M12" s="1101">
        <v>30</v>
      </c>
    </row>
    <row r="13" spans="1:13" ht="19.5" customHeight="1">
      <c r="A13" s="1102" t="s">
        <v>1642</v>
      </c>
      <c r="B13" s="1132">
        <v>20</v>
      </c>
      <c r="C13" s="1132">
        <v>20</v>
      </c>
      <c r="D13" s="1132">
        <v>15</v>
      </c>
      <c r="E13" s="1132">
        <v>15</v>
      </c>
      <c r="F13" s="1132">
        <v>15</v>
      </c>
      <c r="G13" s="1132">
        <v>15</v>
      </c>
      <c r="H13" s="1132">
        <v>15</v>
      </c>
      <c r="I13" s="1132">
        <v>10</v>
      </c>
      <c r="J13" s="1132">
        <v>10</v>
      </c>
      <c r="K13" s="1132">
        <v>10</v>
      </c>
      <c r="L13" s="1132">
        <v>10</v>
      </c>
      <c r="M13" s="1103">
        <v>10</v>
      </c>
    </row>
    <row r="14" spans="1:13" ht="19.5" customHeight="1">
      <c r="A14" s="1047" t="s">
        <v>1643</v>
      </c>
      <c r="B14" s="1104">
        <v>0</v>
      </c>
      <c r="C14" s="1104">
        <v>0</v>
      </c>
      <c r="D14" s="1104">
        <v>0</v>
      </c>
      <c r="E14" s="1104">
        <v>0</v>
      </c>
      <c r="F14" s="1104">
        <v>0</v>
      </c>
      <c r="G14" s="1104">
        <v>0</v>
      </c>
      <c r="H14" s="1104">
        <v>0</v>
      </c>
      <c r="I14" s="1104">
        <v>0</v>
      </c>
      <c r="J14" s="1104">
        <v>0</v>
      </c>
      <c r="K14" s="1104">
        <v>0</v>
      </c>
      <c r="L14" s="1104">
        <v>0</v>
      </c>
      <c r="M14" s="1104">
        <v>0</v>
      </c>
    </row>
    <row r="16" spans="1:13" ht="19.5" customHeight="1">
      <c r="A16" s="1105" t="s">
        <v>1644</v>
      </c>
      <c r="B16" s="1105"/>
      <c r="C16" s="1106"/>
      <c r="D16" s="1106"/>
      <c r="E16" s="1105"/>
      <c r="F16" s="1106"/>
      <c r="G16" s="1106"/>
    </row>
    <row r="17" spans="1:9" ht="19.5" customHeight="1">
      <c r="A17" s="1047" t="s">
        <v>1645</v>
      </c>
      <c r="B17" s="1107" t="s">
        <v>1646</v>
      </c>
      <c r="C17" s="1107" t="s">
        <v>1844</v>
      </c>
      <c r="D17" s="1108"/>
      <c r="E17" s="1047" t="s">
        <v>1647</v>
      </c>
      <c r="F17" s="1109"/>
      <c r="G17" s="1109"/>
    </row>
    <row r="18" spans="1:9" s="1580" customFormat="1" ht="19.5" customHeight="1">
      <c r="A18" s="3467" t="s">
        <v>1205</v>
      </c>
      <c r="B18" s="1133" t="s">
        <v>1648</v>
      </c>
      <c r="C18" s="1110" t="s">
        <v>1649</v>
      </c>
      <c r="D18" s="1111"/>
      <c r="E18" s="1133">
        <v>1</v>
      </c>
      <c r="F18" s="1112" t="s">
        <v>1650</v>
      </c>
      <c r="G18" s="1113"/>
      <c r="H18" s="1084"/>
      <c r="I18" s="1084"/>
    </row>
    <row r="19" spans="1:9" s="1580" customFormat="1" ht="19.5" customHeight="1">
      <c r="A19" s="3467"/>
      <c r="B19" s="3467" t="s">
        <v>1651</v>
      </c>
      <c r="C19" s="1110" t="s">
        <v>1652</v>
      </c>
      <c r="D19" s="1111"/>
      <c r="E19" s="1133">
        <v>0.9</v>
      </c>
      <c r="F19" s="1112" t="s">
        <v>1653</v>
      </c>
      <c r="G19" s="1113"/>
      <c r="H19" s="1084"/>
      <c r="I19" s="1084"/>
    </row>
    <row r="20" spans="1:9" s="1580" customFormat="1" ht="19.5" customHeight="1">
      <c r="A20" s="3467"/>
      <c r="B20" s="3467"/>
      <c r="C20" s="1110" t="s">
        <v>1654</v>
      </c>
      <c r="D20" s="1111"/>
      <c r="E20" s="1133">
        <v>1.1000000000000001</v>
      </c>
      <c r="F20" s="1112" t="s">
        <v>1655</v>
      </c>
      <c r="G20" s="1113"/>
      <c r="H20" s="1084"/>
      <c r="I20" s="1084"/>
    </row>
    <row r="21" spans="1:9" s="1580" customFormat="1" ht="19.5" customHeight="1">
      <c r="A21" s="3467"/>
      <c r="B21" s="3467"/>
      <c r="C21" s="1110" t="s">
        <v>1656</v>
      </c>
      <c r="D21" s="1111"/>
      <c r="E21" s="1133">
        <v>0.8</v>
      </c>
      <c r="F21" s="1112" t="s">
        <v>1657</v>
      </c>
      <c r="G21" s="1113"/>
      <c r="H21" s="1084"/>
      <c r="I21" s="1084"/>
    </row>
    <row r="22" spans="1:9" s="1580" customFormat="1" ht="19.5" customHeight="1">
      <c r="A22" s="3467"/>
      <c r="B22" s="3467"/>
      <c r="C22" s="1110" t="s">
        <v>1658</v>
      </c>
      <c r="D22" s="1111"/>
      <c r="E22" s="1133">
        <v>0.5</v>
      </c>
      <c r="F22" s="1112"/>
      <c r="G22" s="1113"/>
      <c r="H22" s="1084"/>
      <c r="I22" s="1084"/>
    </row>
    <row r="23" spans="1:9" s="1580" customFormat="1" ht="19.5" customHeight="1">
      <c r="A23" s="3467" t="s">
        <v>1229</v>
      </c>
      <c r="B23" s="1133" t="s">
        <v>1648</v>
      </c>
      <c r="C23" s="1110" t="s">
        <v>1659</v>
      </c>
      <c r="D23" s="1111"/>
      <c r="E23" s="1133">
        <v>1</v>
      </c>
      <c r="F23" s="1112" t="s">
        <v>1660</v>
      </c>
      <c r="G23" s="1113"/>
      <c r="H23" s="1084"/>
      <c r="I23" s="1084"/>
    </row>
    <row r="24" spans="1:9" s="1580" customFormat="1" ht="19.5" customHeight="1">
      <c r="A24" s="3467"/>
      <c r="B24" s="3467" t="s">
        <v>1651</v>
      </c>
      <c r="C24" s="1110" t="s">
        <v>1661</v>
      </c>
      <c r="D24" s="1111"/>
      <c r="E24" s="1133">
        <v>0.5</v>
      </c>
      <c r="F24" s="1112"/>
      <c r="G24" s="1113"/>
      <c r="H24" s="1084"/>
      <c r="I24" s="1084"/>
    </row>
    <row r="25" spans="1:9" s="1580" customFormat="1" ht="19.5" customHeight="1">
      <c r="A25" s="3467"/>
      <c r="B25" s="3467"/>
      <c r="C25" s="1110" t="s">
        <v>1662</v>
      </c>
      <c r="D25" s="1111"/>
      <c r="E25" s="1133">
        <v>1.1000000000000001</v>
      </c>
      <c r="F25" s="1112"/>
      <c r="G25" s="1113"/>
      <c r="H25" s="1084"/>
      <c r="I25" s="1084"/>
    </row>
    <row r="26" spans="1:9" s="1580" customFormat="1" ht="19.5" customHeight="1">
      <c r="A26" s="3467"/>
      <c r="B26" s="3467"/>
      <c r="C26" s="1110" t="s">
        <v>1663</v>
      </c>
      <c r="D26" s="1111"/>
      <c r="E26" s="1133">
        <v>1.1000000000000001</v>
      </c>
      <c r="F26" s="1112"/>
      <c r="G26" s="1113"/>
      <c r="H26" s="1084"/>
      <c r="I26" s="1084"/>
    </row>
    <row r="27" spans="1:9" s="1580" customFormat="1" ht="19.5" customHeight="1">
      <c r="A27" s="3467"/>
      <c r="B27" s="3467"/>
      <c r="C27" s="1110" t="s">
        <v>1664</v>
      </c>
      <c r="D27" s="1111"/>
      <c r="E27" s="1133">
        <v>0.9</v>
      </c>
      <c r="F27" s="1112" t="s">
        <v>1665</v>
      </c>
      <c r="G27" s="1113"/>
      <c r="H27" s="1084"/>
      <c r="I27" s="1084"/>
    </row>
    <row r="28" spans="1:9" s="1580" customFormat="1" ht="19.5" customHeight="1">
      <c r="A28" s="3467"/>
      <c r="B28" s="3467"/>
      <c r="C28" s="1110" t="s">
        <v>1666</v>
      </c>
      <c r="D28" s="1111"/>
      <c r="E28" s="1133">
        <v>0.9</v>
      </c>
      <c r="F28" s="1112" t="s">
        <v>1667</v>
      </c>
      <c r="G28" s="1113"/>
      <c r="H28" s="1084"/>
      <c r="I28" s="1084"/>
    </row>
    <row r="29" spans="1:9" s="1580" customFormat="1" ht="19.5" customHeight="1">
      <c r="A29" s="3467"/>
      <c r="B29" s="3467"/>
      <c r="C29" s="1110" t="s">
        <v>1668</v>
      </c>
      <c r="D29" s="1111"/>
      <c r="E29" s="1133">
        <v>0.9</v>
      </c>
      <c r="F29" s="1112" t="s">
        <v>1669</v>
      </c>
      <c r="G29" s="1113"/>
      <c r="H29" s="1084"/>
      <c r="I29" s="1084"/>
    </row>
    <row r="30" spans="1:9" s="1580" customFormat="1" ht="19.5" customHeight="1">
      <c r="A30" s="3467"/>
      <c r="B30" s="3467"/>
      <c r="C30" s="1110" t="s">
        <v>1670</v>
      </c>
      <c r="D30" s="1111"/>
      <c r="E30" s="1133">
        <v>0.9</v>
      </c>
      <c r="F30" s="1112" t="s">
        <v>1671</v>
      </c>
      <c r="G30" s="1113"/>
      <c r="H30" s="1084"/>
      <c r="I30" s="1084"/>
    </row>
    <row r="31" spans="1:9" s="1580" customFormat="1" ht="19.5" customHeight="1">
      <c r="A31" s="3467"/>
      <c r="B31" s="3467"/>
      <c r="C31" s="1110" t="s">
        <v>1672</v>
      </c>
      <c r="D31" s="1111"/>
      <c r="E31" s="1133">
        <v>0.8</v>
      </c>
      <c r="F31" s="1112" t="s">
        <v>1673</v>
      </c>
      <c r="G31" s="1113"/>
      <c r="H31" s="1084"/>
      <c r="I31" s="1084"/>
    </row>
    <row r="32" spans="1:9" s="1580" customFormat="1" ht="19.5" customHeight="1">
      <c r="A32" s="3467"/>
      <c r="B32" s="3467"/>
      <c r="C32" s="1110" t="s">
        <v>1674</v>
      </c>
      <c r="D32" s="1111"/>
      <c r="E32" s="1133">
        <v>0.8</v>
      </c>
      <c r="F32" s="1112" t="s">
        <v>1675</v>
      </c>
      <c r="G32" s="1113"/>
      <c r="H32" s="1084"/>
      <c r="I32" s="1084"/>
    </row>
    <row r="33" spans="1:9" s="1580" customFormat="1" ht="19.5" customHeight="1">
      <c r="A33" s="3467" t="s">
        <v>1676</v>
      </c>
      <c r="B33" s="1133" t="s">
        <v>1648</v>
      </c>
      <c r="C33" s="1110" t="s">
        <v>1677</v>
      </c>
      <c r="D33" s="1111"/>
      <c r="E33" s="1133">
        <v>1</v>
      </c>
      <c r="F33" s="1112" t="s">
        <v>1678</v>
      </c>
      <c r="G33" s="1113"/>
      <c r="H33" s="1084"/>
      <c r="I33" s="1084"/>
    </row>
    <row r="34" spans="1:9" s="1580" customFormat="1" ht="19.5" customHeight="1">
      <c r="A34" s="3467"/>
      <c r="B34" s="1133" t="s">
        <v>1651</v>
      </c>
      <c r="C34" s="1110" t="s">
        <v>1679</v>
      </c>
      <c r="D34" s="1111"/>
      <c r="E34" s="1133">
        <v>1.5</v>
      </c>
      <c r="F34" s="1112" t="s">
        <v>1680</v>
      </c>
      <c r="G34" s="1113"/>
      <c r="H34" s="1084"/>
      <c r="I34" s="1084"/>
    </row>
    <row r="35" spans="1:9" s="1580" customFormat="1" ht="19.5" customHeight="1">
      <c r="A35" s="3467" t="s">
        <v>1634</v>
      </c>
      <c r="B35" s="1133" t="s">
        <v>1648</v>
      </c>
      <c r="C35" s="1110" t="s">
        <v>1681</v>
      </c>
      <c r="D35" s="1111"/>
      <c r="E35" s="1133">
        <v>1</v>
      </c>
      <c r="F35" s="1112" t="s">
        <v>1682</v>
      </c>
      <c r="G35" s="1113"/>
      <c r="H35" s="1084"/>
      <c r="I35" s="1084"/>
    </row>
    <row r="36" spans="1:9" s="1580" customFormat="1" ht="19.5" customHeight="1">
      <c r="A36" s="3467"/>
      <c r="B36" s="3467" t="s">
        <v>1651</v>
      </c>
      <c r="C36" s="1110" t="s">
        <v>1683</v>
      </c>
      <c r="D36" s="1111"/>
      <c r="E36" s="1133">
        <v>1</v>
      </c>
      <c r="F36" s="1112" t="s">
        <v>1684</v>
      </c>
      <c r="G36" s="1113"/>
      <c r="H36" s="1084"/>
      <c r="I36" s="1084"/>
    </row>
    <row r="37" spans="1:9" s="1580" customFormat="1" ht="19.5" customHeight="1">
      <c r="A37" s="3467"/>
      <c r="B37" s="3467"/>
      <c r="C37" s="1110" t="s">
        <v>1685</v>
      </c>
      <c r="D37" s="1111"/>
      <c r="E37" s="1133">
        <v>1.5</v>
      </c>
      <c r="F37" s="1112" t="s">
        <v>1686</v>
      </c>
      <c r="G37" s="1113"/>
      <c r="H37" s="1084"/>
      <c r="I37" s="1084"/>
    </row>
    <row r="38" spans="1:9" s="1580" customFormat="1" ht="19.5" customHeight="1">
      <c r="A38" s="3467"/>
      <c r="B38" s="3467"/>
      <c r="C38" s="1110" t="s">
        <v>1687</v>
      </c>
      <c r="D38" s="1111"/>
      <c r="E38" s="1133">
        <v>1</v>
      </c>
      <c r="F38" s="1112" t="s">
        <v>1688</v>
      </c>
      <c r="G38" s="1113"/>
      <c r="H38" s="1084"/>
      <c r="I38" s="1084"/>
    </row>
    <row r="39" spans="1:9" s="1580" customFormat="1" ht="19.5" customHeight="1">
      <c r="A39" s="3467"/>
      <c r="B39" s="3467"/>
      <c r="C39" s="1110" t="s">
        <v>1689</v>
      </c>
      <c r="D39" s="1111"/>
      <c r="E39" s="1133">
        <v>1</v>
      </c>
      <c r="F39" s="1112" t="s">
        <v>1690</v>
      </c>
      <c r="G39" s="1113"/>
      <c r="H39" s="1084"/>
      <c r="I39" s="1084"/>
    </row>
    <row r="40" spans="1:9" s="1580" customFormat="1" ht="19.5" customHeight="1">
      <c r="A40" s="1581" t="s">
        <v>1691</v>
      </c>
      <c r="B40" s="1581"/>
      <c r="C40" s="1581"/>
      <c r="D40" s="1581"/>
      <c r="E40" s="1581"/>
      <c r="F40" s="1112"/>
      <c r="G40" s="1112"/>
      <c r="H40" s="1084"/>
      <c r="I40" s="1084"/>
    </row>
    <row r="42" spans="1:9" ht="19.5" customHeight="1">
      <c r="A42" s="1114"/>
      <c r="B42" s="1047" t="s">
        <v>1692</v>
      </c>
      <c r="C42" s="1047" t="s">
        <v>1692</v>
      </c>
      <c r="D42" s="1047" t="s">
        <v>1692</v>
      </c>
      <c r="E42" s="1132" t="s">
        <v>1692</v>
      </c>
      <c r="F42" s="1132" t="s">
        <v>1692</v>
      </c>
      <c r="G42" s="1132" t="s">
        <v>1693</v>
      </c>
      <c r="H42" s="1132" t="s">
        <v>1692</v>
      </c>
    </row>
    <row r="43" spans="1:9" ht="19.5" customHeight="1">
      <c r="A43" s="1115"/>
      <c r="B43" s="1132" t="s">
        <v>1205</v>
      </c>
      <c r="C43" s="1132" t="s">
        <v>1205</v>
      </c>
      <c r="D43" s="1132" t="s">
        <v>1205</v>
      </c>
      <c r="E43" s="1132" t="s">
        <v>1205</v>
      </c>
      <c r="F43" s="1047" t="s">
        <v>1229</v>
      </c>
      <c r="G43" s="1047" t="s">
        <v>1634</v>
      </c>
      <c r="H43" s="1047" t="s">
        <v>1694</v>
      </c>
    </row>
    <row r="44" spans="1:9" ht="19.5" customHeight="1">
      <c r="A44" s="1116"/>
      <c r="B44" s="1047">
        <v>1</v>
      </c>
      <c r="C44" s="1047">
        <v>2</v>
      </c>
      <c r="D44" s="1047">
        <v>3</v>
      </c>
      <c r="E44" s="1132">
        <v>4</v>
      </c>
      <c r="F44" s="1108" t="s">
        <v>1695</v>
      </c>
      <c r="G44" s="1108" t="s">
        <v>1695</v>
      </c>
      <c r="H44" s="1108" t="s">
        <v>1695</v>
      </c>
    </row>
    <row r="45" spans="1:9" ht="19.5" customHeight="1">
      <c r="A45" s="1131" t="s">
        <v>1101</v>
      </c>
      <c r="B45" s="1047">
        <v>0.8</v>
      </c>
      <c r="C45" s="1047">
        <v>0.5</v>
      </c>
      <c r="D45" s="1047">
        <v>0.36</v>
      </c>
      <c r="E45" s="1047">
        <v>0.3</v>
      </c>
      <c r="F45" s="1108">
        <v>0.3</v>
      </c>
      <c r="G45" s="1047">
        <v>0.3</v>
      </c>
      <c r="H45" s="1047">
        <v>0.25</v>
      </c>
    </row>
    <row r="46" spans="1:9" ht="19.5" customHeight="1">
      <c r="A46" s="1131" t="s">
        <v>1102</v>
      </c>
      <c r="B46" s="1047">
        <v>0.8</v>
      </c>
      <c r="C46" s="1047">
        <v>0.5</v>
      </c>
      <c r="D46" s="1047">
        <v>0.36</v>
      </c>
      <c r="E46" s="1047">
        <v>0.3</v>
      </c>
      <c r="F46" s="1047">
        <v>0.3</v>
      </c>
      <c r="G46" s="1047">
        <v>0.3</v>
      </c>
      <c r="H46" s="1047">
        <v>0.25</v>
      </c>
    </row>
    <row r="47" spans="1:9" ht="19.5" customHeight="1">
      <c r="A47" s="1131" t="s">
        <v>1103</v>
      </c>
      <c r="B47" s="1047">
        <v>0.7</v>
      </c>
      <c r="C47" s="1047">
        <v>0.4</v>
      </c>
      <c r="D47" s="1047">
        <v>0.28000000000000003</v>
      </c>
      <c r="E47" s="1047">
        <v>0.25</v>
      </c>
      <c r="F47" s="1047">
        <v>0.25</v>
      </c>
      <c r="G47" s="1047">
        <v>0.25</v>
      </c>
      <c r="H47" s="1047">
        <v>0.2</v>
      </c>
    </row>
    <row r="48" spans="1:9" ht="19.5" customHeight="1">
      <c r="A48" s="1131" t="s">
        <v>1104</v>
      </c>
      <c r="B48" s="1047">
        <v>0.7</v>
      </c>
      <c r="C48" s="1047">
        <v>0.4</v>
      </c>
      <c r="D48" s="1047">
        <v>0.28000000000000003</v>
      </c>
      <c r="E48" s="1047">
        <v>0.25</v>
      </c>
      <c r="F48" s="1047">
        <v>0.25</v>
      </c>
      <c r="G48" s="1047">
        <v>0.25</v>
      </c>
      <c r="H48" s="1047">
        <v>0.2</v>
      </c>
    </row>
    <row r="49" spans="1:8" s="1084" customFormat="1" ht="19.5" customHeight="1">
      <c r="A49" s="1131" t="s">
        <v>1105</v>
      </c>
      <c r="B49" s="1047">
        <v>0.7</v>
      </c>
      <c r="C49" s="1047">
        <v>0.4</v>
      </c>
      <c r="D49" s="1047">
        <v>0.28000000000000003</v>
      </c>
      <c r="E49" s="1047">
        <v>0.25</v>
      </c>
      <c r="F49" s="1047">
        <v>0.25</v>
      </c>
      <c r="G49" s="1047">
        <v>0.25</v>
      </c>
      <c r="H49" s="1047">
        <v>0.2</v>
      </c>
    </row>
    <row r="50" spans="1:8" s="1084" customFormat="1" ht="19.5" customHeight="1">
      <c r="A50" s="1131" t="s">
        <v>1106</v>
      </c>
      <c r="B50" s="1047">
        <v>0.7</v>
      </c>
      <c r="C50" s="1047">
        <v>0.4</v>
      </c>
      <c r="D50" s="1047">
        <v>0.28000000000000003</v>
      </c>
      <c r="E50" s="1047">
        <v>0.25</v>
      </c>
      <c r="F50" s="1047">
        <v>0.25</v>
      </c>
      <c r="G50" s="1047">
        <v>0.25</v>
      </c>
      <c r="H50" s="1047">
        <v>0.2</v>
      </c>
    </row>
    <row r="51" spans="1:8" s="1084" customFormat="1" ht="19.5" customHeight="1">
      <c r="A51" s="1131" t="s">
        <v>1107</v>
      </c>
      <c r="B51" s="1047">
        <v>0.7</v>
      </c>
      <c r="C51" s="1047">
        <v>0.4</v>
      </c>
      <c r="D51" s="1047">
        <v>0.28000000000000003</v>
      </c>
      <c r="E51" s="1047">
        <v>0.25</v>
      </c>
      <c r="F51" s="1047">
        <v>0.25</v>
      </c>
      <c r="G51" s="1047">
        <v>0.25</v>
      </c>
      <c r="H51" s="1047">
        <v>0.2</v>
      </c>
    </row>
    <row r="52" spans="1:8" s="1084" customFormat="1" ht="19.5" customHeight="1">
      <c r="A52" s="1131" t="s">
        <v>1108</v>
      </c>
      <c r="B52" s="1047">
        <v>0.6</v>
      </c>
      <c r="C52" s="1047">
        <v>0.3</v>
      </c>
      <c r="D52" s="1047">
        <v>0.2</v>
      </c>
      <c r="E52" s="1047">
        <v>0.2</v>
      </c>
      <c r="F52" s="1047">
        <v>0.2</v>
      </c>
      <c r="G52" s="1047">
        <v>0.2</v>
      </c>
      <c r="H52" s="1047">
        <v>0.15</v>
      </c>
    </row>
    <row r="53" spans="1:8" s="1084" customFormat="1" ht="19.5" customHeight="1">
      <c r="A53" s="1131" t="s">
        <v>1109</v>
      </c>
      <c r="B53" s="1047">
        <v>0.6</v>
      </c>
      <c r="C53" s="1047">
        <v>0.3</v>
      </c>
      <c r="D53" s="1047">
        <v>0.2</v>
      </c>
      <c r="E53" s="1047">
        <v>0.2</v>
      </c>
      <c r="F53" s="1047">
        <v>0.2</v>
      </c>
      <c r="G53" s="1047">
        <v>0.2</v>
      </c>
      <c r="H53" s="1047">
        <v>0.15</v>
      </c>
    </row>
    <row r="54" spans="1:8" s="1084" customFormat="1" ht="19.5" customHeight="1">
      <c r="A54" s="1131" t="s">
        <v>1110</v>
      </c>
      <c r="B54" s="1047">
        <v>0.6</v>
      </c>
      <c r="C54" s="1047">
        <v>0.3</v>
      </c>
      <c r="D54" s="1047">
        <v>0.2</v>
      </c>
      <c r="E54" s="1047">
        <v>0.2</v>
      </c>
      <c r="F54" s="1047">
        <v>0.2</v>
      </c>
      <c r="G54" s="1047">
        <v>0.2</v>
      </c>
      <c r="H54" s="1047">
        <v>0.15</v>
      </c>
    </row>
    <row r="55" spans="1:8" s="1084" customFormat="1" ht="19.5" customHeight="1">
      <c r="A55" s="1131" t="s">
        <v>1111</v>
      </c>
      <c r="B55" s="1047">
        <v>0.6</v>
      </c>
      <c r="C55" s="1047">
        <v>0.3</v>
      </c>
      <c r="D55" s="1047">
        <v>0.2</v>
      </c>
      <c r="E55" s="1047">
        <v>0.2</v>
      </c>
      <c r="F55" s="1047">
        <v>0.2</v>
      </c>
      <c r="G55" s="1047">
        <v>0.2</v>
      </c>
      <c r="H55" s="1047">
        <v>0.15</v>
      </c>
    </row>
    <row r="56" spans="1:8" s="1084" customFormat="1" ht="19.5" customHeight="1">
      <c r="A56" s="1131" t="s">
        <v>1112</v>
      </c>
      <c r="B56" s="1047">
        <v>0.6</v>
      </c>
      <c r="C56" s="1047">
        <v>0.3</v>
      </c>
      <c r="D56" s="1047">
        <v>0.2</v>
      </c>
      <c r="E56" s="1047">
        <v>0.2</v>
      </c>
      <c r="F56" s="1047">
        <v>0.2</v>
      </c>
      <c r="G56" s="1047">
        <v>0.2</v>
      </c>
      <c r="H56" s="1047">
        <v>0.15</v>
      </c>
    </row>
    <row r="58" spans="1:8" s="1084" customFormat="1" ht="19.5" customHeight="1">
      <c r="A58" s="1117"/>
      <c r="B58" s="1105"/>
      <c r="C58" s="1105"/>
      <c r="D58" s="1105" t="s">
        <v>1696</v>
      </c>
      <c r="E58" s="1105"/>
      <c r="F58" s="1105"/>
    </row>
    <row r="59" spans="1:8" s="1084" customFormat="1" ht="19.5" customHeight="1">
      <c r="A59" s="1133" t="s">
        <v>1697</v>
      </c>
      <c r="B59" s="1133" t="s">
        <v>1698</v>
      </c>
      <c r="C59" s="1133" t="s">
        <v>1699</v>
      </c>
      <c r="D59" s="1133" t="s">
        <v>1700</v>
      </c>
      <c r="E59" s="1133" t="s">
        <v>1701</v>
      </c>
      <c r="F59" s="1133" t="s">
        <v>1702</v>
      </c>
    </row>
    <row r="60" spans="1:8" s="1084" customFormat="1" ht="19.5" customHeight="1">
      <c r="A60" s="1133"/>
      <c r="B60" s="1133"/>
      <c r="C60" s="1133" t="s">
        <v>1834</v>
      </c>
      <c r="D60" s="1133"/>
      <c r="E60" s="1118" t="s">
        <v>1643</v>
      </c>
      <c r="F60" s="1133" t="s">
        <v>1643</v>
      </c>
    </row>
    <row r="61" spans="1:8" s="1084" customFormat="1" ht="24">
      <c r="A61" s="1133">
        <v>1</v>
      </c>
      <c r="B61" s="3467" t="s">
        <v>1703</v>
      </c>
      <c r="C61" s="1047" t="s">
        <v>1704</v>
      </c>
      <c r="D61" s="1047" t="s">
        <v>1705</v>
      </c>
      <c r="E61" s="1118">
        <v>0.5</v>
      </c>
      <c r="F61" s="1133">
        <v>80</v>
      </c>
      <c r="H61" s="1084">
        <f>SUMIF(C59:C119,基准地价!C8,E59:E119)</f>
        <v>0</v>
      </c>
    </row>
    <row r="62" spans="1:8" s="1084" customFormat="1" ht="24">
      <c r="A62" s="1133">
        <v>2</v>
      </c>
      <c r="B62" s="3467"/>
      <c r="C62" s="1047" t="s">
        <v>1706</v>
      </c>
      <c r="D62" s="1047" t="s">
        <v>1707</v>
      </c>
      <c r="E62" s="1118">
        <v>0.5</v>
      </c>
      <c r="F62" s="1133">
        <v>80</v>
      </c>
    </row>
    <row r="63" spans="1:8" s="1084" customFormat="1" ht="36">
      <c r="A63" s="1133">
        <v>3</v>
      </c>
      <c r="B63" s="3467"/>
      <c r="C63" s="1047" t="s">
        <v>1708</v>
      </c>
      <c r="D63" s="1047" t="s">
        <v>1709</v>
      </c>
      <c r="E63" s="1118">
        <v>0.5</v>
      </c>
      <c r="F63" s="1133">
        <v>80</v>
      </c>
    </row>
    <row r="64" spans="1:8" s="1084" customFormat="1" ht="36">
      <c r="A64" s="1133">
        <v>4</v>
      </c>
      <c r="B64" s="3467"/>
      <c r="C64" s="1047" t="s">
        <v>1710</v>
      </c>
      <c r="D64" s="1047" t="s">
        <v>1711</v>
      </c>
      <c r="E64" s="1118">
        <v>0.4</v>
      </c>
      <c r="F64" s="1133">
        <v>60</v>
      </c>
    </row>
    <row r="65" spans="1:6" s="1084" customFormat="1" ht="36">
      <c r="A65" s="1133">
        <v>5</v>
      </c>
      <c r="B65" s="3467"/>
      <c r="C65" s="1047" t="s">
        <v>1712</v>
      </c>
      <c r="D65" s="1047" t="s">
        <v>1713</v>
      </c>
      <c r="E65" s="1118">
        <v>0.2</v>
      </c>
      <c r="F65" s="1133">
        <v>30</v>
      </c>
    </row>
    <row r="66" spans="1:6" s="1084" customFormat="1" ht="36">
      <c r="A66" s="1133">
        <v>6</v>
      </c>
      <c r="B66" s="3467"/>
      <c r="C66" s="1047" t="s">
        <v>1714</v>
      </c>
      <c r="D66" s="1047" t="s">
        <v>1715</v>
      </c>
      <c r="E66" s="1118">
        <v>0.3</v>
      </c>
      <c r="F66" s="1133">
        <v>50</v>
      </c>
    </row>
    <row r="67" spans="1:6" s="1084" customFormat="1" ht="36">
      <c r="A67" s="1133">
        <v>7</v>
      </c>
      <c r="B67" s="3467"/>
      <c r="C67" s="1047" t="s">
        <v>1716</v>
      </c>
      <c r="D67" s="1047" t="s">
        <v>1717</v>
      </c>
      <c r="E67" s="1118">
        <v>0.2</v>
      </c>
      <c r="F67" s="1133">
        <v>30</v>
      </c>
    </row>
    <row r="68" spans="1:6" s="1084" customFormat="1" ht="36">
      <c r="A68" s="1133">
        <v>8</v>
      </c>
      <c r="B68" s="3467"/>
      <c r="C68" s="1047" t="s">
        <v>1718</v>
      </c>
      <c r="D68" s="1047" t="s">
        <v>1719</v>
      </c>
      <c r="E68" s="1118">
        <v>0.2</v>
      </c>
      <c r="F68" s="1133">
        <v>30</v>
      </c>
    </row>
    <row r="69" spans="1:6" s="1084" customFormat="1" ht="36">
      <c r="A69" s="1133">
        <v>9</v>
      </c>
      <c r="B69" s="3467"/>
      <c r="C69" s="1047" t="s">
        <v>1720</v>
      </c>
      <c r="D69" s="1047" t="s">
        <v>1721</v>
      </c>
      <c r="E69" s="1118">
        <v>0.2</v>
      </c>
      <c r="F69" s="1133">
        <v>30</v>
      </c>
    </row>
    <row r="70" spans="1:6" s="1084" customFormat="1" ht="48">
      <c r="A70" s="1133">
        <v>10</v>
      </c>
      <c r="B70" s="3467"/>
      <c r="C70" s="1047" t="s">
        <v>1722</v>
      </c>
      <c r="D70" s="1047" t="s">
        <v>1723</v>
      </c>
      <c r="E70" s="1118">
        <v>0.2</v>
      </c>
      <c r="F70" s="1133">
        <v>30</v>
      </c>
    </row>
    <row r="71" spans="1:6" s="1084" customFormat="1" ht="48">
      <c r="A71" s="1133">
        <v>11</v>
      </c>
      <c r="B71" s="3467"/>
      <c r="C71" s="1047" t="s">
        <v>1724</v>
      </c>
      <c r="D71" s="1047" t="s">
        <v>1725</v>
      </c>
      <c r="E71" s="1118">
        <v>0.2</v>
      </c>
      <c r="F71" s="1133">
        <v>30</v>
      </c>
    </row>
    <row r="72" spans="1:6" s="1084" customFormat="1" ht="36">
      <c r="A72" s="1133">
        <v>12</v>
      </c>
      <c r="B72" s="3467"/>
      <c r="C72" s="1047" t="s">
        <v>1726</v>
      </c>
      <c r="D72" s="1047" t="s">
        <v>1727</v>
      </c>
      <c r="E72" s="1118">
        <v>0.5</v>
      </c>
      <c r="F72" s="1133">
        <v>80</v>
      </c>
    </row>
    <row r="73" spans="1:6" s="1084" customFormat="1" ht="24">
      <c r="A73" s="1133">
        <v>13</v>
      </c>
      <c r="B73" s="3467"/>
      <c r="C73" s="1047" t="s">
        <v>1728</v>
      </c>
      <c r="D73" s="1047" t="s">
        <v>1729</v>
      </c>
      <c r="E73" s="1118">
        <v>0.4</v>
      </c>
      <c r="F73" s="1133">
        <v>60</v>
      </c>
    </row>
    <row r="74" spans="1:6" s="1084" customFormat="1" ht="24">
      <c r="A74" s="1133">
        <v>14</v>
      </c>
      <c r="B74" s="3467"/>
      <c r="C74" s="1047" t="s">
        <v>1730</v>
      </c>
      <c r="D74" s="1047" t="s">
        <v>1731</v>
      </c>
      <c r="E74" s="1118">
        <v>0.2</v>
      </c>
      <c r="F74" s="1133">
        <v>30</v>
      </c>
    </row>
    <row r="75" spans="1:6" s="1084" customFormat="1" ht="24">
      <c r="A75" s="1133">
        <v>15</v>
      </c>
      <c r="B75" s="3467"/>
      <c r="C75" s="1047" t="s">
        <v>1732</v>
      </c>
      <c r="D75" s="1047" t="s">
        <v>1733</v>
      </c>
      <c r="E75" s="1118">
        <v>0.2</v>
      </c>
      <c r="F75" s="1133">
        <v>30</v>
      </c>
    </row>
    <row r="76" spans="1:6" s="1084" customFormat="1" ht="24">
      <c r="A76" s="1133">
        <v>16</v>
      </c>
      <c r="B76" s="3467" t="s">
        <v>1734</v>
      </c>
      <c r="C76" s="1047" t="s">
        <v>1735</v>
      </c>
      <c r="D76" s="1047" t="s">
        <v>1736</v>
      </c>
      <c r="E76" s="1118">
        <v>0.5</v>
      </c>
      <c r="F76" s="1133">
        <v>80</v>
      </c>
    </row>
    <row r="77" spans="1:6" s="1084" customFormat="1" ht="24">
      <c r="A77" s="1133">
        <v>17</v>
      </c>
      <c r="B77" s="3467"/>
      <c r="C77" s="1047" t="s">
        <v>1737</v>
      </c>
      <c r="D77" s="1047" t="s">
        <v>1738</v>
      </c>
      <c r="E77" s="1118">
        <v>0.5</v>
      </c>
      <c r="F77" s="1133">
        <v>80</v>
      </c>
    </row>
    <row r="78" spans="1:6" s="1084" customFormat="1" ht="24">
      <c r="A78" s="1133">
        <v>18</v>
      </c>
      <c r="B78" s="3467"/>
      <c r="C78" s="1047" t="s">
        <v>1739</v>
      </c>
      <c r="D78" s="1047" t="s">
        <v>1740</v>
      </c>
      <c r="E78" s="1118">
        <v>0.2</v>
      </c>
      <c r="F78" s="1133">
        <v>30</v>
      </c>
    </row>
    <row r="79" spans="1:6" s="1084" customFormat="1" ht="24">
      <c r="A79" s="1133">
        <v>19</v>
      </c>
      <c r="B79" s="3467"/>
      <c r="C79" s="1047" t="s">
        <v>1741</v>
      </c>
      <c r="D79" s="1047" t="s">
        <v>1742</v>
      </c>
      <c r="E79" s="1118">
        <v>0.5</v>
      </c>
      <c r="F79" s="1133">
        <v>80</v>
      </c>
    </row>
    <row r="80" spans="1:6" s="1084" customFormat="1" ht="36">
      <c r="A80" s="1133">
        <v>20</v>
      </c>
      <c r="B80" s="3467"/>
      <c r="C80" s="1047" t="s">
        <v>1743</v>
      </c>
      <c r="D80" s="1047" t="s">
        <v>1744</v>
      </c>
      <c r="E80" s="1118">
        <v>0.2</v>
      </c>
      <c r="F80" s="1133">
        <v>30</v>
      </c>
    </row>
    <row r="81" spans="1:6" s="1084" customFormat="1" ht="36">
      <c r="A81" s="1133">
        <v>21</v>
      </c>
      <c r="B81" s="3467"/>
      <c r="C81" s="1047" t="s">
        <v>1745</v>
      </c>
      <c r="D81" s="1047" t="s">
        <v>1746</v>
      </c>
      <c r="E81" s="1118">
        <v>0.2</v>
      </c>
      <c r="F81" s="1133">
        <v>30</v>
      </c>
    </row>
    <row r="82" spans="1:6" s="1084" customFormat="1" ht="48">
      <c r="A82" s="1133">
        <v>22</v>
      </c>
      <c r="B82" s="3467"/>
      <c r="C82" s="1047" t="s">
        <v>1747</v>
      </c>
      <c r="D82" s="1047" t="s">
        <v>1748</v>
      </c>
      <c r="E82" s="1118">
        <v>0.2</v>
      </c>
      <c r="F82" s="1133">
        <v>30</v>
      </c>
    </row>
    <row r="83" spans="1:6" s="1084" customFormat="1" ht="48">
      <c r="A83" s="1133">
        <v>23</v>
      </c>
      <c r="B83" s="3467"/>
      <c r="C83" s="1047" t="s">
        <v>1749</v>
      </c>
      <c r="D83" s="1047" t="s">
        <v>1750</v>
      </c>
      <c r="E83" s="1118">
        <v>0.2</v>
      </c>
      <c r="F83" s="1133">
        <v>30</v>
      </c>
    </row>
    <row r="84" spans="1:6" s="1084" customFormat="1" ht="36">
      <c r="A84" s="1133">
        <v>24</v>
      </c>
      <c r="B84" s="3467"/>
      <c r="C84" s="1047" t="s">
        <v>1751</v>
      </c>
      <c r="D84" s="1047" t="s">
        <v>1752</v>
      </c>
      <c r="E84" s="1118">
        <v>0.2</v>
      </c>
      <c r="F84" s="1133">
        <v>30</v>
      </c>
    </row>
    <row r="85" spans="1:6" s="1084" customFormat="1" ht="36">
      <c r="A85" s="1133">
        <v>25</v>
      </c>
      <c r="B85" s="3467"/>
      <c r="C85" s="1047" t="s">
        <v>1753</v>
      </c>
      <c r="D85" s="1047" t="s">
        <v>1754</v>
      </c>
      <c r="E85" s="1118">
        <v>0.5</v>
      </c>
      <c r="F85" s="1133">
        <v>80</v>
      </c>
    </row>
    <row r="86" spans="1:6" s="1084" customFormat="1" ht="36">
      <c r="A86" s="1133">
        <v>26</v>
      </c>
      <c r="B86" s="3467"/>
      <c r="C86" s="1047" t="s">
        <v>1755</v>
      </c>
      <c r="D86" s="1047" t="s">
        <v>1756</v>
      </c>
      <c r="E86" s="1118">
        <v>0.2</v>
      </c>
      <c r="F86" s="1133">
        <v>30</v>
      </c>
    </row>
    <row r="87" spans="1:6" s="1084" customFormat="1" ht="36">
      <c r="A87" s="1133">
        <v>27</v>
      </c>
      <c r="B87" s="3467"/>
      <c r="C87" s="1047" t="s">
        <v>1757</v>
      </c>
      <c r="D87" s="1047" t="s">
        <v>1758</v>
      </c>
      <c r="E87" s="1118">
        <v>0.2</v>
      </c>
      <c r="F87" s="1133">
        <v>30</v>
      </c>
    </row>
    <row r="88" spans="1:6" s="1084" customFormat="1" ht="36">
      <c r="A88" s="1133">
        <v>28</v>
      </c>
      <c r="B88" s="3467"/>
      <c r="C88" s="1047" t="s">
        <v>1759</v>
      </c>
      <c r="D88" s="1047" t="s">
        <v>1760</v>
      </c>
      <c r="E88" s="1118">
        <v>0.2</v>
      </c>
      <c r="F88" s="1133">
        <v>30</v>
      </c>
    </row>
    <row r="89" spans="1:6" s="1084" customFormat="1" ht="24">
      <c r="A89" s="1133">
        <v>29</v>
      </c>
      <c r="B89" s="3467"/>
      <c r="C89" s="1047" t="s">
        <v>1761</v>
      </c>
      <c r="D89" s="1047" t="s">
        <v>1762</v>
      </c>
      <c r="E89" s="1118">
        <v>0.2</v>
      </c>
      <c r="F89" s="1133">
        <v>30</v>
      </c>
    </row>
    <row r="90" spans="1:6" s="1084" customFormat="1" ht="24">
      <c r="A90" s="1133">
        <v>30</v>
      </c>
      <c r="B90" s="3467"/>
      <c r="C90" s="1047" t="s">
        <v>1763</v>
      </c>
      <c r="D90" s="1047" t="s">
        <v>1764</v>
      </c>
      <c r="E90" s="1118">
        <v>0.2</v>
      </c>
      <c r="F90" s="1133">
        <v>30</v>
      </c>
    </row>
    <row r="91" spans="1:6" s="1084" customFormat="1" ht="36">
      <c r="A91" s="1133">
        <v>31</v>
      </c>
      <c r="B91" s="3467"/>
      <c r="C91" s="1047" t="s">
        <v>1765</v>
      </c>
      <c r="D91" s="1047" t="s">
        <v>1766</v>
      </c>
      <c r="E91" s="1118">
        <v>0.2</v>
      </c>
      <c r="F91" s="1133">
        <v>30</v>
      </c>
    </row>
    <row r="92" spans="1:6" s="1084" customFormat="1" ht="24">
      <c r="A92" s="1133">
        <v>32</v>
      </c>
      <c r="B92" s="3467" t="s">
        <v>1767</v>
      </c>
      <c r="C92" s="1133" t="s">
        <v>1768</v>
      </c>
      <c r="D92" s="1047" t="s">
        <v>1769</v>
      </c>
      <c r="E92" s="1118">
        <v>0.2</v>
      </c>
      <c r="F92" s="1133">
        <v>30</v>
      </c>
    </row>
    <row r="93" spans="1:6" s="1084" customFormat="1" ht="36">
      <c r="A93" s="1133">
        <v>33</v>
      </c>
      <c r="B93" s="3467"/>
      <c r="C93" s="1133" t="s">
        <v>1770</v>
      </c>
      <c r="D93" s="1047" t="s">
        <v>1771</v>
      </c>
      <c r="E93" s="1118">
        <v>0.2</v>
      </c>
      <c r="F93" s="1133">
        <v>30</v>
      </c>
    </row>
    <row r="94" spans="1:6" s="1084" customFormat="1" ht="48">
      <c r="A94" s="1133">
        <v>34</v>
      </c>
      <c r="B94" s="3467"/>
      <c r="C94" s="1133" t="s">
        <v>1772</v>
      </c>
      <c r="D94" s="1047" t="s">
        <v>1773</v>
      </c>
      <c r="E94" s="1118">
        <v>0.2</v>
      </c>
      <c r="F94" s="1133">
        <v>30</v>
      </c>
    </row>
    <row r="95" spans="1:6" s="1084" customFormat="1" ht="36">
      <c r="A95" s="1133">
        <v>35</v>
      </c>
      <c r="B95" s="3467"/>
      <c r="C95" s="1133" t="s">
        <v>1774</v>
      </c>
      <c r="D95" s="1047" t="s">
        <v>1775</v>
      </c>
      <c r="E95" s="1118">
        <v>0.2</v>
      </c>
      <c r="F95" s="1133">
        <v>30</v>
      </c>
    </row>
    <row r="96" spans="1:6" s="1084" customFormat="1" ht="48">
      <c r="A96" s="1133">
        <v>36</v>
      </c>
      <c r="B96" s="3467"/>
      <c r="C96" s="1047" t="s">
        <v>1776</v>
      </c>
      <c r="D96" s="1047" t="s">
        <v>1777</v>
      </c>
      <c r="E96" s="1118">
        <v>0.2</v>
      </c>
      <c r="F96" s="1133">
        <v>30</v>
      </c>
    </row>
    <row r="97" spans="1:6" s="1084" customFormat="1" ht="36">
      <c r="A97" s="1133">
        <v>37</v>
      </c>
      <c r="B97" s="3467"/>
      <c r="C97" s="1133" t="s">
        <v>1778</v>
      </c>
      <c r="D97" s="1047" t="s">
        <v>1779</v>
      </c>
      <c r="E97" s="1118">
        <v>0.2</v>
      </c>
      <c r="F97" s="1133">
        <v>30</v>
      </c>
    </row>
    <row r="98" spans="1:6" s="1084" customFormat="1" ht="36">
      <c r="A98" s="1133">
        <v>38</v>
      </c>
      <c r="B98" s="3467"/>
      <c r="C98" s="1133" t="s">
        <v>1780</v>
      </c>
      <c r="D98" s="1047" t="s">
        <v>1781</v>
      </c>
      <c r="E98" s="1118">
        <v>0.2</v>
      </c>
      <c r="F98" s="1133">
        <v>30</v>
      </c>
    </row>
    <row r="99" spans="1:6" s="1084" customFormat="1" ht="36">
      <c r="A99" s="1133">
        <v>39</v>
      </c>
      <c r="B99" s="3467" t="s">
        <v>1782</v>
      </c>
      <c r="C99" s="1133" t="s">
        <v>1783</v>
      </c>
      <c r="D99" s="1047" t="s">
        <v>1784</v>
      </c>
      <c r="E99" s="1118">
        <v>0.3</v>
      </c>
      <c r="F99" s="1133">
        <v>50</v>
      </c>
    </row>
    <row r="100" spans="1:6" s="1084" customFormat="1" ht="24">
      <c r="A100" s="1133">
        <v>40</v>
      </c>
      <c r="B100" s="3467"/>
      <c r="C100" s="1133" t="s">
        <v>1785</v>
      </c>
      <c r="D100" s="1047" t="s">
        <v>1786</v>
      </c>
      <c r="E100" s="1118">
        <v>0.2</v>
      </c>
      <c r="F100" s="1133">
        <v>30</v>
      </c>
    </row>
    <row r="101" spans="1:6" s="1084" customFormat="1" ht="36">
      <c r="A101" s="1133">
        <v>41</v>
      </c>
      <c r="B101" s="3467"/>
      <c r="C101" s="1133" t="s">
        <v>1787</v>
      </c>
      <c r="D101" s="1047" t="s">
        <v>1784</v>
      </c>
      <c r="E101" s="1118">
        <v>0.2</v>
      </c>
      <c r="F101" s="1133">
        <v>30</v>
      </c>
    </row>
    <row r="102" spans="1:6" s="1084" customFormat="1" ht="48">
      <c r="A102" s="1133">
        <v>42</v>
      </c>
      <c r="B102" s="1133" t="s">
        <v>1788</v>
      </c>
      <c r="C102" s="1047" t="s">
        <v>1789</v>
      </c>
      <c r="D102" s="1047" t="s">
        <v>1790</v>
      </c>
      <c r="E102" s="1118">
        <v>0.2</v>
      </c>
      <c r="F102" s="1133">
        <v>30</v>
      </c>
    </row>
    <row r="103" spans="1:6" s="1084" customFormat="1" ht="24">
      <c r="A103" s="1133">
        <v>43</v>
      </c>
      <c r="B103" s="1133" t="s">
        <v>1791</v>
      </c>
      <c r="C103" s="1133" t="s">
        <v>1792</v>
      </c>
      <c r="D103" s="1047" t="s">
        <v>1793</v>
      </c>
      <c r="E103" s="1118">
        <v>0.2</v>
      </c>
      <c r="F103" s="1133">
        <v>30</v>
      </c>
    </row>
    <row r="104" spans="1:6" s="1084" customFormat="1" ht="36">
      <c r="A104" s="1133">
        <v>44</v>
      </c>
      <c r="B104" s="1133" t="s">
        <v>1794</v>
      </c>
      <c r="C104" s="1133" t="s">
        <v>1795</v>
      </c>
      <c r="D104" s="1047" t="s">
        <v>1796</v>
      </c>
      <c r="E104" s="1118">
        <v>0.2</v>
      </c>
      <c r="F104" s="1133">
        <v>30</v>
      </c>
    </row>
    <row r="105" spans="1:6" s="1084" customFormat="1" ht="36">
      <c r="A105" s="1133">
        <v>45</v>
      </c>
      <c r="B105" s="3467" t="s">
        <v>1797</v>
      </c>
      <c r="C105" s="1133" t="s">
        <v>1798</v>
      </c>
      <c r="D105" s="1047" t="s">
        <v>1799</v>
      </c>
      <c r="E105" s="1118">
        <v>0.2</v>
      </c>
      <c r="F105" s="1133">
        <v>30</v>
      </c>
    </row>
    <row r="106" spans="1:6" s="1084" customFormat="1" ht="36">
      <c r="A106" s="1133">
        <v>46</v>
      </c>
      <c r="B106" s="3467"/>
      <c r="C106" s="1133" t="s">
        <v>1800</v>
      </c>
      <c r="D106" s="1047" t="s">
        <v>1801</v>
      </c>
      <c r="E106" s="1118">
        <v>0.2</v>
      </c>
      <c r="F106" s="1133">
        <v>30</v>
      </c>
    </row>
    <row r="107" spans="1:6" s="1084" customFormat="1" ht="36">
      <c r="A107" s="1133">
        <v>47</v>
      </c>
      <c r="B107" s="3467" t="s">
        <v>1802</v>
      </c>
      <c r="C107" s="1133" t="s">
        <v>1803</v>
      </c>
      <c r="D107" s="1047" t="s">
        <v>1804</v>
      </c>
      <c r="E107" s="1118">
        <v>0.3</v>
      </c>
      <c r="F107" s="1133">
        <v>50</v>
      </c>
    </row>
    <row r="108" spans="1:6" s="1084" customFormat="1" ht="36">
      <c r="A108" s="1133">
        <v>48</v>
      </c>
      <c r="B108" s="3467"/>
      <c r="C108" s="1133" t="s">
        <v>1805</v>
      </c>
      <c r="D108" s="1047" t="s">
        <v>1806</v>
      </c>
      <c r="E108" s="1118">
        <v>0.2</v>
      </c>
      <c r="F108" s="1133">
        <v>30</v>
      </c>
    </row>
    <row r="109" spans="1:6" s="1084" customFormat="1" ht="36">
      <c r="A109" s="1133">
        <v>49</v>
      </c>
      <c r="B109" s="1133" t="s">
        <v>1807</v>
      </c>
      <c r="C109" s="1133" t="s">
        <v>1808</v>
      </c>
      <c r="D109" s="1047" t="s">
        <v>1809</v>
      </c>
      <c r="E109" s="1118">
        <v>0.2</v>
      </c>
      <c r="F109" s="1133">
        <v>30</v>
      </c>
    </row>
    <row r="110" spans="1:6" s="1084" customFormat="1" ht="36">
      <c r="A110" s="1133">
        <v>50</v>
      </c>
      <c r="B110" s="1133" t="s">
        <v>1810</v>
      </c>
      <c r="C110" s="1133" t="s">
        <v>1811</v>
      </c>
      <c r="D110" s="1047" t="s">
        <v>1812</v>
      </c>
      <c r="E110" s="1118">
        <v>0.2</v>
      </c>
      <c r="F110" s="1133">
        <v>30</v>
      </c>
    </row>
    <row r="111" spans="1:6" s="1084" customFormat="1" ht="36">
      <c r="A111" s="1133">
        <v>51</v>
      </c>
      <c r="B111" s="3467" t="s">
        <v>1813</v>
      </c>
      <c r="C111" s="1133" t="s">
        <v>1814</v>
      </c>
      <c r="D111" s="1047" t="s">
        <v>1815</v>
      </c>
      <c r="E111" s="1118">
        <v>0.2</v>
      </c>
      <c r="F111" s="1133">
        <v>30</v>
      </c>
    </row>
    <row r="112" spans="1:6" s="1084" customFormat="1" ht="24">
      <c r="A112" s="1133">
        <v>52</v>
      </c>
      <c r="B112" s="3467"/>
      <c r="C112" s="1133" t="s">
        <v>1816</v>
      </c>
      <c r="D112" s="1047" t="s">
        <v>1817</v>
      </c>
      <c r="E112" s="1118">
        <v>0.2</v>
      </c>
      <c r="F112" s="1133">
        <v>30</v>
      </c>
    </row>
    <row r="113" spans="1:14" s="1084" customFormat="1" ht="24">
      <c r="A113" s="1133">
        <v>53</v>
      </c>
      <c r="B113" s="3467"/>
      <c r="C113" s="1133" t="s">
        <v>1818</v>
      </c>
      <c r="D113" s="1047" t="s">
        <v>1819</v>
      </c>
      <c r="E113" s="1118">
        <v>0.2</v>
      </c>
      <c r="F113" s="1133">
        <v>30</v>
      </c>
    </row>
    <row r="114" spans="1:14" ht="36">
      <c r="A114" s="1133">
        <v>54</v>
      </c>
      <c r="B114" s="1133" t="s">
        <v>1820</v>
      </c>
      <c r="C114" s="1133" t="s">
        <v>1821</v>
      </c>
      <c r="D114" s="1047" t="s">
        <v>1822</v>
      </c>
      <c r="E114" s="1118">
        <v>0.2</v>
      </c>
      <c r="F114" s="1133">
        <v>30</v>
      </c>
    </row>
    <row r="115" spans="1:14" ht="24">
      <c r="A115" s="1133">
        <v>55</v>
      </c>
      <c r="B115" s="1133" t="s">
        <v>1823</v>
      </c>
      <c r="C115" s="1133" t="s">
        <v>1824</v>
      </c>
      <c r="D115" s="1047" t="s">
        <v>1825</v>
      </c>
      <c r="E115" s="1118">
        <v>0.2</v>
      </c>
      <c r="F115" s="1133">
        <v>30</v>
      </c>
    </row>
    <row r="116" spans="1:14" ht="24">
      <c r="A116" s="1133">
        <v>56</v>
      </c>
      <c r="B116" s="3467" t="s">
        <v>1826</v>
      </c>
      <c r="C116" s="1133" t="s">
        <v>1827</v>
      </c>
      <c r="D116" s="1047" t="s">
        <v>1828</v>
      </c>
      <c r="E116" s="1118">
        <v>0.2</v>
      </c>
      <c r="F116" s="1133">
        <v>30</v>
      </c>
    </row>
    <row r="117" spans="1:14" ht="36">
      <c r="A117" s="1133">
        <v>57</v>
      </c>
      <c r="B117" s="3467"/>
      <c r="C117" s="1133" t="s">
        <v>1829</v>
      </c>
      <c r="D117" s="1047" t="s">
        <v>1830</v>
      </c>
      <c r="E117" s="1118">
        <v>0.2</v>
      </c>
      <c r="F117" s="1133">
        <v>30</v>
      </c>
    </row>
    <row r="118" spans="1:14" ht="36">
      <c r="A118" s="1133">
        <v>58</v>
      </c>
      <c r="B118" s="1133" t="s">
        <v>1831</v>
      </c>
      <c r="C118" s="1133" t="s">
        <v>1832</v>
      </c>
      <c r="D118" s="1047" t="s">
        <v>1833</v>
      </c>
      <c r="E118" s="1118">
        <v>0.2</v>
      </c>
      <c r="F118" s="1133">
        <v>30</v>
      </c>
    </row>
    <row r="119" spans="1:14" ht="13.5">
      <c r="A119" s="1133"/>
      <c r="B119" s="1133"/>
      <c r="C119" s="1133"/>
      <c r="D119" s="1133"/>
      <c r="E119" s="1118"/>
      <c r="F119" s="1133"/>
    </row>
    <row r="121" spans="1:14" ht="19.5" customHeight="1">
      <c r="A121" s="3466" t="s">
        <v>1835</v>
      </c>
      <c r="B121" s="3466"/>
      <c r="C121" s="3466"/>
      <c r="D121" s="3466"/>
      <c r="E121" s="3466"/>
      <c r="F121" s="3466"/>
      <c r="G121" s="3466"/>
      <c r="H121" s="3466"/>
      <c r="I121" s="3466"/>
      <c r="J121" s="3466"/>
      <c r="K121" s="1134"/>
      <c r="L121" s="1134"/>
      <c r="M121" s="1134"/>
      <c r="N121" s="113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84" customWidth="1"/>
    <col min="2" max="5" width="10.25" style="1045" customWidth="1"/>
    <col min="6" max="6" width="9" style="1045"/>
    <col min="7" max="7" width="9" style="1048"/>
    <col min="8" max="8" width="9" style="1045"/>
    <col min="9" max="9" width="9" style="1048"/>
    <col min="10" max="16384" width="9" style="1045"/>
  </cols>
  <sheetData>
    <row r="1" spans="1:20">
      <c r="A1" s="3468" t="s">
        <v>1241</v>
      </c>
      <c r="B1" s="3468"/>
      <c r="C1" s="3468"/>
      <c r="D1" s="3468"/>
      <c r="E1" s="3468"/>
      <c r="F1" s="3468"/>
      <c r="H1" s="1049"/>
      <c r="I1" s="1050" t="s">
        <v>1242</v>
      </c>
      <c r="J1" s="1051" t="s">
        <v>1243</v>
      </c>
      <c r="K1" s="1051" t="s">
        <v>1244</v>
      </c>
      <c r="L1" s="1051" t="s">
        <v>1245</v>
      </c>
      <c r="M1" s="1051" t="s">
        <v>1246</v>
      </c>
      <c r="N1" s="1051" t="s">
        <v>1247</v>
      </c>
      <c r="O1" s="1051" t="s">
        <v>1248</v>
      </c>
      <c r="P1" s="1051" t="s">
        <v>1249</v>
      </c>
      <c r="Q1" s="1051" t="s">
        <v>1250</v>
      </c>
      <c r="R1" s="1051" t="s">
        <v>1251</v>
      </c>
      <c r="S1" s="1051" t="s">
        <v>1252</v>
      </c>
      <c r="T1" s="1052" t="s">
        <v>1253</v>
      </c>
    </row>
    <row r="2" spans="1:20" ht="14.25" thickBot="1">
      <c r="A2" s="3469" t="s">
        <v>1254</v>
      </c>
      <c r="B2" s="3469"/>
      <c r="C2" s="3469"/>
      <c r="D2" s="3469"/>
      <c r="E2" s="3469"/>
      <c r="F2" s="3469"/>
      <c r="I2" s="1053" t="s">
        <v>1255</v>
      </c>
      <c r="J2" s="1054" t="s">
        <v>1256</v>
      </c>
      <c r="K2" s="1054" t="s">
        <v>1257</v>
      </c>
      <c r="L2" s="1054" t="s">
        <v>1258</v>
      </c>
      <c r="M2" s="1054" t="s">
        <v>1259</v>
      </c>
      <c r="N2" s="1054" t="s">
        <v>1260</v>
      </c>
      <c r="O2" s="1054" t="s">
        <v>1261</v>
      </c>
      <c r="P2" s="1054" t="s">
        <v>1262</v>
      </c>
      <c r="Q2" s="1054" t="s">
        <v>1263</v>
      </c>
      <c r="R2" s="1054" t="s">
        <v>1264</v>
      </c>
      <c r="S2" s="1054" t="s">
        <v>1265</v>
      </c>
      <c r="T2" s="1054" t="s">
        <v>1266</v>
      </c>
    </row>
    <row r="3" spans="1:20" s="1049" customFormat="1" ht="19.5" customHeight="1">
      <c r="A3" s="3470" t="s">
        <v>1267</v>
      </c>
      <c r="B3" s="1055"/>
      <c r="C3" s="1056" t="s">
        <v>1268</v>
      </c>
      <c r="D3" s="1056" t="s">
        <v>1269</v>
      </c>
      <c r="E3" s="1056" t="s">
        <v>1270</v>
      </c>
      <c r="F3" s="1056" t="s">
        <v>1271</v>
      </c>
      <c r="G3" s="1057"/>
      <c r="I3" s="1053" t="s">
        <v>1272</v>
      </c>
      <c r="J3" s="1054" t="s">
        <v>1273</v>
      </c>
      <c r="K3" s="1054" t="s">
        <v>1274</v>
      </c>
      <c r="L3" s="1054" t="s">
        <v>1275</v>
      </c>
      <c r="M3" s="1054" t="s">
        <v>1276</v>
      </c>
      <c r="N3" s="1054" t="s">
        <v>1277</v>
      </c>
      <c r="O3" s="1054" t="s">
        <v>1278</v>
      </c>
      <c r="P3" s="1054" t="s">
        <v>1279</v>
      </c>
      <c r="Q3" s="1054" t="s">
        <v>1280</v>
      </c>
      <c r="R3" s="1054" t="s">
        <v>1281</v>
      </c>
      <c r="S3" s="1054" t="s">
        <v>1282</v>
      </c>
      <c r="T3" s="1054" t="s">
        <v>1283</v>
      </c>
    </row>
    <row r="4" spans="1:20" s="1049" customFormat="1" ht="19.5" customHeight="1" thickBot="1">
      <c r="A4" s="3471"/>
      <c r="B4" s="1058" t="s">
        <v>1284</v>
      </c>
      <c r="C4" s="1058" t="s">
        <v>1285</v>
      </c>
      <c r="D4" s="1058" t="s">
        <v>1285</v>
      </c>
      <c r="E4" s="1058" t="s">
        <v>1285</v>
      </c>
      <c r="F4" s="1059" t="s">
        <v>1285</v>
      </c>
      <c r="G4" s="1057"/>
      <c r="I4" s="1053" t="s">
        <v>1286</v>
      </c>
      <c r="J4" s="1054" t="s">
        <v>1287</v>
      </c>
      <c r="K4" s="1054" t="s">
        <v>1288</v>
      </c>
      <c r="L4" s="1054" t="s">
        <v>1289</v>
      </c>
      <c r="M4" s="1054" t="s">
        <v>1290</v>
      </c>
      <c r="N4" s="1054" t="s">
        <v>1291</v>
      </c>
      <c r="O4" s="1054" t="s">
        <v>1292</v>
      </c>
      <c r="P4" s="1054" t="s">
        <v>1293</v>
      </c>
      <c r="Q4" s="1054" t="s">
        <v>1294</v>
      </c>
      <c r="R4" s="1054" t="s">
        <v>1295</v>
      </c>
      <c r="S4" s="1054" t="s">
        <v>1296</v>
      </c>
      <c r="T4" s="1054" t="s">
        <v>1297</v>
      </c>
    </row>
    <row r="5" spans="1:20" ht="14.25" customHeight="1" thickBot="1">
      <c r="A5" s="1060" t="s">
        <v>1298</v>
      </c>
      <c r="B5" s="1061" t="s">
        <v>1255</v>
      </c>
      <c r="C5" s="1061">
        <v>29530</v>
      </c>
      <c r="D5" s="1061">
        <v>28130</v>
      </c>
      <c r="E5" s="1061">
        <v>27930</v>
      </c>
      <c r="F5" s="1062">
        <v>11300</v>
      </c>
      <c r="G5" s="1063" t="s">
        <v>1242</v>
      </c>
      <c r="H5" s="1064">
        <f>SUMPRODUCT((B5:B9=基准地价!I2)*(C3:F3=基准地价!E2)*(C5:F9))</f>
        <v>0</v>
      </c>
      <c r="I5" s="1053" t="s">
        <v>1299</v>
      </c>
      <c r="J5" s="1054" t="s">
        <v>1300</v>
      </c>
      <c r="K5" s="1054" t="s">
        <v>1301</v>
      </c>
      <c r="L5" s="1054" t="s">
        <v>1302</v>
      </c>
      <c r="M5" s="1054" t="s">
        <v>1303</v>
      </c>
      <c r="N5" s="1054" t="s">
        <v>1304</v>
      </c>
      <c r="O5" s="1054" t="s">
        <v>1305</v>
      </c>
      <c r="P5" s="1054" t="s">
        <v>1306</v>
      </c>
      <c r="Q5" s="1054" t="s">
        <v>1307</v>
      </c>
      <c r="R5" s="1054" t="s">
        <v>1308</v>
      </c>
      <c r="S5" s="1054" t="s">
        <v>1309</v>
      </c>
      <c r="T5" s="1054" t="s">
        <v>1310</v>
      </c>
    </row>
    <row r="6" spans="1:20" ht="14.25" customHeight="1" thickBot="1">
      <c r="A6" s="1060" t="s">
        <v>1298</v>
      </c>
      <c r="B6" s="1054" t="s">
        <v>1311</v>
      </c>
      <c r="C6" s="1054">
        <v>30290</v>
      </c>
      <c r="D6" s="1054">
        <v>29210</v>
      </c>
      <c r="E6" s="1054">
        <v>28860</v>
      </c>
      <c r="F6" s="1065">
        <v>12600</v>
      </c>
      <c r="G6" s="1066" t="s">
        <v>1312</v>
      </c>
      <c r="H6" s="1067">
        <f>SUMPRODUCT((B10:B28=基准地价!I2)*(C3:F3=基准地价!E2)*(C10:F28))</f>
        <v>0</v>
      </c>
      <c r="I6" s="1053" t="s">
        <v>1313</v>
      </c>
      <c r="J6" s="1054" t="s">
        <v>1314</v>
      </c>
      <c r="K6" s="1054" t="s">
        <v>1315</v>
      </c>
      <c r="L6" s="1054" t="s">
        <v>1316</v>
      </c>
      <c r="M6" s="1054" t="s">
        <v>1317</v>
      </c>
      <c r="N6" s="1054" t="s">
        <v>1318</v>
      </c>
      <c r="O6" s="1054" t="s">
        <v>1319</v>
      </c>
      <c r="P6" s="1054" t="s">
        <v>1320</v>
      </c>
      <c r="Q6" s="1054" t="s">
        <v>1321</v>
      </c>
      <c r="R6" s="1054" t="s">
        <v>1322</v>
      </c>
      <c r="S6" s="1054" t="s">
        <v>1323</v>
      </c>
      <c r="T6" s="1054" t="s">
        <v>1324</v>
      </c>
    </row>
    <row r="7" spans="1:20" ht="14.25" customHeight="1" thickBot="1">
      <c r="A7" s="1060" t="s">
        <v>1298</v>
      </c>
      <c r="B7" s="1068" t="s">
        <v>1286</v>
      </c>
      <c r="C7" s="1054">
        <v>29350</v>
      </c>
      <c r="D7" s="1054">
        <v>28410</v>
      </c>
      <c r="E7" s="1054">
        <v>27990</v>
      </c>
      <c r="F7" s="1065">
        <v>12300</v>
      </c>
      <c r="G7" s="1066" t="s">
        <v>1103</v>
      </c>
      <c r="H7" s="1067">
        <f>SUMPRODUCT((B29:B48=基准地价!I2)*(C3:F3=基准地价!E2)*(C29:F48))</f>
        <v>0</v>
      </c>
      <c r="J7" s="1054" t="s">
        <v>1325</v>
      </c>
      <c r="K7" s="1054" t="s">
        <v>1326</v>
      </c>
      <c r="L7" s="1054" t="s">
        <v>1327</v>
      </c>
      <c r="M7" s="1054" t="s">
        <v>1328</v>
      </c>
      <c r="N7" s="1054" t="s">
        <v>1329</v>
      </c>
      <c r="O7" s="1054" t="s">
        <v>1330</v>
      </c>
      <c r="P7" s="1054" t="s">
        <v>1331</v>
      </c>
      <c r="Q7" s="1054" t="s">
        <v>1332</v>
      </c>
      <c r="R7" s="1054" t="s">
        <v>1333</v>
      </c>
      <c r="S7" s="1054" t="s">
        <v>1334</v>
      </c>
      <c r="T7" s="1068" t="s">
        <v>1335</v>
      </c>
    </row>
    <row r="8" spans="1:20" ht="14.25" customHeight="1" thickBot="1">
      <c r="A8" s="1060" t="s">
        <v>1298</v>
      </c>
      <c r="B8" s="1054" t="s">
        <v>1299</v>
      </c>
      <c r="C8" s="1054">
        <v>30890</v>
      </c>
      <c r="D8" s="1054">
        <v>29780</v>
      </c>
      <c r="E8" s="1054">
        <v>29270</v>
      </c>
      <c r="F8" s="1065">
        <v>11600</v>
      </c>
      <c r="G8" s="1066" t="s">
        <v>1104</v>
      </c>
      <c r="H8" s="1067">
        <f>SUMPRODUCT((B49:B75=基准地价!I2)*(C3:F3=基准地价!E2)*(C49:F75))</f>
        <v>0</v>
      </c>
      <c r="J8" s="1054" t="s">
        <v>1336</v>
      </c>
      <c r="K8" s="1054" t="s">
        <v>1337</v>
      </c>
      <c r="L8" s="1054" t="s">
        <v>1338</v>
      </c>
      <c r="M8" s="1054" t="s">
        <v>1339</v>
      </c>
      <c r="N8" s="1054" t="s">
        <v>1340</v>
      </c>
      <c r="O8" s="1054" t="s">
        <v>1341</v>
      </c>
      <c r="P8" s="1054" t="s">
        <v>1342</v>
      </c>
      <c r="Q8" s="1054" t="s">
        <v>1343</v>
      </c>
      <c r="R8" s="1054" t="s">
        <v>1344</v>
      </c>
      <c r="S8" s="1054" t="s">
        <v>1345</v>
      </c>
      <c r="T8" s="1054" t="s">
        <v>1346</v>
      </c>
    </row>
    <row r="9" spans="1:20" ht="14.25" customHeight="1" thickBot="1">
      <c r="A9" s="1060" t="s">
        <v>1298</v>
      </c>
      <c r="B9" s="1069" t="s">
        <v>1313</v>
      </c>
      <c r="C9" s="1070">
        <v>28140</v>
      </c>
      <c r="D9" s="1070"/>
      <c r="E9" s="1070"/>
      <c r="F9" s="1071"/>
      <c r="G9" s="1066" t="s">
        <v>1105</v>
      </c>
      <c r="H9" s="1067">
        <f>SUMPRODUCT((B76:B109=基准地价!I2)*(C3:F3=基准地价!E2)*(C76:F109))</f>
        <v>0</v>
      </c>
      <c r="J9" s="1054" t="s">
        <v>1347</v>
      </c>
      <c r="K9" s="1054" t="s">
        <v>1348</v>
      </c>
      <c r="L9" s="1054" t="s">
        <v>1349</v>
      </c>
      <c r="M9" s="1054" t="s">
        <v>1350</v>
      </c>
      <c r="N9" s="1054" t="s">
        <v>1351</v>
      </c>
      <c r="O9" s="1054" t="s">
        <v>1352</v>
      </c>
      <c r="P9" s="1054" t="s">
        <v>1353</v>
      </c>
      <c r="Q9" s="1054" t="s">
        <v>1354</v>
      </c>
      <c r="R9" s="1054" t="s">
        <v>1355</v>
      </c>
      <c r="S9" s="1054" t="s">
        <v>1356</v>
      </c>
    </row>
    <row r="10" spans="1:20" ht="14.25" customHeight="1" thickBot="1">
      <c r="A10" s="1060" t="s">
        <v>1357</v>
      </c>
      <c r="B10" s="1061" t="s">
        <v>1358</v>
      </c>
      <c r="C10" s="1061">
        <v>27450</v>
      </c>
      <c r="D10" s="1061">
        <v>26180</v>
      </c>
      <c r="E10" s="1061">
        <v>25980</v>
      </c>
      <c r="F10" s="1062">
        <v>8910</v>
      </c>
      <c r="G10" s="1066" t="s">
        <v>1106</v>
      </c>
      <c r="H10" s="1067">
        <f>SUMPRODUCT((B110:B157=基准地价!I2)*(C3:F3=基准地价!E2)*(C110:F157))</f>
        <v>0</v>
      </c>
      <c r="J10" s="1054" t="s">
        <v>1359</v>
      </c>
      <c r="K10" s="1054" t="s">
        <v>1360</v>
      </c>
      <c r="L10" s="1054" t="s">
        <v>1361</v>
      </c>
      <c r="M10" s="1054" t="s">
        <v>1362</v>
      </c>
      <c r="N10" s="1054" t="s">
        <v>1363</v>
      </c>
      <c r="O10" s="1054" t="s">
        <v>1364</v>
      </c>
      <c r="P10" s="1054" t="s">
        <v>1365</v>
      </c>
      <c r="Q10" s="1054" t="s">
        <v>1366</v>
      </c>
      <c r="R10" s="1054" t="s">
        <v>1367</v>
      </c>
      <c r="S10" s="1054" t="s">
        <v>1368</v>
      </c>
    </row>
    <row r="11" spans="1:20" ht="14.25" customHeight="1" thickBot="1">
      <c r="A11" s="1060" t="s">
        <v>1357</v>
      </c>
      <c r="B11" s="1068" t="s">
        <v>1273</v>
      </c>
      <c r="C11" s="1054">
        <v>22950</v>
      </c>
      <c r="D11" s="1054">
        <v>22630</v>
      </c>
      <c r="E11" s="1054">
        <v>22030</v>
      </c>
      <c r="F11" s="1072">
        <v>8330</v>
      </c>
      <c r="G11" s="1066" t="s">
        <v>1107</v>
      </c>
      <c r="H11" s="1067">
        <f>SUMPRODUCT((B158:B205=基准地价!I2)*(C3:F3=基准地价!E2)*(C158:F205))</f>
        <v>0</v>
      </c>
      <c r="J11" s="1054" t="s">
        <v>1369</v>
      </c>
      <c r="K11" s="1054" t="s">
        <v>1370</v>
      </c>
      <c r="L11" s="1054" t="s">
        <v>1371</v>
      </c>
      <c r="M11" s="1054" t="s">
        <v>1372</v>
      </c>
      <c r="N11" s="1054" t="s">
        <v>1373</v>
      </c>
      <c r="O11" s="1054" t="s">
        <v>1374</v>
      </c>
      <c r="P11" s="1054" t="s">
        <v>1375</v>
      </c>
      <c r="Q11" s="1054" t="s">
        <v>1376</v>
      </c>
      <c r="R11" s="1054" t="s">
        <v>1377</v>
      </c>
      <c r="S11" s="1054" t="s">
        <v>1378</v>
      </c>
    </row>
    <row r="12" spans="1:20" ht="14.25" customHeight="1" thickBot="1">
      <c r="A12" s="1060" t="s">
        <v>1357</v>
      </c>
      <c r="B12" s="1068" t="s">
        <v>1287</v>
      </c>
      <c r="C12" s="1054">
        <v>24940</v>
      </c>
      <c r="D12" s="1054">
        <v>23180</v>
      </c>
      <c r="E12" s="1054">
        <v>22910</v>
      </c>
      <c r="F12" s="1072">
        <v>7180</v>
      </c>
      <c r="G12" s="1066" t="s">
        <v>1108</v>
      </c>
      <c r="H12" s="1067">
        <f>SUMPRODUCT((B206:B244=基准地价!I2)*(C3:F3=基准地价!E2)*(C206:F244))</f>
        <v>5780</v>
      </c>
      <c r="J12" s="1054" t="s">
        <v>1379</v>
      </c>
      <c r="K12" s="1054" t="s">
        <v>1380</v>
      </c>
      <c r="L12" s="1054" t="s">
        <v>1381</v>
      </c>
      <c r="M12" s="1054" t="s">
        <v>1382</v>
      </c>
      <c r="N12" s="1054" t="s">
        <v>1383</v>
      </c>
      <c r="O12" s="1054" t="s">
        <v>1384</v>
      </c>
      <c r="P12" s="1054" t="s">
        <v>1385</v>
      </c>
      <c r="Q12" s="1054" t="s">
        <v>1386</v>
      </c>
      <c r="R12" s="1054" t="s">
        <v>1387</v>
      </c>
      <c r="S12" s="1054" t="s">
        <v>1388</v>
      </c>
    </row>
    <row r="13" spans="1:20" ht="14.25" customHeight="1" thickBot="1">
      <c r="A13" s="1060" t="s">
        <v>1357</v>
      </c>
      <c r="B13" s="1068" t="s">
        <v>1300</v>
      </c>
      <c r="C13" s="1054">
        <v>24140</v>
      </c>
      <c r="D13" s="1054">
        <v>22270</v>
      </c>
      <c r="E13" s="1054">
        <v>21950</v>
      </c>
      <c r="F13" s="1072">
        <v>7600</v>
      </c>
      <c r="G13" s="1066" t="s">
        <v>1109</v>
      </c>
      <c r="H13" s="1067">
        <f>SUMPRODUCT((B245:B289=基准地价!I2)*(C3:F3=基准地价!E2)*(C245:F289))</f>
        <v>0</v>
      </c>
      <c r="J13" s="1054" t="s">
        <v>1389</v>
      </c>
      <c r="K13" s="1054" t="s">
        <v>1390</v>
      </c>
      <c r="L13" s="1054" t="s">
        <v>1391</v>
      </c>
      <c r="M13" s="1054" t="s">
        <v>1392</v>
      </c>
      <c r="N13" s="1054" t="s">
        <v>1393</v>
      </c>
      <c r="O13" s="1054" t="s">
        <v>1394</v>
      </c>
      <c r="P13" s="1054" t="s">
        <v>1395</v>
      </c>
      <c r="Q13" s="1054" t="s">
        <v>1396</v>
      </c>
      <c r="R13" s="1054" t="s">
        <v>1397</v>
      </c>
      <c r="S13" s="1054" t="s">
        <v>1398</v>
      </c>
    </row>
    <row r="14" spans="1:20" ht="14.25" customHeight="1" thickBot="1">
      <c r="A14" s="1060" t="s">
        <v>1357</v>
      </c>
      <c r="B14" s="1068" t="s">
        <v>1314</v>
      </c>
      <c r="C14" s="1054">
        <v>25600</v>
      </c>
      <c r="D14" s="1054">
        <v>22260</v>
      </c>
      <c r="E14" s="1054">
        <v>22110</v>
      </c>
      <c r="F14" s="1072">
        <v>7630</v>
      </c>
      <c r="G14" s="1066" t="s">
        <v>1110</v>
      </c>
      <c r="H14" s="1067">
        <f>SUMPRODUCT((B290:B316=基准地价!I2)*(C3:F3=基准地价!E2)*(C290:F316))</f>
        <v>0</v>
      </c>
      <c r="J14" s="1054" t="s">
        <v>1399</v>
      </c>
      <c r="K14" s="1054" t="s">
        <v>1400</v>
      </c>
      <c r="L14" s="1054" t="s">
        <v>1401</v>
      </c>
      <c r="M14" s="1054" t="s">
        <v>1402</v>
      </c>
      <c r="N14" s="1054" t="s">
        <v>1403</v>
      </c>
      <c r="O14" s="1054" t="s">
        <v>1404</v>
      </c>
      <c r="P14" s="1054" t="s">
        <v>1405</v>
      </c>
      <c r="Q14" s="1054" t="s">
        <v>1406</v>
      </c>
      <c r="R14" s="1054" t="s">
        <v>1407</v>
      </c>
      <c r="S14" s="1054" t="s">
        <v>1408</v>
      </c>
    </row>
    <row r="15" spans="1:20" ht="14.25" customHeight="1" thickBot="1">
      <c r="A15" s="1060" t="s">
        <v>1357</v>
      </c>
      <c r="B15" s="1068" t="s">
        <v>1325</v>
      </c>
      <c r="C15" s="1054">
        <v>24760</v>
      </c>
      <c r="D15" s="1054">
        <v>24440</v>
      </c>
      <c r="E15" s="1054">
        <v>24130</v>
      </c>
      <c r="F15" s="1072">
        <v>9480</v>
      </c>
      <c r="G15" s="1066" t="s">
        <v>1111</v>
      </c>
      <c r="H15" s="1067">
        <f>SUMPRODUCT((B317:B337=基准地价!I2)*(C3:F3=基准地价!E2)*(C317:F337))</f>
        <v>0</v>
      </c>
      <c r="J15" s="1054" t="s">
        <v>1409</v>
      </c>
      <c r="K15" s="1054" t="s">
        <v>1410</v>
      </c>
      <c r="L15" s="1054" t="s">
        <v>1411</v>
      </c>
      <c r="M15" s="1054" t="s">
        <v>1412</v>
      </c>
      <c r="N15" s="1054" t="s">
        <v>1413</v>
      </c>
      <c r="O15" s="1054" t="s">
        <v>1414</v>
      </c>
      <c r="P15" s="1054" t="s">
        <v>1415</v>
      </c>
      <c r="Q15" s="1054" t="s">
        <v>1416</v>
      </c>
      <c r="R15" s="1054" t="s">
        <v>1417</v>
      </c>
      <c r="S15" s="1054" t="s">
        <v>1418</v>
      </c>
    </row>
    <row r="16" spans="1:20" ht="14.25" customHeight="1" thickBot="1">
      <c r="A16" s="1060" t="s">
        <v>1357</v>
      </c>
      <c r="B16" s="1068" t="s">
        <v>1336</v>
      </c>
      <c r="C16" s="1054">
        <v>22220</v>
      </c>
      <c r="D16" s="1054">
        <v>22310</v>
      </c>
      <c r="E16" s="1054">
        <v>22000</v>
      </c>
      <c r="F16" s="1072">
        <v>8900</v>
      </c>
      <c r="G16" s="1073" t="s">
        <v>1112</v>
      </c>
      <c r="H16" s="1074">
        <f>SUMPRODUCT((B338:B344=基准地价!I2)*(C3:F3=基准地价!E2)*(C338:F344))</f>
        <v>0</v>
      </c>
      <c r="J16" s="1054" t="s">
        <v>1419</v>
      </c>
      <c r="K16" s="1054" t="s">
        <v>1420</v>
      </c>
      <c r="L16" s="1054" t="s">
        <v>1421</v>
      </c>
      <c r="M16" s="1054" t="s">
        <v>1422</v>
      </c>
      <c r="N16" s="1054" t="s">
        <v>1423</v>
      </c>
      <c r="O16" s="1054" t="s">
        <v>1424</v>
      </c>
      <c r="P16" s="1054" t="s">
        <v>1425</v>
      </c>
      <c r="Q16" s="1054" t="s">
        <v>1426</v>
      </c>
      <c r="R16" s="1054" t="s">
        <v>1427</v>
      </c>
      <c r="S16" s="1054" t="s">
        <v>1428</v>
      </c>
    </row>
    <row r="17" spans="1:19" ht="14.25" customHeight="1" thickBot="1">
      <c r="A17" s="1060" t="s">
        <v>1357</v>
      </c>
      <c r="B17" s="1068" t="s">
        <v>1347</v>
      </c>
      <c r="C17" s="1054">
        <v>24700</v>
      </c>
      <c r="D17" s="1054">
        <v>25150</v>
      </c>
      <c r="E17" s="1054">
        <v>24700</v>
      </c>
      <c r="F17" s="1075"/>
      <c r="H17" s="1076"/>
      <c r="J17" s="1054" t="s">
        <v>1429</v>
      </c>
      <c r="K17" s="1054" t="s">
        <v>1430</v>
      </c>
      <c r="L17" s="1054" t="s">
        <v>1431</v>
      </c>
      <c r="M17" s="1054" t="s">
        <v>1432</v>
      </c>
      <c r="N17" s="1054" t="s">
        <v>1433</v>
      </c>
      <c r="O17" s="1054" t="s">
        <v>1434</v>
      </c>
      <c r="P17" s="1054" t="s">
        <v>1435</v>
      </c>
      <c r="Q17" s="1054" t="s">
        <v>1436</v>
      </c>
      <c r="R17" s="1054" t="s">
        <v>1437</v>
      </c>
      <c r="S17" s="1054" t="s">
        <v>1438</v>
      </c>
    </row>
    <row r="18" spans="1:19" ht="14.25" customHeight="1" thickBot="1">
      <c r="A18" s="1060" t="s">
        <v>1357</v>
      </c>
      <c r="B18" s="1068" t="s">
        <v>1359</v>
      </c>
      <c r="C18" s="1054">
        <v>22350</v>
      </c>
      <c r="D18" s="1054">
        <v>24340</v>
      </c>
      <c r="E18" s="1054">
        <v>24100</v>
      </c>
      <c r="F18" s="1075"/>
      <c r="H18" s="1076"/>
      <c r="J18" s="1054" t="s">
        <v>1439</v>
      </c>
      <c r="K18" s="1054" t="s">
        <v>1440</v>
      </c>
      <c r="L18" s="1054" t="s">
        <v>1441</v>
      </c>
      <c r="M18" s="1054" t="s">
        <v>1442</v>
      </c>
      <c r="N18" s="1054" t="s">
        <v>1443</v>
      </c>
      <c r="O18" s="1054" t="s">
        <v>1444</v>
      </c>
      <c r="P18" s="1054" t="s">
        <v>1445</v>
      </c>
      <c r="Q18" s="1054" t="s">
        <v>1446</v>
      </c>
      <c r="R18" s="1054" t="s">
        <v>1447</v>
      </c>
      <c r="S18" s="1054" t="s">
        <v>1448</v>
      </c>
    </row>
    <row r="19" spans="1:19" ht="14.25" customHeight="1" thickBot="1">
      <c r="A19" s="1060" t="s">
        <v>1357</v>
      </c>
      <c r="B19" s="1068" t="s">
        <v>1369</v>
      </c>
      <c r="C19" s="1054">
        <v>23430</v>
      </c>
      <c r="D19" s="1054">
        <v>21580</v>
      </c>
      <c r="E19" s="1054">
        <v>21350</v>
      </c>
      <c r="F19" s="1075"/>
      <c r="H19" s="1076"/>
      <c r="J19" s="1054" t="s">
        <v>1449</v>
      </c>
      <c r="K19" s="1054" t="s">
        <v>1450</v>
      </c>
      <c r="L19" s="1054" t="s">
        <v>1451</v>
      </c>
      <c r="M19" s="1054" t="s">
        <v>1452</v>
      </c>
      <c r="N19" s="1054" t="s">
        <v>1453</v>
      </c>
      <c r="O19" s="1054" t="s">
        <v>1454</v>
      </c>
      <c r="P19" s="1054" t="s">
        <v>1455</v>
      </c>
      <c r="Q19" s="1054" t="s">
        <v>1456</v>
      </c>
      <c r="R19" s="1054" t="s">
        <v>1457</v>
      </c>
      <c r="S19" s="1054" t="s">
        <v>1458</v>
      </c>
    </row>
    <row r="20" spans="1:19" ht="14.25" customHeight="1" thickBot="1">
      <c r="A20" s="1060" t="s">
        <v>1357</v>
      </c>
      <c r="B20" s="1068" t="s">
        <v>1379</v>
      </c>
      <c r="C20" s="1054">
        <v>27660</v>
      </c>
      <c r="D20" s="1054">
        <v>24240</v>
      </c>
      <c r="E20" s="1054">
        <v>24020</v>
      </c>
      <c r="F20" s="1075"/>
      <c r="J20" s="1054" t="s">
        <v>1459</v>
      </c>
      <c r="K20" s="1054" t="s">
        <v>1460</v>
      </c>
      <c r="L20" s="1054" t="s">
        <v>1461</v>
      </c>
      <c r="M20" s="1054" t="s">
        <v>1462</v>
      </c>
      <c r="N20" s="1054" t="s">
        <v>1463</v>
      </c>
      <c r="O20" s="1054" t="s">
        <v>1464</v>
      </c>
      <c r="P20" s="1054" t="s">
        <v>1465</v>
      </c>
      <c r="Q20" s="1054" t="s">
        <v>1466</v>
      </c>
      <c r="R20" s="1054" t="s">
        <v>1467</v>
      </c>
      <c r="S20" s="1054" t="s">
        <v>1468</v>
      </c>
    </row>
    <row r="21" spans="1:19" ht="14.25" customHeight="1" thickBot="1">
      <c r="A21" s="1060" t="s">
        <v>1357</v>
      </c>
      <c r="B21" s="1068" t="s">
        <v>1389</v>
      </c>
      <c r="C21" s="1054">
        <v>24720</v>
      </c>
      <c r="D21" s="1054">
        <v>21670</v>
      </c>
      <c r="E21" s="1054">
        <v>21510</v>
      </c>
      <c r="F21" s="1075"/>
      <c r="K21" s="1054" t="s">
        <v>1469</v>
      </c>
      <c r="L21" s="1054" t="s">
        <v>1470</v>
      </c>
      <c r="M21" s="1054" t="s">
        <v>1471</v>
      </c>
      <c r="N21" s="1054" t="s">
        <v>1472</v>
      </c>
      <c r="O21" s="1054" t="s">
        <v>1473</v>
      </c>
      <c r="P21" s="1054" t="s">
        <v>1474</v>
      </c>
      <c r="Q21" s="1054" t="s">
        <v>1475</v>
      </c>
      <c r="R21" s="1054" t="s">
        <v>1476</v>
      </c>
      <c r="S21" s="1054" t="s">
        <v>1477</v>
      </c>
    </row>
    <row r="22" spans="1:19" ht="14.25" customHeight="1" thickBot="1">
      <c r="A22" s="1060" t="s">
        <v>1357</v>
      </c>
      <c r="B22" s="1068" t="s">
        <v>1478</v>
      </c>
      <c r="C22" s="1054">
        <v>26530</v>
      </c>
      <c r="D22" s="1054">
        <v>22980</v>
      </c>
      <c r="E22" s="1054">
        <v>22650</v>
      </c>
      <c r="F22" s="1075"/>
      <c r="L22" s="1054" t="s">
        <v>1479</v>
      </c>
      <c r="M22" s="1054" t="s">
        <v>1480</v>
      </c>
      <c r="N22" s="1054" t="s">
        <v>1481</v>
      </c>
      <c r="O22" s="1054" t="s">
        <v>1482</v>
      </c>
      <c r="P22" s="1054" t="s">
        <v>1483</v>
      </c>
      <c r="Q22" s="1054" t="s">
        <v>1484</v>
      </c>
      <c r="R22" s="1054" t="s">
        <v>1485</v>
      </c>
      <c r="S22" s="1068" t="s">
        <v>1486</v>
      </c>
    </row>
    <row r="23" spans="1:19" ht="14.25" customHeight="1" thickBot="1">
      <c r="A23" s="1060" t="s">
        <v>1357</v>
      </c>
      <c r="B23" s="1068" t="s">
        <v>1409</v>
      </c>
      <c r="C23" s="1054">
        <v>24700</v>
      </c>
      <c r="D23" s="1054">
        <v>27290</v>
      </c>
      <c r="E23" s="1054">
        <v>26710</v>
      </c>
      <c r="F23" s="1075"/>
      <c r="L23" s="1054" t="s">
        <v>1487</v>
      </c>
      <c r="M23" s="1054" t="s">
        <v>1488</v>
      </c>
      <c r="N23" s="1054" t="s">
        <v>1489</v>
      </c>
      <c r="O23" s="1054" t="s">
        <v>1490</v>
      </c>
      <c r="P23" s="1054" t="s">
        <v>1491</v>
      </c>
      <c r="Q23" s="1054" t="s">
        <v>1492</v>
      </c>
      <c r="R23" s="1054" t="s">
        <v>1493</v>
      </c>
    </row>
    <row r="24" spans="1:19" ht="14.25" customHeight="1" thickBot="1">
      <c r="A24" s="1060" t="s">
        <v>1357</v>
      </c>
      <c r="B24" s="1068" t="s">
        <v>1419</v>
      </c>
      <c r="C24" s="1054">
        <v>23070</v>
      </c>
      <c r="D24" s="1054">
        <v>24130</v>
      </c>
      <c r="E24" s="1054">
        <v>23860</v>
      </c>
      <c r="F24" s="1075"/>
      <c r="L24" s="1054" t="s">
        <v>1494</v>
      </c>
      <c r="M24" s="1054" t="s">
        <v>1495</v>
      </c>
      <c r="N24" s="1054" t="s">
        <v>1496</v>
      </c>
      <c r="O24" s="1054" t="s">
        <v>1497</v>
      </c>
      <c r="P24" s="1054" t="s">
        <v>1498</v>
      </c>
      <c r="Q24" s="1054" t="s">
        <v>1499</v>
      </c>
      <c r="R24" s="1054" t="s">
        <v>1500</v>
      </c>
    </row>
    <row r="25" spans="1:19" ht="14.25" customHeight="1" thickBot="1">
      <c r="A25" s="1060" t="s">
        <v>1357</v>
      </c>
      <c r="B25" s="1068" t="s">
        <v>1429</v>
      </c>
      <c r="C25" s="1054">
        <v>27550</v>
      </c>
      <c r="D25" s="1054">
        <v>25850</v>
      </c>
      <c r="E25" s="1054">
        <v>25340</v>
      </c>
      <c r="F25" s="1075"/>
      <c r="L25" s="1054" t="s">
        <v>1501</v>
      </c>
      <c r="M25" s="1054" t="s">
        <v>1502</v>
      </c>
      <c r="N25" s="1054" t="s">
        <v>1503</v>
      </c>
      <c r="O25" s="1054" t="s">
        <v>1504</v>
      </c>
      <c r="P25" s="1054" t="s">
        <v>1505</v>
      </c>
      <c r="Q25" s="1054" t="s">
        <v>1506</v>
      </c>
      <c r="R25" s="1054" t="s">
        <v>1507</v>
      </c>
    </row>
    <row r="26" spans="1:19" ht="14.25" customHeight="1" thickBot="1">
      <c r="A26" s="1060" t="s">
        <v>1357</v>
      </c>
      <c r="B26" s="1068" t="s">
        <v>1439</v>
      </c>
      <c r="C26" s="1054"/>
      <c r="D26" s="1054">
        <v>23900</v>
      </c>
      <c r="E26" s="1054">
        <v>23590</v>
      </c>
      <c r="F26" s="1075"/>
      <c r="L26" s="1054" t="s">
        <v>1508</v>
      </c>
      <c r="M26" s="1054" t="s">
        <v>1509</v>
      </c>
      <c r="N26" s="1054" t="s">
        <v>1510</v>
      </c>
      <c r="O26" s="1054" t="s">
        <v>1511</v>
      </c>
      <c r="P26" s="1054" t="s">
        <v>1512</v>
      </c>
      <c r="Q26" s="1054" t="s">
        <v>1513</v>
      </c>
      <c r="R26" s="1054" t="s">
        <v>1514</v>
      </c>
    </row>
    <row r="27" spans="1:19" ht="14.25" customHeight="1" thickBot="1">
      <c r="A27" s="1060" t="s">
        <v>1357</v>
      </c>
      <c r="B27" s="1068" t="s">
        <v>1449</v>
      </c>
      <c r="C27" s="1054"/>
      <c r="D27" s="1054">
        <v>22850</v>
      </c>
      <c r="E27" s="1054">
        <v>21920</v>
      </c>
      <c r="F27" s="1075"/>
      <c r="L27" s="1054" t="s">
        <v>1515</v>
      </c>
      <c r="M27" s="1054" t="s">
        <v>1516</v>
      </c>
      <c r="N27" s="1054" t="s">
        <v>1517</v>
      </c>
      <c r="O27" s="1054" t="s">
        <v>1518</v>
      </c>
      <c r="P27" s="1054" t="s">
        <v>1519</v>
      </c>
      <c r="Q27" s="1054" t="s">
        <v>1520</v>
      </c>
      <c r="R27" s="1054" t="s">
        <v>1521</v>
      </c>
    </row>
    <row r="28" spans="1:19" ht="14.25" customHeight="1" thickBot="1">
      <c r="A28" s="1077" t="s">
        <v>1357</v>
      </c>
      <c r="B28" s="1069" t="s">
        <v>1459</v>
      </c>
      <c r="C28" s="1070"/>
      <c r="D28" s="1070">
        <v>26610</v>
      </c>
      <c r="E28" s="1070">
        <v>26370</v>
      </c>
      <c r="F28" s="1071"/>
      <c r="L28" s="1054" t="s">
        <v>1522</v>
      </c>
      <c r="M28" s="1054" t="s">
        <v>1523</v>
      </c>
      <c r="N28" s="1054" t="s">
        <v>1524</v>
      </c>
      <c r="O28" s="1054" t="s">
        <v>1525</v>
      </c>
      <c r="P28" s="1054" t="s">
        <v>1526</v>
      </c>
      <c r="Q28" s="1054" t="s">
        <v>1527</v>
      </c>
    </row>
    <row r="29" spans="1:19" ht="14.25" customHeight="1" thickBot="1">
      <c r="A29" s="1060" t="s">
        <v>1528</v>
      </c>
      <c r="B29" s="1061" t="s">
        <v>1529</v>
      </c>
      <c r="C29" s="1061">
        <v>22090</v>
      </c>
      <c r="D29" s="1061">
        <v>21860</v>
      </c>
      <c r="E29" s="1061">
        <v>19380</v>
      </c>
      <c r="F29" s="1062">
        <v>6610</v>
      </c>
      <c r="M29" s="1054" t="s">
        <v>1530</v>
      </c>
      <c r="N29" s="1054" t="s">
        <v>1531</v>
      </c>
      <c r="O29" s="1054" t="s">
        <v>1532</v>
      </c>
      <c r="P29" s="1054" t="s">
        <v>1533</v>
      </c>
      <c r="Q29" s="1054" t="s">
        <v>1534</v>
      </c>
    </row>
    <row r="30" spans="1:19" ht="14.25" customHeight="1" thickBot="1">
      <c r="A30" s="1060" t="s">
        <v>1528</v>
      </c>
      <c r="B30" s="1068" t="s">
        <v>1274</v>
      </c>
      <c r="C30" s="1054">
        <v>21380</v>
      </c>
      <c r="D30" s="1054">
        <v>19930</v>
      </c>
      <c r="E30" s="1054">
        <v>19860</v>
      </c>
      <c r="F30" s="1072">
        <v>6010</v>
      </c>
      <c r="H30" s="1076"/>
      <c r="M30" s="1054" t="s">
        <v>1535</v>
      </c>
      <c r="N30" s="1054" t="s">
        <v>1536</v>
      </c>
      <c r="O30" s="1054" t="s">
        <v>1537</v>
      </c>
      <c r="P30" s="1054" t="s">
        <v>2677</v>
      </c>
      <c r="Q30" s="1054" t="s">
        <v>1538</v>
      </c>
    </row>
    <row r="31" spans="1:19" ht="14.25" customHeight="1" thickBot="1">
      <c r="A31" s="1060" t="s">
        <v>1528</v>
      </c>
      <c r="B31" s="1068" t="s">
        <v>1288</v>
      </c>
      <c r="C31" s="1054">
        <v>21670</v>
      </c>
      <c r="D31" s="1054">
        <v>20660</v>
      </c>
      <c r="E31" s="1054">
        <v>20290</v>
      </c>
      <c r="F31" s="1072">
        <v>5840</v>
      </c>
      <c r="H31" s="1076"/>
      <c r="M31" s="1054" t="s">
        <v>1539</v>
      </c>
      <c r="N31" s="1054" t="s">
        <v>1540</v>
      </c>
      <c r="O31" s="1054" t="s">
        <v>1541</v>
      </c>
      <c r="P31" s="1054" t="s">
        <v>1542</v>
      </c>
      <c r="Q31" s="1054" t="s">
        <v>1543</v>
      </c>
    </row>
    <row r="32" spans="1:19" ht="14.25" customHeight="1" thickBot="1">
      <c r="A32" s="1060" t="s">
        <v>1528</v>
      </c>
      <c r="B32" s="1068" t="s">
        <v>1301</v>
      </c>
      <c r="C32" s="1054">
        <v>22280</v>
      </c>
      <c r="D32" s="1054">
        <v>21800</v>
      </c>
      <c r="E32" s="1054">
        <v>17650</v>
      </c>
      <c r="F32" s="1072">
        <v>4690</v>
      </c>
      <c r="H32" s="1076"/>
      <c r="M32" s="1054" t="s">
        <v>1544</v>
      </c>
      <c r="N32" s="1054" t="s">
        <v>1545</v>
      </c>
      <c r="O32" s="1054" t="s">
        <v>1546</v>
      </c>
      <c r="P32" s="1054" t="s">
        <v>1547</v>
      </c>
      <c r="Q32" s="1054" t="s">
        <v>1548</v>
      </c>
    </row>
    <row r="33" spans="1:17" ht="14.25" customHeight="1" thickBot="1">
      <c r="A33" s="1060" t="s">
        <v>1528</v>
      </c>
      <c r="B33" s="1068" t="s">
        <v>1315</v>
      </c>
      <c r="C33" s="1054">
        <v>22130</v>
      </c>
      <c r="D33" s="1054">
        <v>20460</v>
      </c>
      <c r="E33" s="1054">
        <v>18500</v>
      </c>
      <c r="F33" s="1072">
        <v>5340</v>
      </c>
      <c r="H33" s="1076"/>
      <c r="M33" s="1054" t="s">
        <v>1549</v>
      </c>
      <c r="N33" s="1054" t="s">
        <v>1550</v>
      </c>
      <c r="O33" s="1054" t="s">
        <v>1551</v>
      </c>
      <c r="P33" s="1054" t="s">
        <v>1552</v>
      </c>
      <c r="Q33" s="1054" t="s">
        <v>1553</v>
      </c>
    </row>
    <row r="34" spans="1:17" ht="14.25" customHeight="1" thickBot="1">
      <c r="A34" s="1060" t="s">
        <v>1528</v>
      </c>
      <c r="B34" s="1068" t="s">
        <v>1326</v>
      </c>
      <c r="C34" s="1054">
        <v>22070</v>
      </c>
      <c r="D34" s="1054">
        <v>20110</v>
      </c>
      <c r="E34" s="1054">
        <v>18830</v>
      </c>
      <c r="F34" s="1072">
        <v>5190</v>
      </c>
      <c r="H34" s="1076"/>
      <c r="M34" s="1054" t="s">
        <v>1554</v>
      </c>
      <c r="N34" s="1054" t="s">
        <v>1555</v>
      </c>
      <c r="O34" s="1054" t="s">
        <v>1556</v>
      </c>
      <c r="P34" s="1054" t="s">
        <v>1557</v>
      </c>
      <c r="Q34" s="1054" t="s">
        <v>1558</v>
      </c>
    </row>
    <row r="35" spans="1:17" ht="14.25" customHeight="1" thickBot="1">
      <c r="A35" s="1060" t="s">
        <v>1528</v>
      </c>
      <c r="B35" s="1068" t="s">
        <v>1337</v>
      </c>
      <c r="C35" s="1054">
        <v>22240</v>
      </c>
      <c r="D35" s="1054">
        <v>19550</v>
      </c>
      <c r="E35" s="1054">
        <v>19220</v>
      </c>
      <c r="F35" s="1072">
        <v>5800</v>
      </c>
      <c r="H35" s="1076"/>
      <c r="M35" s="1054" t="s">
        <v>1559</v>
      </c>
      <c r="N35" s="1054" t="s">
        <v>1560</v>
      </c>
      <c r="O35" s="1054" t="s">
        <v>1561</v>
      </c>
      <c r="P35" s="1054" t="s">
        <v>1562</v>
      </c>
      <c r="Q35" s="1054" t="s">
        <v>1563</v>
      </c>
    </row>
    <row r="36" spans="1:17" ht="14.25" customHeight="1" thickBot="1">
      <c r="A36" s="1060" t="s">
        <v>1528</v>
      </c>
      <c r="B36" s="1068" t="s">
        <v>1348</v>
      </c>
      <c r="C36" s="1054">
        <v>19750</v>
      </c>
      <c r="D36" s="1054">
        <v>19790</v>
      </c>
      <c r="E36" s="1054">
        <v>18510</v>
      </c>
      <c r="F36" s="1072">
        <v>6520</v>
      </c>
      <c r="H36" s="1076"/>
      <c r="N36" s="1054" t="s">
        <v>1564</v>
      </c>
      <c r="O36" s="1054" t="s">
        <v>1565</v>
      </c>
      <c r="P36" s="1054" t="s">
        <v>1566</v>
      </c>
      <c r="Q36" s="1054" t="s">
        <v>1567</v>
      </c>
    </row>
    <row r="37" spans="1:17" ht="14.25" customHeight="1" thickBot="1">
      <c r="A37" s="1060" t="s">
        <v>1528</v>
      </c>
      <c r="B37" s="1068" t="s">
        <v>1360</v>
      </c>
      <c r="C37" s="1054">
        <v>22380</v>
      </c>
      <c r="D37" s="1054">
        <v>18530</v>
      </c>
      <c r="E37" s="1054">
        <v>17930</v>
      </c>
      <c r="F37" s="1072">
        <v>6270</v>
      </c>
      <c r="H37" s="1078"/>
      <c r="N37" s="1054" t="s">
        <v>1568</v>
      </c>
      <c r="O37" s="1054" t="s">
        <v>1569</v>
      </c>
      <c r="P37" s="1054" t="s">
        <v>1570</v>
      </c>
      <c r="Q37" s="1054" t="s">
        <v>1571</v>
      </c>
    </row>
    <row r="38" spans="1:17" ht="14.25" customHeight="1" thickBot="1">
      <c r="A38" s="1060" t="s">
        <v>1528</v>
      </c>
      <c r="B38" s="1068" t="s">
        <v>1370</v>
      </c>
      <c r="C38" s="1054">
        <v>20200</v>
      </c>
      <c r="D38" s="1054">
        <v>20070</v>
      </c>
      <c r="E38" s="1054">
        <v>19950</v>
      </c>
      <c r="F38" s="1072"/>
      <c r="H38" s="1079"/>
      <c r="N38" s="1054" t="s">
        <v>1572</v>
      </c>
      <c r="O38" s="1054" t="s">
        <v>1573</v>
      </c>
      <c r="P38" s="1054" t="s">
        <v>1574</v>
      </c>
      <c r="Q38" s="1054" t="s">
        <v>1575</v>
      </c>
    </row>
    <row r="39" spans="1:17" ht="14.25" customHeight="1" thickBot="1">
      <c r="A39" s="1060" t="s">
        <v>1528</v>
      </c>
      <c r="B39" s="1068" t="s">
        <v>1380</v>
      </c>
      <c r="C39" s="1054">
        <v>19300</v>
      </c>
      <c r="D39" s="1054">
        <v>20360</v>
      </c>
      <c r="E39" s="1054">
        <v>20230</v>
      </c>
      <c r="F39" s="1072"/>
      <c r="H39" s="1079"/>
      <c r="N39" s="1054" t="s">
        <v>1576</v>
      </c>
      <c r="O39" s="1054" t="s">
        <v>1577</v>
      </c>
      <c r="P39" s="1054" t="s">
        <v>1578</v>
      </c>
      <c r="Q39" s="1054" t="s">
        <v>1579</v>
      </c>
    </row>
    <row r="40" spans="1:17" ht="14.25" customHeight="1" thickBot="1">
      <c r="A40" s="1060" t="s">
        <v>1528</v>
      </c>
      <c r="B40" s="1068" t="s">
        <v>1390</v>
      </c>
      <c r="C40" s="1054">
        <v>20210</v>
      </c>
      <c r="D40" s="1054">
        <v>19060</v>
      </c>
      <c r="E40" s="1054">
        <v>18890</v>
      </c>
      <c r="F40" s="1072"/>
      <c r="H40" s="1079"/>
      <c r="N40" s="1054" t="s">
        <v>1580</v>
      </c>
      <c r="O40" s="1054" t="s">
        <v>1581</v>
      </c>
      <c r="P40" s="1054" t="s">
        <v>1582</v>
      </c>
      <c r="Q40" s="1054" t="s">
        <v>1583</v>
      </c>
    </row>
    <row r="41" spans="1:17" ht="14.25" customHeight="1" thickBot="1">
      <c r="A41" s="1060" t="s">
        <v>1528</v>
      </c>
      <c r="B41" s="1068" t="s">
        <v>1400</v>
      </c>
      <c r="C41" s="1054">
        <v>20560</v>
      </c>
      <c r="D41" s="1054">
        <v>21040</v>
      </c>
      <c r="E41" s="1054">
        <v>20740</v>
      </c>
      <c r="F41" s="1072"/>
      <c r="H41" s="1079"/>
      <c r="N41" s="1068" t="s">
        <v>1584</v>
      </c>
      <c r="O41" s="1068" t="s">
        <v>1585</v>
      </c>
      <c r="Q41" s="1068" t="s">
        <v>1586</v>
      </c>
    </row>
    <row r="42" spans="1:17" ht="14.25" customHeight="1" thickBot="1">
      <c r="A42" s="1060" t="s">
        <v>1528</v>
      </c>
      <c r="B42" s="1068" t="s">
        <v>1410</v>
      </c>
      <c r="C42" s="1054">
        <v>19280</v>
      </c>
      <c r="D42" s="1054">
        <v>22940</v>
      </c>
      <c r="E42" s="1054">
        <v>22500</v>
      </c>
      <c r="F42" s="1072"/>
      <c r="H42" s="1079"/>
      <c r="N42" s="1054" t="s">
        <v>1587</v>
      </c>
      <c r="O42" s="1054" t="s">
        <v>1588</v>
      </c>
      <c r="Q42" s="1054" t="s">
        <v>1589</v>
      </c>
    </row>
    <row r="43" spans="1:17" ht="14.25" customHeight="1" thickBot="1">
      <c r="A43" s="1060" t="s">
        <v>1528</v>
      </c>
      <c r="B43" s="1068" t="s">
        <v>1420</v>
      </c>
      <c r="C43" s="1054">
        <v>21520</v>
      </c>
      <c r="D43" s="1054">
        <v>19230</v>
      </c>
      <c r="E43" s="1054">
        <v>18540</v>
      </c>
      <c r="F43" s="1072"/>
      <c r="H43" s="1079"/>
      <c r="N43" s="1054" t="s">
        <v>1590</v>
      </c>
      <c r="O43" s="1054" t="s">
        <v>1591</v>
      </c>
      <c r="Q43" s="1054" t="s">
        <v>1592</v>
      </c>
    </row>
    <row r="44" spans="1:17" ht="14.25" customHeight="1" thickBot="1">
      <c r="A44" s="1060" t="s">
        <v>1528</v>
      </c>
      <c r="B44" s="1068" t="s">
        <v>1430</v>
      </c>
      <c r="C44" s="1054">
        <v>23260</v>
      </c>
      <c r="D44" s="1054">
        <v>21180</v>
      </c>
      <c r="E44" s="1054">
        <v>20730</v>
      </c>
      <c r="F44" s="1072"/>
      <c r="H44" s="1079"/>
      <c r="N44" s="1054" t="s">
        <v>1593</v>
      </c>
      <c r="O44" s="1054" t="s">
        <v>1594</v>
      </c>
      <c r="Q44" s="1054" t="s">
        <v>1595</v>
      </c>
    </row>
    <row r="45" spans="1:17" ht="14.25" customHeight="1" thickBot="1">
      <c r="A45" s="1060" t="s">
        <v>1528</v>
      </c>
      <c r="B45" s="1068" t="s">
        <v>1440</v>
      </c>
      <c r="C45" s="1054">
        <v>19610</v>
      </c>
      <c r="D45" s="1054">
        <v>18090</v>
      </c>
      <c r="E45" s="1054">
        <v>17970</v>
      </c>
      <c r="F45" s="1072"/>
      <c r="H45" s="1076"/>
      <c r="N45" s="1054" t="s">
        <v>1596</v>
      </c>
      <c r="O45" s="1054" t="s">
        <v>1597</v>
      </c>
      <c r="Q45" s="1054" t="s">
        <v>1598</v>
      </c>
    </row>
    <row r="46" spans="1:17" ht="14.25" customHeight="1" thickBot="1">
      <c r="A46" s="1060" t="s">
        <v>1528</v>
      </c>
      <c r="B46" s="1068" t="s">
        <v>1450</v>
      </c>
      <c r="C46" s="1054">
        <v>21660</v>
      </c>
      <c r="D46" s="1054">
        <v>19190</v>
      </c>
      <c r="E46" s="1054">
        <v>19790</v>
      </c>
      <c r="F46" s="1072"/>
      <c r="H46" s="1079"/>
      <c r="N46" s="1054" t="s">
        <v>1599</v>
      </c>
      <c r="O46" s="1054" t="s">
        <v>1600</v>
      </c>
      <c r="Q46" s="1054" t="s">
        <v>1601</v>
      </c>
    </row>
    <row r="47" spans="1:17" ht="14.25" customHeight="1" thickBot="1">
      <c r="A47" s="1060" t="s">
        <v>1528</v>
      </c>
      <c r="B47" s="1068" t="s">
        <v>1460</v>
      </c>
      <c r="C47" s="1054">
        <v>18220</v>
      </c>
      <c r="D47" s="1054"/>
      <c r="E47" s="1054">
        <v>17220</v>
      </c>
      <c r="F47" s="1072"/>
      <c r="H47" s="1079"/>
      <c r="N47" s="1054" t="s">
        <v>1602</v>
      </c>
      <c r="O47" s="1054" t="s">
        <v>1603</v>
      </c>
    </row>
    <row r="48" spans="1:17" ht="14.25" customHeight="1" thickBot="1">
      <c r="A48" s="1060" t="s">
        <v>1528</v>
      </c>
      <c r="B48" s="1069" t="s">
        <v>1469</v>
      </c>
      <c r="C48" s="1070">
        <v>19430</v>
      </c>
      <c r="D48" s="1070"/>
      <c r="E48" s="1070">
        <v>17830</v>
      </c>
      <c r="F48" s="1080"/>
      <c r="H48" s="1076"/>
      <c r="N48" s="1054" t="s">
        <v>1604</v>
      </c>
      <c r="O48" s="1054" t="s">
        <v>1605</v>
      </c>
    </row>
    <row r="49" spans="1:15" ht="14.25" customHeight="1" thickBot="1">
      <c r="A49" s="1060" t="s">
        <v>1119</v>
      </c>
      <c r="B49" s="1061" t="s">
        <v>1606</v>
      </c>
      <c r="C49" s="1061">
        <v>17090</v>
      </c>
      <c r="D49" s="1061">
        <v>16950</v>
      </c>
      <c r="E49" s="1061">
        <v>16310</v>
      </c>
      <c r="F49" s="1062">
        <v>4540</v>
      </c>
      <c r="H49" s="1079"/>
      <c r="N49" s="1054" t="s">
        <v>1607</v>
      </c>
      <c r="O49" s="1054" t="s">
        <v>1608</v>
      </c>
    </row>
    <row r="50" spans="1:15" ht="14.25" customHeight="1" thickBot="1">
      <c r="A50" s="1060" t="s">
        <v>1119</v>
      </c>
      <c r="B50" s="1054" t="s">
        <v>1275</v>
      </c>
      <c r="C50" s="1054">
        <v>19040</v>
      </c>
      <c r="D50" s="1054">
        <v>16960</v>
      </c>
      <c r="E50" s="1054">
        <v>14800</v>
      </c>
      <c r="F50" s="1072">
        <v>3940</v>
      </c>
      <c r="H50" s="1079"/>
    </row>
    <row r="51" spans="1:15" ht="14.25" customHeight="1" thickBot="1">
      <c r="A51" s="1060" t="s">
        <v>1119</v>
      </c>
      <c r="B51" s="1054" t="s">
        <v>1289</v>
      </c>
      <c r="C51" s="1054">
        <v>17040</v>
      </c>
      <c r="D51" s="1054">
        <v>16930</v>
      </c>
      <c r="E51" s="1054">
        <v>15030</v>
      </c>
      <c r="F51" s="1072">
        <v>4120</v>
      </c>
      <c r="H51" s="1079"/>
    </row>
    <row r="52" spans="1:15" ht="14.25" customHeight="1" thickBot="1">
      <c r="A52" s="1060" t="s">
        <v>1119</v>
      </c>
      <c r="B52" s="1054" t="s">
        <v>1302</v>
      </c>
      <c r="C52" s="1054">
        <v>17110</v>
      </c>
      <c r="D52" s="1054">
        <v>17750</v>
      </c>
      <c r="E52" s="1054">
        <v>17310</v>
      </c>
      <c r="F52" s="1072">
        <v>3220</v>
      </c>
      <c r="H52" s="1079"/>
    </row>
    <row r="53" spans="1:15" ht="14.25" customHeight="1" thickBot="1">
      <c r="A53" s="1060" t="s">
        <v>1119</v>
      </c>
      <c r="B53" s="1054" t="s">
        <v>1316</v>
      </c>
      <c r="C53" s="1054">
        <v>17810</v>
      </c>
      <c r="D53" s="1054">
        <v>17260</v>
      </c>
      <c r="E53" s="1054">
        <v>17090</v>
      </c>
      <c r="F53" s="1072">
        <v>3520</v>
      </c>
      <c r="H53" s="1079"/>
    </row>
    <row r="54" spans="1:15" ht="14.25" customHeight="1" thickBot="1">
      <c r="A54" s="1060" t="s">
        <v>1119</v>
      </c>
      <c r="B54" s="1054" t="s">
        <v>1327</v>
      </c>
      <c r="C54" s="1054">
        <v>17410</v>
      </c>
      <c r="D54" s="1054">
        <v>16780</v>
      </c>
      <c r="E54" s="1054">
        <v>16370</v>
      </c>
      <c r="F54" s="1072">
        <v>3410</v>
      </c>
      <c r="H54" s="1079"/>
    </row>
    <row r="55" spans="1:15" ht="14.25" customHeight="1" thickBot="1">
      <c r="A55" s="1060" t="s">
        <v>1119</v>
      </c>
      <c r="B55" s="1054" t="s">
        <v>1338</v>
      </c>
      <c r="C55" s="1054">
        <v>16930</v>
      </c>
      <c r="D55" s="1054">
        <v>14720</v>
      </c>
      <c r="E55" s="1054">
        <v>15000</v>
      </c>
      <c r="F55" s="1072">
        <v>3710</v>
      </c>
      <c r="H55" s="1079"/>
    </row>
    <row r="56" spans="1:15" ht="14.25" customHeight="1" thickBot="1">
      <c r="A56" s="1060" t="s">
        <v>1119</v>
      </c>
      <c r="B56" s="1054" t="s">
        <v>1349</v>
      </c>
      <c r="C56" s="1054">
        <v>14930</v>
      </c>
      <c r="D56" s="1054">
        <v>15850</v>
      </c>
      <c r="E56" s="1054">
        <v>14320</v>
      </c>
      <c r="F56" s="1072">
        <v>3960</v>
      </c>
      <c r="H56" s="1079"/>
    </row>
    <row r="57" spans="1:15" ht="14.25" customHeight="1" thickBot="1">
      <c r="A57" s="1060" t="s">
        <v>1119</v>
      </c>
      <c r="B57" s="1054" t="s">
        <v>1361</v>
      </c>
      <c r="C57" s="1054">
        <v>16160</v>
      </c>
      <c r="D57" s="1054">
        <v>16190</v>
      </c>
      <c r="E57" s="1054">
        <v>15650</v>
      </c>
      <c r="F57" s="1072">
        <v>4200</v>
      </c>
      <c r="H57" s="1079"/>
    </row>
    <row r="58" spans="1:15" ht="14.25" customHeight="1" thickBot="1">
      <c r="A58" s="1060" t="s">
        <v>1119</v>
      </c>
      <c r="B58" s="1054" t="s">
        <v>1371</v>
      </c>
      <c r="C58" s="1054">
        <v>16360</v>
      </c>
      <c r="D58" s="1054">
        <v>14050</v>
      </c>
      <c r="E58" s="1054">
        <v>16070</v>
      </c>
      <c r="F58" s="1072">
        <v>3990</v>
      </c>
      <c r="H58" s="1079"/>
    </row>
    <row r="59" spans="1:15" ht="14.25" customHeight="1" thickBot="1">
      <c r="A59" s="1060" t="s">
        <v>1119</v>
      </c>
      <c r="B59" s="1054" t="s">
        <v>1381</v>
      </c>
      <c r="C59" s="1054">
        <v>14160</v>
      </c>
      <c r="D59" s="1054">
        <v>16620</v>
      </c>
      <c r="E59" s="1054">
        <v>13940</v>
      </c>
      <c r="F59" s="1072">
        <v>4260</v>
      </c>
      <c r="H59" s="1079"/>
    </row>
    <row r="60" spans="1:15" ht="14.25" customHeight="1" thickBot="1">
      <c r="A60" s="1060" t="s">
        <v>1119</v>
      </c>
      <c r="B60" s="1054" t="s">
        <v>1391</v>
      </c>
      <c r="C60" s="1054">
        <v>16750</v>
      </c>
      <c r="D60" s="1054">
        <v>13910</v>
      </c>
      <c r="E60" s="1054">
        <v>16550</v>
      </c>
      <c r="F60" s="1072">
        <v>4550</v>
      </c>
      <c r="H60" s="1079"/>
    </row>
    <row r="61" spans="1:15" ht="14.25" customHeight="1" thickBot="1">
      <c r="A61" s="1060" t="s">
        <v>1119</v>
      </c>
      <c r="B61" s="1054" t="s">
        <v>1401</v>
      </c>
      <c r="C61" s="1054">
        <v>14000</v>
      </c>
      <c r="D61" s="1054">
        <v>14550</v>
      </c>
      <c r="E61" s="1054">
        <v>13860</v>
      </c>
      <c r="F61" s="1081"/>
      <c r="H61" s="1079"/>
    </row>
    <row r="62" spans="1:15" ht="14.25" customHeight="1" thickBot="1">
      <c r="A62" s="1060" t="s">
        <v>1119</v>
      </c>
      <c r="B62" s="1054" t="s">
        <v>1411</v>
      </c>
      <c r="C62" s="1054">
        <v>14660</v>
      </c>
      <c r="D62" s="1054">
        <v>17450</v>
      </c>
      <c r="E62" s="1054">
        <v>14470</v>
      </c>
      <c r="F62" s="1081"/>
      <c r="H62" s="1079"/>
    </row>
    <row r="63" spans="1:15" ht="14.25" customHeight="1" thickBot="1">
      <c r="A63" s="1060" t="s">
        <v>1119</v>
      </c>
      <c r="B63" s="1054" t="s">
        <v>1421</v>
      </c>
      <c r="C63" s="1054">
        <v>17610</v>
      </c>
      <c r="D63" s="1054">
        <v>16500</v>
      </c>
      <c r="E63" s="1054">
        <v>17330</v>
      </c>
      <c r="F63" s="1081"/>
      <c r="H63" s="1079"/>
    </row>
    <row r="64" spans="1:15" ht="14.25" customHeight="1" thickBot="1">
      <c r="A64" s="1060" t="s">
        <v>1119</v>
      </c>
      <c r="B64" s="1054" t="s">
        <v>1431</v>
      </c>
      <c r="C64" s="1054">
        <v>16590</v>
      </c>
      <c r="D64" s="1054">
        <v>15130</v>
      </c>
      <c r="E64" s="1054">
        <v>16420</v>
      </c>
      <c r="F64" s="1081"/>
      <c r="H64" s="1079"/>
    </row>
    <row r="65" spans="1:8" s="1048" customFormat="1" ht="14.25" customHeight="1" thickBot="1">
      <c r="A65" s="1060" t="s">
        <v>1119</v>
      </c>
      <c r="B65" s="1054" t="s">
        <v>1441</v>
      </c>
      <c r="C65" s="1054">
        <v>15220</v>
      </c>
      <c r="D65" s="1054">
        <v>14660</v>
      </c>
      <c r="E65" s="1054">
        <v>15060</v>
      </c>
      <c r="F65" s="1072"/>
      <c r="H65" s="1079"/>
    </row>
    <row r="66" spans="1:8" s="1048" customFormat="1" ht="14.25" customHeight="1" thickBot="1">
      <c r="A66" s="1060" t="s">
        <v>1119</v>
      </c>
      <c r="B66" s="1054" t="s">
        <v>1451</v>
      </c>
      <c r="C66" s="1054">
        <v>14720</v>
      </c>
      <c r="D66" s="1054">
        <v>15970</v>
      </c>
      <c r="E66" s="1054">
        <v>14610</v>
      </c>
      <c r="F66" s="1072"/>
      <c r="H66" s="1079"/>
    </row>
    <row r="67" spans="1:8" s="1048" customFormat="1" ht="14.25" customHeight="1" thickBot="1">
      <c r="A67" s="1060" t="s">
        <v>1119</v>
      </c>
      <c r="B67" s="1054" t="s">
        <v>1461</v>
      </c>
      <c r="C67" s="1054">
        <v>16080</v>
      </c>
      <c r="D67" s="1054">
        <v>14840</v>
      </c>
      <c r="E67" s="1054">
        <v>15630</v>
      </c>
      <c r="F67" s="1072"/>
      <c r="H67" s="1079"/>
    </row>
    <row r="68" spans="1:8" s="1048" customFormat="1" ht="14.25" customHeight="1" thickBot="1">
      <c r="A68" s="1060" t="s">
        <v>1119</v>
      </c>
      <c r="B68" s="1054" t="s">
        <v>1470</v>
      </c>
      <c r="C68" s="1054">
        <v>14940</v>
      </c>
      <c r="D68" s="1054">
        <v>18000</v>
      </c>
      <c r="E68" s="1054">
        <v>14040</v>
      </c>
      <c r="F68" s="1072"/>
      <c r="H68" s="1079"/>
    </row>
    <row r="69" spans="1:8" s="1048" customFormat="1" ht="14.25" customHeight="1" thickBot="1">
      <c r="A69" s="1060" t="s">
        <v>1119</v>
      </c>
      <c r="B69" s="1054" t="s">
        <v>1479</v>
      </c>
      <c r="C69" s="1054">
        <v>18810</v>
      </c>
      <c r="D69" s="1054">
        <v>15100</v>
      </c>
      <c r="E69" s="1054">
        <v>14710</v>
      </c>
      <c r="F69" s="1072"/>
      <c r="H69" s="1079"/>
    </row>
    <row r="70" spans="1:8" s="1048" customFormat="1" ht="14.25" customHeight="1" thickBot="1">
      <c r="A70" s="1060" t="s">
        <v>1119</v>
      </c>
      <c r="B70" s="1054" t="s">
        <v>1487</v>
      </c>
      <c r="C70" s="1054">
        <v>18270</v>
      </c>
      <c r="D70" s="1054"/>
      <c r="E70" s="1054"/>
      <c r="F70" s="1072"/>
      <c r="H70" s="1079"/>
    </row>
    <row r="71" spans="1:8" s="1048" customFormat="1" ht="14.25" customHeight="1" thickBot="1">
      <c r="A71" s="1060" t="s">
        <v>1119</v>
      </c>
      <c r="B71" s="1054" t="s">
        <v>1494</v>
      </c>
      <c r="C71" s="1054">
        <v>15230</v>
      </c>
      <c r="D71" s="1054"/>
      <c r="E71" s="1054"/>
      <c r="F71" s="1072"/>
      <c r="H71" s="1079"/>
    </row>
    <row r="72" spans="1:8" s="1048" customFormat="1" ht="14.25" customHeight="1" thickBot="1">
      <c r="A72" s="1060" t="s">
        <v>1119</v>
      </c>
      <c r="B72" s="1054" t="s">
        <v>1501</v>
      </c>
      <c r="C72" s="1054"/>
      <c r="D72" s="1054"/>
      <c r="E72" s="1054"/>
      <c r="F72" s="1072">
        <v>4120</v>
      </c>
      <c r="H72" s="1079"/>
    </row>
    <row r="73" spans="1:8" s="1048" customFormat="1" ht="14.25" customHeight="1" thickBot="1">
      <c r="A73" s="1060" t="s">
        <v>1119</v>
      </c>
      <c r="B73" s="1054" t="s">
        <v>1508</v>
      </c>
      <c r="C73" s="1054"/>
      <c r="D73" s="1054"/>
      <c r="E73" s="1054"/>
      <c r="F73" s="1072">
        <v>3930</v>
      </c>
      <c r="H73" s="1079"/>
    </row>
    <row r="74" spans="1:8" s="1048" customFormat="1" ht="14.25" customHeight="1" thickBot="1">
      <c r="A74" s="1060" t="s">
        <v>1119</v>
      </c>
      <c r="B74" s="1054" t="s">
        <v>1515</v>
      </c>
      <c r="C74" s="1054"/>
      <c r="D74" s="1054"/>
      <c r="E74" s="1054"/>
      <c r="F74" s="1072">
        <v>4060</v>
      </c>
      <c r="H74" s="1079"/>
    </row>
    <row r="75" spans="1:8" s="1048" customFormat="1" ht="14.25" customHeight="1" thickBot="1">
      <c r="A75" s="1060" t="s">
        <v>1119</v>
      </c>
      <c r="B75" s="1070" t="s">
        <v>1522</v>
      </c>
      <c r="C75" s="1070"/>
      <c r="D75" s="1070"/>
      <c r="E75" s="1070"/>
      <c r="F75" s="1080">
        <v>3750</v>
      </c>
      <c r="H75" s="1079"/>
    </row>
    <row r="76" spans="1:8" s="1048" customFormat="1" ht="14.25" customHeight="1" thickBot="1">
      <c r="A76" s="1060" t="s">
        <v>1609</v>
      </c>
      <c r="B76" s="1061" t="s">
        <v>1610</v>
      </c>
      <c r="C76" s="1061">
        <v>14690</v>
      </c>
      <c r="D76" s="1061">
        <v>14640</v>
      </c>
      <c r="E76" s="1061">
        <v>14590</v>
      </c>
      <c r="F76" s="1062">
        <v>3060</v>
      </c>
      <c r="H76" s="1079"/>
    </row>
    <row r="77" spans="1:8" s="1048" customFormat="1" ht="14.25" customHeight="1" thickBot="1">
      <c r="A77" s="1060" t="s">
        <v>1609</v>
      </c>
      <c r="B77" s="1054" t="s">
        <v>1276</v>
      </c>
      <c r="C77" s="1054">
        <v>12550</v>
      </c>
      <c r="D77" s="1054">
        <v>12480</v>
      </c>
      <c r="E77" s="1054">
        <v>12450</v>
      </c>
      <c r="F77" s="1072">
        <v>2590</v>
      </c>
      <c r="H77" s="1079"/>
    </row>
    <row r="78" spans="1:8" s="1048" customFormat="1" ht="14.25" customHeight="1" thickBot="1">
      <c r="A78" s="1060" t="s">
        <v>1609</v>
      </c>
      <c r="B78" s="1054" t="s">
        <v>1290</v>
      </c>
      <c r="C78" s="1054">
        <v>14360</v>
      </c>
      <c r="D78" s="1054">
        <v>14320</v>
      </c>
      <c r="E78" s="1054">
        <v>12510</v>
      </c>
      <c r="F78" s="1072">
        <v>2700</v>
      </c>
      <c r="H78" s="1079"/>
    </row>
    <row r="79" spans="1:8" s="1048" customFormat="1" ht="14.25" customHeight="1" thickBot="1">
      <c r="A79" s="1060" t="s">
        <v>1609</v>
      </c>
      <c r="B79" s="1054" t="s">
        <v>1303</v>
      </c>
      <c r="C79" s="1054">
        <v>12590</v>
      </c>
      <c r="D79" s="1054">
        <v>12540</v>
      </c>
      <c r="E79" s="1054">
        <v>12350</v>
      </c>
      <c r="F79" s="1072">
        <v>2740</v>
      </c>
      <c r="H79" s="1079"/>
    </row>
    <row r="80" spans="1:8" s="1048" customFormat="1" ht="14.25" customHeight="1" thickBot="1">
      <c r="A80" s="1060" t="s">
        <v>1609</v>
      </c>
      <c r="B80" s="1054" t="s">
        <v>1317</v>
      </c>
      <c r="C80" s="1054">
        <v>12450</v>
      </c>
      <c r="D80" s="1054">
        <v>12370</v>
      </c>
      <c r="E80" s="1054">
        <v>10790</v>
      </c>
      <c r="F80" s="1072">
        <v>2290</v>
      </c>
      <c r="H80" s="1079"/>
    </row>
    <row r="81" spans="1:8" s="1048" customFormat="1" ht="14.25" customHeight="1" thickBot="1">
      <c r="A81" s="1060" t="s">
        <v>1609</v>
      </c>
      <c r="B81" s="1054" t="s">
        <v>1328</v>
      </c>
      <c r="C81" s="1054">
        <v>14210</v>
      </c>
      <c r="D81" s="1054">
        <v>14150</v>
      </c>
      <c r="E81" s="1054">
        <v>12730</v>
      </c>
      <c r="F81" s="1072">
        <v>2240</v>
      </c>
      <c r="H81" s="1079"/>
    </row>
    <row r="82" spans="1:8" s="1048" customFormat="1" ht="14.25" customHeight="1" thickBot="1">
      <c r="A82" s="1060" t="s">
        <v>1609</v>
      </c>
      <c r="B82" s="1054" t="s">
        <v>1339</v>
      </c>
      <c r="C82" s="1054">
        <v>10860</v>
      </c>
      <c r="D82" s="1054">
        <v>10820</v>
      </c>
      <c r="E82" s="1054">
        <v>14720</v>
      </c>
      <c r="F82" s="1072">
        <v>2490</v>
      </c>
      <c r="H82" s="1079"/>
    </row>
    <row r="83" spans="1:8" s="1048" customFormat="1" ht="14.25" customHeight="1" thickBot="1">
      <c r="A83" s="1060" t="s">
        <v>1609</v>
      </c>
      <c r="B83" s="1054" t="s">
        <v>1350</v>
      </c>
      <c r="C83" s="1054">
        <v>12810</v>
      </c>
      <c r="D83" s="1054">
        <v>12760</v>
      </c>
      <c r="E83" s="1054">
        <v>14830</v>
      </c>
      <c r="F83" s="1072">
        <v>2450</v>
      </c>
      <c r="H83" s="1079"/>
    </row>
    <row r="84" spans="1:8" s="1048" customFormat="1" ht="14.25" customHeight="1" thickBot="1">
      <c r="A84" s="1060" t="s">
        <v>1609</v>
      </c>
      <c r="B84" s="1054" t="s">
        <v>1362</v>
      </c>
      <c r="C84" s="1054">
        <v>14950</v>
      </c>
      <c r="D84" s="1054">
        <v>14810</v>
      </c>
      <c r="E84" s="1054">
        <v>12590</v>
      </c>
      <c r="F84" s="1072">
        <v>2540</v>
      </c>
      <c r="H84" s="1079"/>
    </row>
    <row r="85" spans="1:8" s="1048" customFormat="1" ht="14.25" customHeight="1" thickBot="1">
      <c r="A85" s="1060" t="s">
        <v>1609</v>
      </c>
      <c r="B85" s="1054" t="s">
        <v>1372</v>
      </c>
      <c r="C85" s="1054">
        <v>14960</v>
      </c>
      <c r="D85" s="1054">
        <v>14890</v>
      </c>
      <c r="E85" s="1054">
        <v>12840</v>
      </c>
      <c r="F85" s="1072">
        <v>2840</v>
      </c>
      <c r="H85" s="1079"/>
    </row>
    <row r="86" spans="1:8" s="1048" customFormat="1" ht="14.25" customHeight="1" thickBot="1">
      <c r="A86" s="1060" t="s">
        <v>1609</v>
      </c>
      <c r="B86" s="1054" t="s">
        <v>1382</v>
      </c>
      <c r="C86" s="1054">
        <v>12730</v>
      </c>
      <c r="D86" s="1054">
        <v>12660</v>
      </c>
      <c r="E86" s="1054">
        <v>13310</v>
      </c>
      <c r="F86" s="1072">
        <v>3140</v>
      </c>
      <c r="H86" s="1079"/>
    </row>
    <row r="87" spans="1:8" s="1048" customFormat="1" ht="14.25" customHeight="1" thickBot="1">
      <c r="A87" s="1060" t="s">
        <v>1609</v>
      </c>
      <c r="B87" s="1054" t="s">
        <v>1392</v>
      </c>
      <c r="C87" s="1054">
        <v>12940</v>
      </c>
      <c r="D87" s="1054">
        <v>12890</v>
      </c>
      <c r="E87" s="1054">
        <v>11580</v>
      </c>
      <c r="F87" s="1081"/>
      <c r="H87" s="1079"/>
    </row>
    <row r="88" spans="1:8" s="1048" customFormat="1" ht="14.25" customHeight="1" thickBot="1">
      <c r="A88" s="1060" t="s">
        <v>1609</v>
      </c>
      <c r="B88" s="1054" t="s">
        <v>1402</v>
      </c>
      <c r="C88" s="1054">
        <v>13430</v>
      </c>
      <c r="D88" s="1054">
        <v>13360</v>
      </c>
      <c r="E88" s="1054">
        <v>12790</v>
      </c>
      <c r="F88" s="1081"/>
      <c r="H88" s="1079"/>
    </row>
    <row r="89" spans="1:8" s="1048" customFormat="1" ht="14.25" customHeight="1" thickBot="1">
      <c r="A89" s="1060" t="s">
        <v>1609</v>
      </c>
      <c r="B89" s="1054" t="s">
        <v>1412</v>
      </c>
      <c r="C89" s="1054">
        <v>11680</v>
      </c>
      <c r="D89" s="1054">
        <v>11630</v>
      </c>
      <c r="E89" s="1054">
        <v>11320</v>
      </c>
      <c r="F89" s="1081"/>
      <c r="H89" s="1079"/>
    </row>
    <row r="90" spans="1:8" s="1048" customFormat="1" ht="14.25" customHeight="1" thickBot="1">
      <c r="A90" s="1060" t="s">
        <v>1609</v>
      </c>
      <c r="B90" s="1054" t="s">
        <v>1422</v>
      </c>
      <c r="C90" s="1054">
        <v>12890</v>
      </c>
      <c r="D90" s="1054">
        <v>12820</v>
      </c>
      <c r="E90" s="1054">
        <v>12710</v>
      </c>
      <c r="F90" s="1081"/>
      <c r="H90" s="1079"/>
    </row>
    <row r="91" spans="1:8" s="1048" customFormat="1" ht="14.25" customHeight="1" thickBot="1">
      <c r="A91" s="1060" t="s">
        <v>1609</v>
      </c>
      <c r="B91" s="1054" t="s">
        <v>1432</v>
      </c>
      <c r="C91" s="1054">
        <v>11410</v>
      </c>
      <c r="D91" s="1054">
        <v>11360</v>
      </c>
      <c r="E91" s="1054">
        <v>12670</v>
      </c>
      <c r="F91" s="1081"/>
      <c r="H91" s="1079"/>
    </row>
    <row r="92" spans="1:8" s="1048" customFormat="1" ht="14.25" customHeight="1" thickBot="1">
      <c r="A92" s="1060" t="s">
        <v>1609</v>
      </c>
      <c r="B92" s="1054" t="s">
        <v>1442</v>
      </c>
      <c r="C92" s="1054">
        <v>12770</v>
      </c>
      <c r="D92" s="1054">
        <v>12740</v>
      </c>
      <c r="E92" s="1054">
        <v>11970</v>
      </c>
      <c r="F92" s="1081"/>
      <c r="H92" s="1079"/>
    </row>
    <row r="93" spans="1:8" s="1048" customFormat="1" ht="14.25" customHeight="1" thickBot="1">
      <c r="A93" s="1060" t="s">
        <v>1609</v>
      </c>
      <c r="B93" s="1054" t="s">
        <v>1452</v>
      </c>
      <c r="C93" s="1054">
        <v>12740</v>
      </c>
      <c r="D93" s="1054">
        <v>12700</v>
      </c>
      <c r="E93" s="1054">
        <v>12540</v>
      </c>
      <c r="F93" s="1081"/>
      <c r="H93" s="1079"/>
    </row>
    <row r="94" spans="1:8" s="1048" customFormat="1" ht="14.25" customHeight="1" thickBot="1">
      <c r="A94" s="1060" t="s">
        <v>1609</v>
      </c>
      <c r="B94" s="1054" t="s">
        <v>1462</v>
      </c>
      <c r="C94" s="1054">
        <v>12020</v>
      </c>
      <c r="D94" s="1054">
        <v>11990</v>
      </c>
      <c r="E94" s="1054">
        <v>13110</v>
      </c>
      <c r="F94" s="1081"/>
      <c r="H94" s="1079"/>
    </row>
    <row r="95" spans="1:8" s="1048" customFormat="1" ht="14.25" customHeight="1" thickBot="1">
      <c r="A95" s="1060" t="s">
        <v>1609</v>
      </c>
      <c r="B95" s="1054" t="s">
        <v>1471</v>
      </c>
      <c r="C95" s="1054">
        <v>12620</v>
      </c>
      <c r="D95" s="1054">
        <v>12580</v>
      </c>
      <c r="E95" s="1054">
        <v>13160</v>
      </c>
      <c r="F95" s="1072"/>
      <c r="H95" s="1079"/>
    </row>
    <row r="96" spans="1:8" s="1048" customFormat="1" ht="14.25" customHeight="1" thickBot="1">
      <c r="A96" s="1060" t="s">
        <v>1609</v>
      </c>
      <c r="B96" s="1054" t="s">
        <v>1480</v>
      </c>
      <c r="C96" s="1054">
        <v>13200</v>
      </c>
      <c r="D96" s="1054">
        <v>13150</v>
      </c>
      <c r="E96" s="1054">
        <v>12900</v>
      </c>
      <c r="F96" s="1072"/>
      <c r="H96" s="1079"/>
    </row>
    <row r="97" spans="1:8" s="1048" customFormat="1" ht="14.25" customHeight="1" thickBot="1">
      <c r="A97" s="1060" t="s">
        <v>1609</v>
      </c>
      <c r="B97" s="1054" t="s">
        <v>1488</v>
      </c>
      <c r="C97" s="1054">
        <v>13270</v>
      </c>
      <c r="D97" s="1054">
        <v>13210</v>
      </c>
      <c r="E97" s="1054">
        <v>11080</v>
      </c>
      <c r="F97" s="1072"/>
      <c r="H97" s="1079"/>
    </row>
    <row r="98" spans="1:8" s="1048" customFormat="1" ht="14.25" customHeight="1" thickBot="1">
      <c r="A98" s="1060" t="s">
        <v>1609</v>
      </c>
      <c r="B98" s="1054" t="s">
        <v>1495</v>
      </c>
      <c r="C98" s="1054">
        <v>13010</v>
      </c>
      <c r="D98" s="1054">
        <v>12930</v>
      </c>
      <c r="E98" s="1054">
        <v>12840</v>
      </c>
      <c r="F98" s="1072"/>
      <c r="H98" s="1079"/>
    </row>
    <row r="99" spans="1:8" s="1048" customFormat="1" ht="14.25" customHeight="1" thickBot="1">
      <c r="A99" s="1060" t="s">
        <v>1609</v>
      </c>
      <c r="B99" s="1054" t="s">
        <v>1502</v>
      </c>
      <c r="C99" s="1054">
        <v>11190</v>
      </c>
      <c r="D99" s="1054">
        <v>11130</v>
      </c>
      <c r="E99" s="1054"/>
      <c r="F99" s="1072"/>
      <c r="H99" s="1079"/>
    </row>
    <row r="100" spans="1:8" s="1048" customFormat="1" ht="14.25" customHeight="1" thickBot="1">
      <c r="A100" s="1060" t="s">
        <v>1609</v>
      </c>
      <c r="B100" s="1054" t="s">
        <v>1509</v>
      </c>
      <c r="C100" s="1054">
        <v>14280</v>
      </c>
      <c r="D100" s="1054">
        <v>14180</v>
      </c>
      <c r="E100" s="1054"/>
      <c r="F100" s="1072"/>
      <c r="H100" s="1079"/>
    </row>
    <row r="101" spans="1:8" s="1048" customFormat="1" ht="14.25" customHeight="1" thickBot="1">
      <c r="A101" s="1060" t="s">
        <v>1609</v>
      </c>
      <c r="B101" s="1054" t="s">
        <v>1516</v>
      </c>
      <c r="C101" s="1054">
        <v>12960</v>
      </c>
      <c r="D101" s="1054">
        <v>12890</v>
      </c>
      <c r="E101" s="1054"/>
      <c r="F101" s="1072"/>
      <c r="H101" s="1079"/>
    </row>
    <row r="102" spans="1:8" s="1048" customFormat="1" ht="14.25" customHeight="1" thickBot="1">
      <c r="A102" s="1060" t="s">
        <v>1609</v>
      </c>
      <c r="B102" s="1054" t="s">
        <v>1523</v>
      </c>
      <c r="C102" s="1054"/>
      <c r="D102" s="1054"/>
      <c r="E102" s="1054"/>
      <c r="F102" s="1072">
        <v>3100</v>
      </c>
      <c r="H102" s="1079"/>
    </row>
    <row r="103" spans="1:8" s="1048" customFormat="1" ht="14.25" customHeight="1" thickBot="1">
      <c r="A103" s="1060" t="s">
        <v>1609</v>
      </c>
      <c r="B103" s="1054" t="s">
        <v>1530</v>
      </c>
      <c r="C103" s="1054"/>
      <c r="D103" s="1054"/>
      <c r="E103" s="1054"/>
      <c r="F103" s="1072">
        <v>2320</v>
      </c>
      <c r="H103" s="1079"/>
    </row>
    <row r="104" spans="1:8" s="1048" customFormat="1" ht="14.25" customHeight="1" thickBot="1">
      <c r="A104" s="1060" t="s">
        <v>1609</v>
      </c>
      <c r="B104" s="1054" t="s">
        <v>1535</v>
      </c>
      <c r="C104" s="1054"/>
      <c r="D104" s="1054"/>
      <c r="E104" s="1054"/>
      <c r="F104" s="1072">
        <v>2320</v>
      </c>
      <c r="H104" s="1079"/>
    </row>
    <row r="105" spans="1:8" s="1048" customFormat="1" ht="14.25" customHeight="1" thickBot="1">
      <c r="A105" s="1060" t="s">
        <v>1609</v>
      </c>
      <c r="B105" s="1054" t="s">
        <v>1539</v>
      </c>
      <c r="C105" s="1054"/>
      <c r="D105" s="1054"/>
      <c r="E105" s="1054"/>
      <c r="F105" s="1072">
        <v>2320</v>
      </c>
      <c r="H105" s="1079"/>
    </row>
    <row r="106" spans="1:8" s="1048" customFormat="1" ht="14.25" customHeight="1" thickBot="1">
      <c r="A106" s="1060" t="s">
        <v>1609</v>
      </c>
      <c r="B106" s="1054" t="s">
        <v>1544</v>
      </c>
      <c r="C106" s="1054"/>
      <c r="D106" s="1054"/>
      <c r="E106" s="1054"/>
      <c r="F106" s="1072">
        <v>2320</v>
      </c>
      <c r="H106" s="1079"/>
    </row>
    <row r="107" spans="1:8" s="1048" customFormat="1" ht="14.25" customHeight="1" thickBot="1">
      <c r="A107" s="1060" t="s">
        <v>1609</v>
      </c>
      <c r="B107" s="1054" t="s">
        <v>1549</v>
      </c>
      <c r="C107" s="1054"/>
      <c r="D107" s="1054"/>
      <c r="E107" s="1054"/>
      <c r="F107" s="1072">
        <v>2280</v>
      </c>
      <c r="H107" s="1079"/>
    </row>
    <row r="108" spans="1:8" s="1048" customFormat="1" ht="14.25" customHeight="1" thickBot="1">
      <c r="A108" s="1060" t="s">
        <v>1609</v>
      </c>
      <c r="B108" s="1054" t="s">
        <v>1554</v>
      </c>
      <c r="C108" s="1054"/>
      <c r="D108" s="1054"/>
      <c r="E108" s="1054"/>
      <c r="F108" s="1072">
        <v>2280</v>
      </c>
      <c r="H108" s="1079"/>
    </row>
    <row r="109" spans="1:8" s="1048" customFormat="1" ht="14.25" customHeight="1" thickBot="1">
      <c r="A109" s="1060" t="s">
        <v>1609</v>
      </c>
      <c r="B109" s="1070" t="s">
        <v>1559</v>
      </c>
      <c r="C109" s="1070"/>
      <c r="D109" s="1070"/>
      <c r="E109" s="1070"/>
      <c r="F109" s="1080">
        <v>2280</v>
      </c>
      <c r="H109" s="1079"/>
    </row>
    <row r="110" spans="1:8" s="1048" customFormat="1" ht="14.25" customHeight="1" thickBot="1">
      <c r="A110" s="1060" t="s">
        <v>1611</v>
      </c>
      <c r="B110" s="1061" t="s">
        <v>1612</v>
      </c>
      <c r="C110" s="1061">
        <v>10520</v>
      </c>
      <c r="D110" s="1061">
        <v>10490</v>
      </c>
      <c r="E110" s="1061">
        <v>10760</v>
      </c>
      <c r="F110" s="1062">
        <v>2160</v>
      </c>
      <c r="H110" s="1079"/>
    </row>
    <row r="111" spans="1:8" s="1048" customFormat="1" ht="14.25" customHeight="1" thickBot="1">
      <c r="A111" s="1060" t="s">
        <v>1611</v>
      </c>
      <c r="B111" s="1054" t="s">
        <v>1277</v>
      </c>
      <c r="C111" s="1054">
        <v>10090</v>
      </c>
      <c r="D111" s="1054">
        <v>10060</v>
      </c>
      <c r="E111" s="1054">
        <v>10300</v>
      </c>
      <c r="F111" s="1072">
        <v>2010</v>
      </c>
      <c r="H111" s="1079"/>
    </row>
    <row r="112" spans="1:8" s="1048" customFormat="1" ht="14.25" customHeight="1" thickBot="1">
      <c r="A112" s="1060" t="s">
        <v>1611</v>
      </c>
      <c r="B112" s="1054" t="s">
        <v>1291</v>
      </c>
      <c r="C112" s="1054">
        <v>9910</v>
      </c>
      <c r="D112" s="1054">
        <v>9850</v>
      </c>
      <c r="E112" s="1054">
        <v>9960</v>
      </c>
      <c r="F112" s="1072">
        <v>2090</v>
      </c>
      <c r="H112" s="1079"/>
    </row>
    <row r="113" spans="1:8" s="1048" customFormat="1" ht="14.25" customHeight="1" thickBot="1">
      <c r="A113" s="1060" t="s">
        <v>1611</v>
      </c>
      <c r="B113" s="1054" t="s">
        <v>1304</v>
      </c>
      <c r="C113" s="1054">
        <v>11430</v>
      </c>
      <c r="D113" s="1054">
        <v>11400</v>
      </c>
      <c r="E113" s="1054">
        <v>11710</v>
      </c>
      <c r="F113" s="1072">
        <v>2050</v>
      </c>
      <c r="H113" s="1079"/>
    </row>
    <row r="114" spans="1:8" s="1048" customFormat="1" ht="14.25" customHeight="1" thickBot="1">
      <c r="A114" s="1060" t="s">
        <v>1611</v>
      </c>
      <c r="B114" s="1054" t="s">
        <v>1318</v>
      </c>
      <c r="C114" s="1054">
        <v>11390</v>
      </c>
      <c r="D114" s="1054">
        <v>11350</v>
      </c>
      <c r="E114" s="1054">
        <v>11640</v>
      </c>
      <c r="F114" s="1072">
        <v>1620</v>
      </c>
      <c r="H114" s="1079"/>
    </row>
    <row r="115" spans="1:8" s="1048" customFormat="1" ht="14.25" customHeight="1" thickBot="1">
      <c r="A115" s="1060" t="s">
        <v>1611</v>
      </c>
      <c r="B115" s="1054" t="s">
        <v>1329</v>
      </c>
      <c r="C115" s="1054">
        <v>9930</v>
      </c>
      <c r="D115" s="1054">
        <v>9900</v>
      </c>
      <c r="E115" s="1054">
        <v>10160</v>
      </c>
      <c r="F115" s="1072">
        <v>1580</v>
      </c>
      <c r="H115" s="1079"/>
    </row>
    <row r="116" spans="1:8" s="1048" customFormat="1" ht="14.25" customHeight="1" thickBot="1">
      <c r="A116" s="1060" t="s">
        <v>1611</v>
      </c>
      <c r="B116" s="1054" t="s">
        <v>1340</v>
      </c>
      <c r="C116" s="1054">
        <v>9150</v>
      </c>
      <c r="D116" s="1054">
        <v>9120</v>
      </c>
      <c r="E116" s="1054">
        <v>9380</v>
      </c>
      <c r="F116" s="1072">
        <v>1750</v>
      </c>
      <c r="H116" s="1079"/>
    </row>
    <row r="117" spans="1:8" s="1048" customFormat="1" ht="14.25" customHeight="1" thickBot="1">
      <c r="A117" s="1060" t="s">
        <v>1611</v>
      </c>
      <c r="B117" s="1054" t="s">
        <v>1351</v>
      </c>
      <c r="C117" s="1054">
        <v>10680</v>
      </c>
      <c r="D117" s="1054">
        <v>10650</v>
      </c>
      <c r="E117" s="1054">
        <v>10970</v>
      </c>
      <c r="F117" s="1072">
        <v>1730</v>
      </c>
      <c r="H117" s="1079"/>
    </row>
    <row r="118" spans="1:8" s="1048" customFormat="1" ht="14.25" customHeight="1" thickBot="1">
      <c r="A118" s="1060" t="s">
        <v>1611</v>
      </c>
      <c r="B118" s="1054" t="s">
        <v>1363</v>
      </c>
      <c r="C118" s="1054">
        <v>10080</v>
      </c>
      <c r="D118" s="1054">
        <v>10050</v>
      </c>
      <c r="E118" s="1054">
        <v>10350</v>
      </c>
      <c r="F118" s="1072">
        <v>1920</v>
      </c>
      <c r="H118" s="1079"/>
    </row>
    <row r="119" spans="1:8" s="1048" customFormat="1" ht="14.25" customHeight="1" thickBot="1">
      <c r="A119" s="1060" t="s">
        <v>1611</v>
      </c>
      <c r="B119" s="1054" t="s">
        <v>1373</v>
      </c>
      <c r="C119" s="1054">
        <v>9450</v>
      </c>
      <c r="D119" s="1054">
        <v>9410</v>
      </c>
      <c r="E119" s="1054">
        <v>9680</v>
      </c>
      <c r="F119" s="1072">
        <v>1880</v>
      </c>
      <c r="H119" s="1079"/>
    </row>
    <row r="120" spans="1:8" s="1048" customFormat="1" ht="14.25" customHeight="1" thickBot="1">
      <c r="A120" s="1060" t="s">
        <v>1611</v>
      </c>
      <c r="B120" s="1054" t="s">
        <v>1383</v>
      </c>
      <c r="C120" s="1054">
        <v>8730</v>
      </c>
      <c r="D120" s="1054">
        <v>8700</v>
      </c>
      <c r="E120" s="1054">
        <v>8950</v>
      </c>
      <c r="F120" s="1072">
        <v>1830</v>
      </c>
      <c r="H120" s="1079"/>
    </row>
    <row r="121" spans="1:8" s="1048" customFormat="1" ht="14.25" customHeight="1" thickBot="1">
      <c r="A121" s="1060" t="s">
        <v>1611</v>
      </c>
      <c r="B121" s="1054" t="s">
        <v>1393</v>
      </c>
      <c r="C121" s="1054">
        <v>10070</v>
      </c>
      <c r="D121" s="1054">
        <v>10040</v>
      </c>
      <c r="E121" s="1054">
        <v>10270</v>
      </c>
      <c r="F121" s="1072">
        <v>1960</v>
      </c>
      <c r="H121" s="1079"/>
    </row>
    <row r="122" spans="1:8" s="1048" customFormat="1" ht="14.25" customHeight="1" thickBot="1">
      <c r="A122" s="1060" t="s">
        <v>1611</v>
      </c>
      <c r="B122" s="1054" t="s">
        <v>1403</v>
      </c>
      <c r="C122" s="1054">
        <v>10500</v>
      </c>
      <c r="D122" s="1054">
        <v>10470</v>
      </c>
      <c r="E122" s="1054">
        <v>10780</v>
      </c>
      <c r="F122" s="1072">
        <v>2180</v>
      </c>
      <c r="H122" s="1079"/>
    </row>
    <row r="123" spans="1:8" s="1048" customFormat="1" ht="14.25" customHeight="1" thickBot="1">
      <c r="A123" s="1060" t="s">
        <v>1611</v>
      </c>
      <c r="B123" s="1054" t="s">
        <v>1413</v>
      </c>
      <c r="C123" s="1054">
        <v>10390</v>
      </c>
      <c r="D123" s="1054">
        <v>10360</v>
      </c>
      <c r="E123" s="1054">
        <v>10660</v>
      </c>
      <c r="F123" s="1072">
        <v>2040</v>
      </c>
      <c r="H123" s="1079"/>
    </row>
    <row r="124" spans="1:8" s="1048" customFormat="1" ht="14.25" customHeight="1" thickBot="1">
      <c r="A124" s="1060" t="s">
        <v>1611</v>
      </c>
      <c r="B124" s="1054" t="s">
        <v>1423</v>
      </c>
      <c r="C124" s="1054">
        <v>10390</v>
      </c>
      <c r="D124" s="1054">
        <v>10360</v>
      </c>
      <c r="E124" s="1054">
        <v>10680</v>
      </c>
      <c r="F124" s="1081"/>
      <c r="H124" s="1079"/>
    </row>
    <row r="125" spans="1:8" s="1048" customFormat="1" ht="14.25" customHeight="1" thickBot="1">
      <c r="A125" s="1060" t="s">
        <v>1611</v>
      </c>
      <c r="B125" s="1054" t="s">
        <v>1433</v>
      </c>
      <c r="C125" s="1054">
        <v>10440</v>
      </c>
      <c r="D125" s="1054">
        <v>10410</v>
      </c>
      <c r="E125" s="1054">
        <v>10710</v>
      </c>
      <c r="F125" s="1081"/>
      <c r="H125" s="1079"/>
    </row>
    <row r="126" spans="1:8" s="1048" customFormat="1" ht="14.25" customHeight="1" thickBot="1">
      <c r="A126" s="1060" t="s">
        <v>1611</v>
      </c>
      <c r="B126" s="1054" t="s">
        <v>1443</v>
      </c>
      <c r="C126" s="1054">
        <v>10780</v>
      </c>
      <c r="D126" s="1054">
        <v>10750</v>
      </c>
      <c r="E126" s="1054">
        <v>11080</v>
      </c>
      <c r="F126" s="1081"/>
      <c r="H126" s="1079"/>
    </row>
    <row r="127" spans="1:8" s="1048" customFormat="1" ht="14.25" customHeight="1" thickBot="1">
      <c r="A127" s="1060" t="s">
        <v>1611</v>
      </c>
      <c r="B127" s="1054" t="s">
        <v>1453</v>
      </c>
      <c r="C127" s="1054">
        <v>10100</v>
      </c>
      <c r="D127" s="1054">
        <v>10070</v>
      </c>
      <c r="E127" s="1054">
        <v>10350</v>
      </c>
      <c r="F127" s="1081"/>
      <c r="H127" s="1079"/>
    </row>
    <row r="128" spans="1:8" s="1048" customFormat="1" ht="14.25" customHeight="1" thickBot="1">
      <c r="A128" s="1060" t="s">
        <v>1611</v>
      </c>
      <c r="B128" s="1054" t="s">
        <v>1463</v>
      </c>
      <c r="C128" s="1054">
        <v>9200</v>
      </c>
      <c r="D128" s="1054">
        <v>9160</v>
      </c>
      <c r="E128" s="1054">
        <v>9660</v>
      </c>
      <c r="F128" s="1081"/>
      <c r="H128" s="1079"/>
    </row>
    <row r="129" spans="1:8" s="1048" customFormat="1" ht="14.25" customHeight="1" thickBot="1">
      <c r="A129" s="1060" t="s">
        <v>1611</v>
      </c>
      <c r="B129" s="1054" t="s">
        <v>1472</v>
      </c>
      <c r="C129" s="1054">
        <v>10340</v>
      </c>
      <c r="D129" s="1054">
        <v>10310</v>
      </c>
      <c r="E129" s="1054">
        <v>10580</v>
      </c>
      <c r="F129" s="1081"/>
      <c r="H129" s="1079"/>
    </row>
    <row r="130" spans="1:8" s="1048" customFormat="1" ht="14.25" customHeight="1" thickBot="1">
      <c r="A130" s="1060" t="s">
        <v>1611</v>
      </c>
      <c r="B130" s="1054" t="s">
        <v>1481</v>
      </c>
      <c r="C130" s="1054">
        <v>9680</v>
      </c>
      <c r="D130" s="1054">
        <v>9660</v>
      </c>
      <c r="E130" s="1054">
        <v>9950</v>
      </c>
      <c r="F130" s="1081"/>
      <c r="H130" s="1079"/>
    </row>
    <row r="131" spans="1:8" s="1048" customFormat="1" ht="14.25" customHeight="1" thickBot="1">
      <c r="A131" s="1060" t="s">
        <v>1611</v>
      </c>
      <c r="B131" s="1054" t="s">
        <v>1489</v>
      </c>
      <c r="C131" s="1054">
        <v>9540</v>
      </c>
      <c r="D131" s="1054">
        <v>9510</v>
      </c>
      <c r="E131" s="1054">
        <v>9790</v>
      </c>
      <c r="F131" s="1081"/>
      <c r="H131" s="1079"/>
    </row>
    <row r="132" spans="1:8" s="1048" customFormat="1" ht="14.25" customHeight="1" thickBot="1">
      <c r="A132" s="1060" t="s">
        <v>1611</v>
      </c>
      <c r="B132" s="1054" t="s">
        <v>1496</v>
      </c>
      <c r="C132" s="1054">
        <v>9320</v>
      </c>
      <c r="D132" s="1054">
        <v>9290</v>
      </c>
      <c r="E132" s="1054">
        <v>9570</v>
      </c>
      <c r="F132" s="1081"/>
      <c r="H132" s="1079"/>
    </row>
    <row r="133" spans="1:8" s="1048" customFormat="1" ht="14.25" customHeight="1" thickBot="1">
      <c r="A133" s="1060" t="s">
        <v>1611</v>
      </c>
      <c r="B133" s="1054" t="s">
        <v>1503</v>
      </c>
      <c r="C133" s="1054">
        <v>10310</v>
      </c>
      <c r="D133" s="1054">
        <v>10280</v>
      </c>
      <c r="E133" s="1054">
        <v>10530</v>
      </c>
      <c r="F133" s="1081"/>
      <c r="H133" s="1079"/>
    </row>
    <row r="134" spans="1:8" s="1048" customFormat="1" ht="14.25" customHeight="1" thickBot="1">
      <c r="A134" s="1060" t="s">
        <v>1611</v>
      </c>
      <c r="B134" s="1054" t="s">
        <v>1510</v>
      </c>
      <c r="C134" s="1054">
        <v>10370</v>
      </c>
      <c r="D134" s="1054">
        <v>10310</v>
      </c>
      <c r="E134" s="1054">
        <v>10240</v>
      </c>
      <c r="F134" s="1072">
        <v>2060</v>
      </c>
      <c r="H134" s="1079"/>
    </row>
    <row r="135" spans="1:8" s="1048" customFormat="1" ht="14.25" customHeight="1" thickBot="1">
      <c r="A135" s="1060" t="s">
        <v>1611</v>
      </c>
      <c r="B135" s="1054" t="s">
        <v>1517</v>
      </c>
      <c r="C135" s="1054">
        <v>9300</v>
      </c>
      <c r="D135" s="1054">
        <v>9270</v>
      </c>
      <c r="E135" s="1054">
        <v>9350</v>
      </c>
      <c r="F135" s="1081"/>
      <c r="H135" s="1079"/>
    </row>
    <row r="136" spans="1:8" s="1048" customFormat="1" ht="14.25" customHeight="1" thickBot="1">
      <c r="A136" s="1060" t="s">
        <v>1611</v>
      </c>
      <c r="B136" s="1054" t="s">
        <v>1524</v>
      </c>
      <c r="C136" s="1054">
        <v>10160</v>
      </c>
      <c r="D136" s="1054">
        <v>10110</v>
      </c>
      <c r="E136" s="1054">
        <v>10080</v>
      </c>
      <c r="F136" s="1081"/>
      <c r="H136" s="1079"/>
    </row>
    <row r="137" spans="1:8" s="1048" customFormat="1" ht="14.25" customHeight="1" thickBot="1">
      <c r="A137" s="1060" t="s">
        <v>1611</v>
      </c>
      <c r="B137" s="1054" t="s">
        <v>1531</v>
      </c>
      <c r="C137" s="1054">
        <v>9200</v>
      </c>
      <c r="D137" s="1054">
        <v>9170</v>
      </c>
      <c r="E137" s="1054">
        <v>9450</v>
      </c>
      <c r="F137" s="1081"/>
      <c r="H137" s="1079"/>
    </row>
    <row r="138" spans="1:8" s="1048" customFormat="1" ht="14.25" customHeight="1" thickBot="1">
      <c r="A138" s="1060" t="s">
        <v>1611</v>
      </c>
      <c r="B138" s="1054" t="s">
        <v>1536</v>
      </c>
      <c r="C138" s="1054">
        <v>9690</v>
      </c>
      <c r="D138" s="1054">
        <v>9660</v>
      </c>
      <c r="E138" s="1054">
        <v>9840</v>
      </c>
      <c r="F138" s="1081"/>
      <c r="H138" s="1079"/>
    </row>
    <row r="139" spans="1:8" s="1048" customFormat="1" ht="14.25" customHeight="1" thickBot="1">
      <c r="A139" s="1060" t="s">
        <v>1611</v>
      </c>
      <c r="B139" s="1054" t="s">
        <v>1540</v>
      </c>
      <c r="C139" s="1054">
        <v>10290</v>
      </c>
      <c r="D139" s="1054">
        <v>10260</v>
      </c>
      <c r="E139" s="1054">
        <v>10550</v>
      </c>
      <c r="F139" s="1072">
        <v>1700</v>
      </c>
      <c r="H139" s="1079"/>
    </row>
    <row r="140" spans="1:8" s="1048" customFormat="1" ht="14.25" customHeight="1" thickBot="1">
      <c r="A140" s="1060" t="s">
        <v>1611</v>
      </c>
      <c r="B140" s="1054" t="s">
        <v>1545</v>
      </c>
      <c r="C140" s="1054">
        <v>9740</v>
      </c>
      <c r="D140" s="1054">
        <v>9710</v>
      </c>
      <c r="E140" s="1054">
        <v>10000</v>
      </c>
      <c r="F140" s="1072">
        <v>2000</v>
      </c>
      <c r="H140" s="1079"/>
    </row>
    <row r="141" spans="1:8" s="1048" customFormat="1" ht="14.25" customHeight="1" thickBot="1">
      <c r="A141" s="1060" t="s">
        <v>1611</v>
      </c>
      <c r="B141" s="1054" t="s">
        <v>1550</v>
      </c>
      <c r="C141" s="1054">
        <v>9810</v>
      </c>
      <c r="D141" s="1054">
        <v>9770</v>
      </c>
      <c r="E141" s="1054">
        <v>10060</v>
      </c>
      <c r="F141" s="1081"/>
      <c r="H141" s="1079"/>
    </row>
    <row r="142" spans="1:8" s="1048" customFormat="1" ht="14.25" customHeight="1" thickBot="1">
      <c r="A142" s="1060" t="s">
        <v>1611</v>
      </c>
      <c r="B142" s="1054" t="s">
        <v>1555</v>
      </c>
      <c r="C142" s="1054">
        <v>9300</v>
      </c>
      <c r="D142" s="1054">
        <v>9270</v>
      </c>
      <c r="E142" s="1054">
        <v>9530</v>
      </c>
      <c r="F142" s="1081"/>
      <c r="H142" s="1079"/>
    </row>
    <row r="143" spans="1:8" s="1048" customFormat="1" ht="14.25" customHeight="1" thickBot="1">
      <c r="A143" s="1060" t="s">
        <v>1611</v>
      </c>
      <c r="B143" s="1054" t="s">
        <v>1560</v>
      </c>
      <c r="C143" s="1054">
        <v>10080</v>
      </c>
      <c r="D143" s="1054">
        <v>10050</v>
      </c>
      <c r="E143" s="1054">
        <v>10340</v>
      </c>
      <c r="F143" s="1081"/>
      <c r="H143" s="1079"/>
    </row>
    <row r="144" spans="1:8" s="1048" customFormat="1" ht="14.25" customHeight="1" thickBot="1">
      <c r="A144" s="1060" t="s">
        <v>1611</v>
      </c>
      <c r="B144" s="1054" t="s">
        <v>1564</v>
      </c>
      <c r="C144" s="1054">
        <v>9820</v>
      </c>
      <c r="D144" s="1054">
        <v>9750</v>
      </c>
      <c r="E144" s="1054">
        <v>9900</v>
      </c>
      <c r="F144" s="1081"/>
      <c r="H144" s="1079"/>
    </row>
    <row r="145" spans="1:8" s="1048" customFormat="1" ht="14.25" customHeight="1" thickBot="1">
      <c r="A145" s="1060" t="s">
        <v>1611</v>
      </c>
      <c r="B145" s="1054" t="s">
        <v>1568</v>
      </c>
      <c r="C145" s="1054"/>
      <c r="D145" s="1054"/>
      <c r="E145" s="1054"/>
      <c r="F145" s="1072">
        <v>1740</v>
      </c>
      <c r="H145" s="1079"/>
    </row>
    <row r="146" spans="1:8" s="1048" customFormat="1" ht="14.25" customHeight="1" thickBot="1">
      <c r="A146" s="1060" t="s">
        <v>1611</v>
      </c>
      <c r="B146" s="1054" t="s">
        <v>1572</v>
      </c>
      <c r="C146" s="1054"/>
      <c r="D146" s="1054"/>
      <c r="E146" s="1054"/>
      <c r="F146" s="1072">
        <v>1740</v>
      </c>
      <c r="H146" s="1079"/>
    </row>
    <row r="147" spans="1:8" s="1048" customFormat="1" ht="14.25" customHeight="1" thickBot="1">
      <c r="A147" s="1060" t="s">
        <v>1611</v>
      </c>
      <c r="B147" s="1054" t="s">
        <v>1576</v>
      </c>
      <c r="C147" s="1054"/>
      <c r="D147" s="1054"/>
      <c r="E147" s="1054"/>
      <c r="F147" s="1072">
        <v>1740</v>
      </c>
      <c r="H147" s="1079"/>
    </row>
    <row r="148" spans="1:8" s="1048" customFormat="1" ht="14.25" customHeight="1" thickBot="1">
      <c r="A148" s="1060" t="s">
        <v>1611</v>
      </c>
      <c r="B148" s="1054" t="s">
        <v>1580</v>
      </c>
      <c r="C148" s="1054"/>
      <c r="D148" s="1054"/>
      <c r="E148" s="1054"/>
      <c r="F148" s="1072">
        <v>1740</v>
      </c>
      <c r="H148" s="1079"/>
    </row>
    <row r="149" spans="1:8" s="1048" customFormat="1" ht="14.25" customHeight="1" thickBot="1">
      <c r="A149" s="1060" t="s">
        <v>1611</v>
      </c>
      <c r="B149" s="1054" t="s">
        <v>1584</v>
      </c>
      <c r="C149" s="1054"/>
      <c r="D149" s="1054"/>
      <c r="E149" s="1054"/>
      <c r="F149" s="1072">
        <v>1740</v>
      </c>
      <c r="H149" s="1079"/>
    </row>
    <row r="150" spans="1:8" s="1048" customFormat="1" ht="14.25" customHeight="1" thickBot="1">
      <c r="A150" s="1060" t="s">
        <v>1611</v>
      </c>
      <c r="B150" s="1054" t="s">
        <v>1587</v>
      </c>
      <c r="C150" s="1054"/>
      <c r="D150" s="1054"/>
      <c r="E150" s="1054"/>
      <c r="F150" s="1072">
        <v>1610</v>
      </c>
      <c r="H150" s="1079"/>
    </row>
    <row r="151" spans="1:8" s="1048" customFormat="1" ht="14.25" customHeight="1" thickBot="1">
      <c r="A151" s="1060" t="s">
        <v>1611</v>
      </c>
      <c r="B151" s="1054" t="s">
        <v>1590</v>
      </c>
      <c r="C151" s="1054"/>
      <c r="D151" s="1054"/>
      <c r="E151" s="1054"/>
      <c r="F151" s="1072">
        <v>1610</v>
      </c>
      <c r="H151" s="1079"/>
    </row>
    <row r="152" spans="1:8" s="1048" customFormat="1" ht="14.25" customHeight="1" thickBot="1">
      <c r="A152" s="1060" t="s">
        <v>1611</v>
      </c>
      <c r="B152" s="1054" t="s">
        <v>1593</v>
      </c>
      <c r="C152" s="1054"/>
      <c r="D152" s="1054"/>
      <c r="E152" s="1054"/>
      <c r="F152" s="1072">
        <v>1610</v>
      </c>
      <c r="H152" s="1079"/>
    </row>
    <row r="153" spans="1:8" s="1048" customFormat="1" ht="14.25" customHeight="1" thickBot="1">
      <c r="A153" s="1060" t="s">
        <v>1611</v>
      </c>
      <c r="B153" s="1054" t="s">
        <v>1596</v>
      </c>
      <c r="C153" s="1054"/>
      <c r="D153" s="1054"/>
      <c r="E153" s="1054"/>
      <c r="F153" s="1072">
        <v>1610</v>
      </c>
      <c r="H153" s="1079"/>
    </row>
    <row r="154" spans="1:8" s="1048" customFormat="1" ht="14.25" customHeight="1" thickBot="1">
      <c r="A154" s="1060" t="s">
        <v>1611</v>
      </c>
      <c r="B154" s="1054" t="s">
        <v>1599</v>
      </c>
      <c r="C154" s="1054"/>
      <c r="D154" s="1054"/>
      <c r="E154" s="1054"/>
      <c r="F154" s="1072">
        <v>1610</v>
      </c>
      <c r="H154" s="1079"/>
    </row>
    <row r="155" spans="1:8" s="1048" customFormat="1" ht="14.25" customHeight="1" thickBot="1">
      <c r="A155" s="1060" t="s">
        <v>1611</v>
      </c>
      <c r="B155" s="1054" t="s">
        <v>1602</v>
      </c>
      <c r="C155" s="1054"/>
      <c r="D155" s="1054"/>
      <c r="E155" s="1054"/>
      <c r="F155" s="1072">
        <v>1800</v>
      </c>
      <c r="H155" s="1079"/>
    </row>
    <row r="156" spans="1:8" s="1048" customFormat="1" ht="14.25" customHeight="1" thickBot="1">
      <c r="A156" s="1060" t="s">
        <v>1611</v>
      </c>
      <c r="B156" s="1054" t="s">
        <v>1604</v>
      </c>
      <c r="C156" s="1054"/>
      <c r="D156" s="1054"/>
      <c r="E156" s="1054"/>
      <c r="F156" s="1072">
        <v>1910</v>
      </c>
      <c r="H156" s="1079"/>
    </row>
    <row r="157" spans="1:8" s="1048" customFormat="1" ht="14.25" customHeight="1" thickBot="1">
      <c r="A157" s="1060" t="s">
        <v>1611</v>
      </c>
      <c r="B157" s="1070" t="s">
        <v>1607</v>
      </c>
      <c r="C157" s="1070"/>
      <c r="D157" s="1070"/>
      <c r="E157" s="1070"/>
      <c r="F157" s="1080">
        <v>1500</v>
      </c>
      <c r="H157" s="1079"/>
    </row>
    <row r="158" spans="1:8" s="1048" customFormat="1" ht="14.25" customHeight="1" thickBot="1">
      <c r="A158" s="1060" t="s">
        <v>1613</v>
      </c>
      <c r="B158" s="1061" t="s">
        <v>1614</v>
      </c>
      <c r="C158" s="1061">
        <v>8170</v>
      </c>
      <c r="D158" s="1061">
        <v>8140</v>
      </c>
      <c r="E158" s="1061">
        <v>8590</v>
      </c>
      <c r="F158" s="1062">
        <v>1450</v>
      </c>
      <c r="H158" s="1079"/>
    </row>
    <row r="159" spans="1:8" s="1048" customFormat="1" ht="14.25" customHeight="1" thickBot="1">
      <c r="A159" s="1060" t="s">
        <v>1613</v>
      </c>
      <c r="B159" s="1054" t="s">
        <v>1278</v>
      </c>
      <c r="C159" s="1054">
        <v>7410</v>
      </c>
      <c r="D159" s="1054">
        <v>7370</v>
      </c>
      <c r="E159" s="1054">
        <v>8030</v>
      </c>
      <c r="F159" s="1072">
        <v>1510</v>
      </c>
      <c r="H159" s="1079"/>
    </row>
    <row r="160" spans="1:8" s="1048" customFormat="1" ht="14.25" customHeight="1" thickBot="1">
      <c r="A160" s="1060" t="s">
        <v>1613</v>
      </c>
      <c r="B160" s="1054" t="s">
        <v>1292</v>
      </c>
      <c r="C160" s="1054">
        <v>7240</v>
      </c>
      <c r="D160" s="1054">
        <v>7210</v>
      </c>
      <c r="E160" s="1054">
        <v>7860</v>
      </c>
      <c r="F160" s="1072">
        <v>1370</v>
      </c>
      <c r="H160" s="1079"/>
    </row>
    <row r="161" spans="1:8" s="1048" customFormat="1" ht="14.25" customHeight="1" thickBot="1">
      <c r="A161" s="1060" t="s">
        <v>1613</v>
      </c>
      <c r="B161" s="1054" t="s">
        <v>1305</v>
      </c>
      <c r="C161" s="1054">
        <v>7720</v>
      </c>
      <c r="D161" s="1054">
        <v>7690</v>
      </c>
      <c r="E161" s="1054">
        <v>8200</v>
      </c>
      <c r="F161" s="1072">
        <v>1190</v>
      </c>
      <c r="H161" s="1079"/>
    </row>
    <row r="162" spans="1:8" s="1048" customFormat="1" ht="14.25" customHeight="1" thickBot="1">
      <c r="A162" s="1060" t="s">
        <v>1613</v>
      </c>
      <c r="B162" s="1054" t="s">
        <v>1319</v>
      </c>
      <c r="C162" s="1054">
        <v>6900</v>
      </c>
      <c r="D162" s="1054">
        <v>6870</v>
      </c>
      <c r="E162" s="1054">
        <v>7500</v>
      </c>
      <c r="F162" s="1072">
        <v>1390</v>
      </c>
      <c r="H162" s="1079"/>
    </row>
    <row r="163" spans="1:8" s="1048" customFormat="1" ht="14.25" customHeight="1" thickBot="1">
      <c r="A163" s="1060" t="s">
        <v>1613</v>
      </c>
      <c r="B163" s="1054" t="s">
        <v>1330</v>
      </c>
      <c r="C163" s="1054">
        <v>7120</v>
      </c>
      <c r="D163" s="1054">
        <v>7090</v>
      </c>
      <c r="E163" s="1054">
        <v>7690</v>
      </c>
      <c r="F163" s="1072">
        <v>1230</v>
      </c>
      <c r="H163" s="1079"/>
    </row>
    <row r="164" spans="1:8" s="1048" customFormat="1" ht="14.25" customHeight="1" thickBot="1">
      <c r="A164" s="1060" t="s">
        <v>1613</v>
      </c>
      <c r="B164" s="1054" t="s">
        <v>1341</v>
      </c>
      <c r="C164" s="1054">
        <v>6560</v>
      </c>
      <c r="D164" s="1054">
        <v>6530</v>
      </c>
      <c r="E164" s="1054">
        <v>7110</v>
      </c>
      <c r="F164" s="1072">
        <v>1340</v>
      </c>
      <c r="H164" s="1079"/>
    </row>
    <row r="165" spans="1:8" s="1048" customFormat="1" ht="14.25" customHeight="1" thickBot="1">
      <c r="A165" s="1060" t="s">
        <v>1613</v>
      </c>
      <c r="B165" s="1054" t="s">
        <v>1352</v>
      </c>
      <c r="C165" s="1054">
        <v>7450</v>
      </c>
      <c r="D165" s="1054">
        <v>7430</v>
      </c>
      <c r="E165" s="1054">
        <v>8110</v>
      </c>
      <c r="F165" s="1072">
        <v>1290</v>
      </c>
      <c r="H165" s="1079"/>
    </row>
    <row r="166" spans="1:8" s="1048" customFormat="1" ht="14.25" customHeight="1" thickBot="1">
      <c r="A166" s="1060" t="s">
        <v>1613</v>
      </c>
      <c r="B166" s="1054" t="s">
        <v>1364</v>
      </c>
      <c r="C166" s="1054">
        <v>7490</v>
      </c>
      <c r="D166" s="1054">
        <v>7460</v>
      </c>
      <c r="E166" s="1054">
        <v>8150</v>
      </c>
      <c r="F166" s="1072">
        <v>1350</v>
      </c>
      <c r="H166" s="1079"/>
    </row>
    <row r="167" spans="1:8" s="1048" customFormat="1" ht="14.25" customHeight="1" thickBot="1">
      <c r="A167" s="1060" t="s">
        <v>1613</v>
      </c>
      <c r="B167" s="1054" t="s">
        <v>1374</v>
      </c>
      <c r="C167" s="1054">
        <v>7540</v>
      </c>
      <c r="D167" s="1054">
        <v>7510</v>
      </c>
      <c r="E167" s="1054">
        <v>8030</v>
      </c>
      <c r="F167" s="1081"/>
      <c r="H167" s="1079"/>
    </row>
    <row r="168" spans="1:8" s="1048" customFormat="1" ht="14.25" customHeight="1" thickBot="1">
      <c r="A168" s="1060" t="s">
        <v>1613</v>
      </c>
      <c r="B168" s="1054" t="s">
        <v>1384</v>
      </c>
      <c r="C168" s="1054">
        <v>7210</v>
      </c>
      <c r="D168" s="1054">
        <v>7180</v>
      </c>
      <c r="E168" s="1054">
        <v>7830</v>
      </c>
      <c r="F168" s="1081"/>
      <c r="H168" s="1079"/>
    </row>
    <row r="169" spans="1:8" s="1048" customFormat="1" ht="14.25" customHeight="1" thickBot="1">
      <c r="A169" s="1060" t="s">
        <v>1613</v>
      </c>
      <c r="B169" s="1054" t="s">
        <v>1394</v>
      </c>
      <c r="C169" s="1054">
        <v>7040</v>
      </c>
      <c r="D169" s="1054">
        <v>7020</v>
      </c>
      <c r="E169" s="1054">
        <v>7670</v>
      </c>
      <c r="F169" s="1081"/>
      <c r="H169" s="1079"/>
    </row>
    <row r="170" spans="1:8" s="1048" customFormat="1" ht="14.25" customHeight="1" thickBot="1">
      <c r="A170" s="1060" t="s">
        <v>1613</v>
      </c>
      <c r="B170" s="1054" t="s">
        <v>1404</v>
      </c>
      <c r="C170" s="1054">
        <v>8040</v>
      </c>
      <c r="D170" s="1054">
        <v>7190</v>
      </c>
      <c r="E170" s="1054">
        <v>7850</v>
      </c>
      <c r="F170" s="1081"/>
      <c r="H170" s="1079"/>
    </row>
    <row r="171" spans="1:8" s="1048" customFormat="1" ht="14.25" customHeight="1" thickBot="1">
      <c r="A171" s="1060" t="s">
        <v>1613</v>
      </c>
      <c r="B171" s="1054" t="s">
        <v>1414</v>
      </c>
      <c r="C171" s="1054">
        <v>7860</v>
      </c>
      <c r="D171" s="1054">
        <v>7720</v>
      </c>
      <c r="E171" s="1054">
        <v>8150</v>
      </c>
      <c r="F171" s="1072">
        <v>1110</v>
      </c>
      <c r="H171" s="1079"/>
    </row>
    <row r="172" spans="1:8" s="1048" customFormat="1" ht="14.25" customHeight="1" thickBot="1">
      <c r="A172" s="1060" t="s">
        <v>1613</v>
      </c>
      <c r="B172" s="1054" t="s">
        <v>1424</v>
      </c>
      <c r="C172" s="1054">
        <v>7210</v>
      </c>
      <c r="D172" s="1054">
        <v>7170</v>
      </c>
      <c r="E172" s="1054">
        <v>7320</v>
      </c>
      <c r="F172" s="1081"/>
      <c r="H172" s="1079"/>
    </row>
    <row r="173" spans="1:8" s="1048" customFormat="1" ht="14.25" customHeight="1" thickBot="1">
      <c r="A173" s="1060" t="s">
        <v>1613</v>
      </c>
      <c r="B173" s="1054" t="s">
        <v>1434</v>
      </c>
      <c r="C173" s="1054">
        <v>6860</v>
      </c>
      <c r="D173" s="1054">
        <v>6810</v>
      </c>
      <c r="E173" s="1054">
        <v>7440</v>
      </c>
      <c r="F173" s="1081"/>
      <c r="H173" s="1079"/>
    </row>
    <row r="174" spans="1:8" s="1048" customFormat="1" ht="14.25" customHeight="1" thickBot="1">
      <c r="A174" s="1060" t="s">
        <v>1613</v>
      </c>
      <c r="B174" s="1054" t="s">
        <v>1444</v>
      </c>
      <c r="C174" s="1054">
        <v>7120</v>
      </c>
      <c r="D174" s="1054">
        <v>7090</v>
      </c>
      <c r="E174" s="1054">
        <v>7500</v>
      </c>
      <c r="F174" s="1072">
        <v>1490</v>
      </c>
      <c r="H174" s="1079"/>
    </row>
    <row r="175" spans="1:8" s="1048" customFormat="1" ht="14.25" customHeight="1" thickBot="1">
      <c r="A175" s="1060" t="s">
        <v>1613</v>
      </c>
      <c r="B175" s="1054" t="s">
        <v>1454</v>
      </c>
      <c r="C175" s="1054">
        <v>7850</v>
      </c>
      <c r="D175" s="1054">
        <v>7820</v>
      </c>
      <c r="E175" s="1054">
        <v>8120</v>
      </c>
      <c r="F175" s="1072">
        <v>1530</v>
      </c>
      <c r="H175" s="1079"/>
    </row>
    <row r="176" spans="1:8" s="1048" customFormat="1" ht="14.25" customHeight="1" thickBot="1">
      <c r="A176" s="1060" t="s">
        <v>1613</v>
      </c>
      <c r="B176" s="1054" t="s">
        <v>1464</v>
      </c>
      <c r="C176" s="1054">
        <v>7620</v>
      </c>
      <c r="D176" s="1054">
        <v>7570</v>
      </c>
      <c r="E176" s="1054">
        <v>7990</v>
      </c>
      <c r="F176" s="1072">
        <v>1480</v>
      </c>
      <c r="H176" s="1079"/>
    </row>
    <row r="177" spans="1:8" s="1048" customFormat="1" ht="14.25" customHeight="1" thickBot="1">
      <c r="A177" s="1060" t="s">
        <v>1613</v>
      </c>
      <c r="B177" s="1054" t="s">
        <v>1473</v>
      </c>
      <c r="C177" s="1054">
        <v>8590</v>
      </c>
      <c r="D177" s="1054">
        <v>8570</v>
      </c>
      <c r="E177" s="1054">
        <v>8740</v>
      </c>
      <c r="F177" s="1072">
        <v>1540</v>
      </c>
      <c r="H177" s="1079"/>
    </row>
    <row r="178" spans="1:8" s="1048" customFormat="1" ht="14.25" customHeight="1" thickBot="1">
      <c r="A178" s="1060" t="s">
        <v>1613</v>
      </c>
      <c r="B178" s="1054" t="s">
        <v>1482</v>
      </c>
      <c r="C178" s="1054">
        <v>7510</v>
      </c>
      <c r="D178" s="1054">
        <v>7470</v>
      </c>
      <c r="E178" s="1054">
        <v>8090</v>
      </c>
      <c r="F178" s="1072">
        <v>1320</v>
      </c>
      <c r="H178" s="1079"/>
    </row>
    <row r="179" spans="1:8" s="1048" customFormat="1" ht="14.25" customHeight="1" thickBot="1">
      <c r="A179" s="1060" t="s">
        <v>1613</v>
      </c>
      <c r="B179" s="1054" t="s">
        <v>1490</v>
      </c>
      <c r="C179" s="1054">
        <v>6380</v>
      </c>
      <c r="D179" s="1054">
        <v>6340</v>
      </c>
      <c r="E179" s="1054">
        <v>6810</v>
      </c>
      <c r="F179" s="1081"/>
      <c r="H179" s="1079"/>
    </row>
    <row r="180" spans="1:8" s="1048" customFormat="1" ht="14.25" customHeight="1" thickBot="1">
      <c r="A180" s="1060" t="s">
        <v>1613</v>
      </c>
      <c r="B180" s="1054" t="s">
        <v>1497</v>
      </c>
      <c r="C180" s="1054">
        <v>7830</v>
      </c>
      <c r="D180" s="1054">
        <v>7800</v>
      </c>
      <c r="E180" s="1054">
        <v>7780</v>
      </c>
      <c r="F180" s="1072">
        <v>1440</v>
      </c>
      <c r="H180" s="1079"/>
    </row>
    <row r="181" spans="1:8" s="1048" customFormat="1" ht="14.25" customHeight="1" thickBot="1">
      <c r="A181" s="1060" t="s">
        <v>1613</v>
      </c>
      <c r="B181" s="1054" t="s">
        <v>1504</v>
      </c>
      <c r="C181" s="1054">
        <v>7110</v>
      </c>
      <c r="D181" s="1054">
        <v>7080</v>
      </c>
      <c r="E181" s="1054">
        <v>7730</v>
      </c>
      <c r="F181" s="1072">
        <v>1350</v>
      </c>
      <c r="H181" s="1079"/>
    </row>
    <row r="182" spans="1:8" s="1048" customFormat="1" ht="14.25" customHeight="1" thickBot="1">
      <c r="A182" s="1060" t="s">
        <v>1613</v>
      </c>
      <c r="B182" s="1054" t="s">
        <v>1511</v>
      </c>
      <c r="C182" s="1054">
        <v>7310</v>
      </c>
      <c r="D182" s="1054">
        <v>7280</v>
      </c>
      <c r="E182" s="1054">
        <v>7950</v>
      </c>
      <c r="F182" s="1072">
        <v>1220</v>
      </c>
      <c r="H182" s="1079"/>
    </row>
    <row r="183" spans="1:8" s="1048" customFormat="1" ht="14.25" customHeight="1" thickBot="1">
      <c r="A183" s="1060" t="s">
        <v>1613</v>
      </c>
      <c r="B183" s="1054" t="s">
        <v>1518</v>
      </c>
      <c r="C183" s="1054">
        <v>7470</v>
      </c>
      <c r="D183" s="1054">
        <v>7440</v>
      </c>
      <c r="E183" s="1054">
        <v>7880</v>
      </c>
      <c r="F183" s="1081"/>
      <c r="H183" s="1079"/>
    </row>
    <row r="184" spans="1:8" s="1048" customFormat="1" ht="14.25" customHeight="1" thickBot="1">
      <c r="A184" s="1060" t="s">
        <v>1613</v>
      </c>
      <c r="B184" s="1054" t="s">
        <v>1525</v>
      </c>
      <c r="C184" s="1054">
        <v>6960</v>
      </c>
      <c r="D184" s="1054">
        <v>6930</v>
      </c>
      <c r="E184" s="1054">
        <v>7570</v>
      </c>
      <c r="F184" s="1081"/>
      <c r="H184" s="1079"/>
    </row>
    <row r="185" spans="1:8" s="1048" customFormat="1" ht="14.25" customHeight="1" thickBot="1">
      <c r="A185" s="1060" t="s">
        <v>1613</v>
      </c>
      <c r="B185" s="1054" t="s">
        <v>1532</v>
      </c>
      <c r="C185" s="1054">
        <v>7260</v>
      </c>
      <c r="D185" s="1054">
        <v>7230</v>
      </c>
      <c r="E185" s="1054">
        <v>7710</v>
      </c>
      <c r="F185" s="1072">
        <v>1360</v>
      </c>
      <c r="H185" s="1079"/>
    </row>
    <row r="186" spans="1:8" s="1048" customFormat="1" ht="14.25" customHeight="1" thickBot="1">
      <c r="A186" s="1060" t="s">
        <v>1613</v>
      </c>
      <c r="B186" s="1054" t="s">
        <v>1537</v>
      </c>
      <c r="C186" s="1054"/>
      <c r="D186" s="1054"/>
      <c r="E186" s="1054"/>
      <c r="F186" s="1072">
        <v>1560</v>
      </c>
      <c r="H186" s="1079"/>
    </row>
    <row r="187" spans="1:8" s="1048" customFormat="1" ht="14.25" customHeight="1" thickBot="1">
      <c r="A187" s="1060" t="s">
        <v>1613</v>
      </c>
      <c r="B187" s="1054" t="s">
        <v>1541</v>
      </c>
      <c r="C187" s="1054"/>
      <c r="D187" s="1054"/>
      <c r="E187" s="1054"/>
      <c r="F187" s="1072">
        <v>1560</v>
      </c>
      <c r="H187" s="1079"/>
    </row>
    <row r="188" spans="1:8" s="1048" customFormat="1" ht="14.25" customHeight="1" thickBot="1">
      <c r="A188" s="1060" t="s">
        <v>1613</v>
      </c>
      <c r="B188" s="1054" t="s">
        <v>1546</v>
      </c>
      <c r="C188" s="1054"/>
      <c r="D188" s="1054"/>
      <c r="E188" s="1054"/>
      <c r="F188" s="1072">
        <v>1560</v>
      </c>
      <c r="H188" s="1079"/>
    </row>
    <row r="189" spans="1:8" s="1048" customFormat="1" ht="14.25" customHeight="1" thickBot="1">
      <c r="A189" s="1060" t="s">
        <v>1613</v>
      </c>
      <c r="B189" s="1054" t="s">
        <v>1551</v>
      </c>
      <c r="C189" s="1054"/>
      <c r="D189" s="1054"/>
      <c r="E189" s="1054"/>
      <c r="F189" s="1072">
        <v>1320</v>
      </c>
      <c r="H189" s="1079"/>
    </row>
    <row r="190" spans="1:8" s="1048" customFormat="1" ht="14.25" customHeight="1" thickBot="1">
      <c r="A190" s="1060" t="s">
        <v>1613</v>
      </c>
      <c r="B190" s="1054" t="s">
        <v>1556</v>
      </c>
      <c r="C190" s="1054"/>
      <c r="D190" s="1054"/>
      <c r="E190" s="1054"/>
      <c r="F190" s="1072">
        <v>1320</v>
      </c>
      <c r="H190" s="1079"/>
    </row>
    <row r="191" spans="1:8" s="1048" customFormat="1" ht="14.25" customHeight="1" thickBot="1">
      <c r="A191" s="1060" t="s">
        <v>1613</v>
      </c>
      <c r="B191" s="1054" t="s">
        <v>1561</v>
      </c>
      <c r="C191" s="1054"/>
      <c r="D191" s="1054"/>
      <c r="E191" s="1054"/>
      <c r="F191" s="1072">
        <v>1320</v>
      </c>
      <c r="H191" s="1079"/>
    </row>
    <row r="192" spans="1:8" s="1048" customFormat="1" ht="14.25" customHeight="1" thickBot="1">
      <c r="A192" s="1060" t="s">
        <v>1613</v>
      </c>
      <c r="B192" s="1054" t="s">
        <v>1565</v>
      </c>
      <c r="C192" s="1054"/>
      <c r="D192" s="1054"/>
      <c r="E192" s="1054"/>
      <c r="F192" s="1072">
        <v>1100</v>
      </c>
      <c r="H192" s="1079"/>
    </row>
    <row r="193" spans="1:8" s="1048" customFormat="1" ht="14.25" customHeight="1" thickBot="1">
      <c r="A193" s="1060" t="s">
        <v>1613</v>
      </c>
      <c r="B193" s="1054" t="s">
        <v>1569</v>
      </c>
      <c r="C193" s="1054"/>
      <c r="D193" s="1054"/>
      <c r="E193" s="1054"/>
      <c r="F193" s="1072">
        <v>1100</v>
      </c>
      <c r="H193" s="1079"/>
    </row>
    <row r="194" spans="1:8" s="1048" customFormat="1" ht="14.25" customHeight="1" thickBot="1">
      <c r="A194" s="1060" t="s">
        <v>1613</v>
      </c>
      <c r="B194" s="1054" t="s">
        <v>1573</v>
      </c>
      <c r="C194" s="1054"/>
      <c r="D194" s="1054"/>
      <c r="E194" s="1054"/>
      <c r="F194" s="1072">
        <v>1080</v>
      </c>
      <c r="H194" s="1079"/>
    </row>
    <row r="195" spans="1:8" s="1048" customFormat="1" ht="14.25" customHeight="1" thickBot="1">
      <c r="A195" s="1060" t="s">
        <v>1613</v>
      </c>
      <c r="B195" s="1054" t="s">
        <v>1577</v>
      </c>
      <c r="C195" s="1054"/>
      <c r="D195" s="1054"/>
      <c r="E195" s="1054"/>
      <c r="F195" s="1072">
        <v>1270</v>
      </c>
      <c r="H195" s="1079"/>
    </row>
    <row r="196" spans="1:8" s="1048" customFormat="1" ht="14.25" customHeight="1" thickBot="1">
      <c r="A196" s="1060" t="s">
        <v>1613</v>
      </c>
      <c r="B196" s="1054" t="s">
        <v>1581</v>
      </c>
      <c r="C196" s="1054"/>
      <c r="D196" s="1054"/>
      <c r="E196" s="1054"/>
      <c r="F196" s="1072">
        <v>1150</v>
      </c>
      <c r="H196" s="1079"/>
    </row>
    <row r="197" spans="1:8" s="1048" customFormat="1" ht="14.25" customHeight="1" thickBot="1">
      <c r="A197" s="1060" t="s">
        <v>1613</v>
      </c>
      <c r="B197" s="1054" t="s">
        <v>1585</v>
      </c>
      <c r="C197" s="1054"/>
      <c r="D197" s="1054"/>
      <c r="E197" s="1054"/>
      <c r="F197" s="1072">
        <v>1330</v>
      </c>
      <c r="H197" s="1079"/>
    </row>
    <row r="198" spans="1:8" s="1048" customFormat="1" ht="14.25" customHeight="1" thickBot="1">
      <c r="A198" s="1060" t="s">
        <v>1613</v>
      </c>
      <c r="B198" s="1054" t="s">
        <v>1588</v>
      </c>
      <c r="C198" s="1054"/>
      <c r="D198" s="1054"/>
      <c r="E198" s="1054"/>
      <c r="F198" s="1072">
        <v>1170</v>
      </c>
      <c r="H198" s="1079"/>
    </row>
    <row r="199" spans="1:8" s="1048" customFormat="1" ht="14.25" customHeight="1" thickBot="1">
      <c r="A199" s="1060" t="s">
        <v>1613</v>
      </c>
      <c r="B199" s="1054" t="s">
        <v>1591</v>
      </c>
      <c r="C199" s="1054"/>
      <c r="D199" s="1054"/>
      <c r="E199" s="1054"/>
      <c r="F199" s="1072">
        <v>1120</v>
      </c>
      <c r="H199" s="1079"/>
    </row>
    <row r="200" spans="1:8" s="1048" customFormat="1" ht="14.25" customHeight="1" thickBot="1">
      <c r="A200" s="1060" t="s">
        <v>1613</v>
      </c>
      <c r="B200" s="1054" t="s">
        <v>1594</v>
      </c>
      <c r="C200" s="1054"/>
      <c r="D200" s="1054"/>
      <c r="E200" s="1054"/>
      <c r="F200" s="1072">
        <v>1120</v>
      </c>
      <c r="H200" s="1079"/>
    </row>
    <row r="201" spans="1:8" s="1048" customFormat="1" ht="14.25" customHeight="1" thickBot="1">
      <c r="A201" s="1060" t="s">
        <v>1613</v>
      </c>
      <c r="B201" s="1054" t="s">
        <v>1597</v>
      </c>
      <c r="C201" s="1054"/>
      <c r="D201" s="1054"/>
      <c r="E201" s="1054"/>
      <c r="F201" s="1072">
        <v>1540</v>
      </c>
      <c r="H201" s="1079"/>
    </row>
    <row r="202" spans="1:8" s="1048" customFormat="1" ht="14.25" customHeight="1" thickBot="1">
      <c r="A202" s="1060" t="s">
        <v>1613</v>
      </c>
      <c r="B202" s="1054" t="s">
        <v>1600</v>
      </c>
      <c r="C202" s="1054"/>
      <c r="D202" s="1054"/>
      <c r="E202" s="1054"/>
      <c r="F202" s="1072">
        <v>1310</v>
      </c>
      <c r="H202" s="1079"/>
    </row>
    <row r="203" spans="1:8" s="1048" customFormat="1" ht="14.25" customHeight="1" thickBot="1">
      <c r="A203" s="1060" t="s">
        <v>1613</v>
      </c>
      <c r="B203" s="1054" t="s">
        <v>1603</v>
      </c>
      <c r="C203" s="1054"/>
      <c r="D203" s="1054"/>
      <c r="E203" s="1054"/>
      <c r="F203" s="1072">
        <v>1310</v>
      </c>
      <c r="H203" s="1079"/>
    </row>
    <row r="204" spans="1:8" s="1048" customFormat="1" ht="14.25" customHeight="1" thickBot="1">
      <c r="A204" s="1060" t="s">
        <v>1613</v>
      </c>
      <c r="B204" s="1054" t="s">
        <v>1605</v>
      </c>
      <c r="C204" s="1054"/>
      <c r="D204" s="1054"/>
      <c r="E204" s="1054"/>
      <c r="F204" s="1072">
        <v>1080</v>
      </c>
      <c r="H204" s="1079"/>
    </row>
    <row r="205" spans="1:8" s="1048" customFormat="1" ht="14.25" customHeight="1" thickBot="1">
      <c r="A205" s="1060" t="s">
        <v>1613</v>
      </c>
      <c r="B205" s="1054" t="s">
        <v>1608</v>
      </c>
      <c r="C205" s="1054"/>
      <c r="D205" s="1054"/>
      <c r="E205" s="1054"/>
      <c r="F205" s="1072">
        <v>1080</v>
      </c>
      <c r="H205" s="1079"/>
    </row>
    <row r="206" spans="1:8" s="1048" customFormat="1" ht="14.25" customHeight="1" thickBot="1">
      <c r="A206" s="1060" t="s">
        <v>1615</v>
      </c>
      <c r="B206" s="1061" t="s">
        <v>1616</v>
      </c>
      <c r="C206" s="1061">
        <v>5450</v>
      </c>
      <c r="D206" s="1061">
        <v>5430</v>
      </c>
      <c r="E206" s="1061">
        <v>5700</v>
      </c>
      <c r="F206" s="1062">
        <v>1020</v>
      </c>
      <c r="H206" s="1079"/>
    </row>
    <row r="207" spans="1:8" s="1048" customFormat="1" ht="14.25" customHeight="1" thickBot="1">
      <c r="A207" s="1060" t="s">
        <v>1615</v>
      </c>
      <c r="B207" s="1054" t="s">
        <v>1279</v>
      </c>
      <c r="C207" s="1054">
        <v>5860</v>
      </c>
      <c r="D207" s="1054">
        <v>5820</v>
      </c>
      <c r="E207" s="1054">
        <v>6050</v>
      </c>
      <c r="F207" s="1072">
        <v>1080</v>
      </c>
      <c r="H207" s="1079"/>
    </row>
    <row r="208" spans="1:8" s="1048" customFormat="1" ht="14.25" customHeight="1" thickBot="1">
      <c r="A208" s="1060" t="s">
        <v>1615</v>
      </c>
      <c r="B208" s="1054" t="s">
        <v>1293</v>
      </c>
      <c r="C208" s="1054">
        <v>4630</v>
      </c>
      <c r="D208" s="1054">
        <v>4600</v>
      </c>
      <c r="E208" s="1054">
        <v>4840</v>
      </c>
      <c r="F208" s="1072">
        <v>900</v>
      </c>
      <c r="H208" s="1079"/>
    </row>
    <row r="209" spans="1:8" s="1048" customFormat="1" ht="14.25" customHeight="1" thickBot="1">
      <c r="A209" s="1060" t="s">
        <v>1615</v>
      </c>
      <c r="B209" s="1054" t="s">
        <v>1306</v>
      </c>
      <c r="C209" s="1054">
        <v>5320</v>
      </c>
      <c r="D209" s="1054">
        <v>5270</v>
      </c>
      <c r="E209" s="1054">
        <v>5540</v>
      </c>
      <c r="F209" s="1072">
        <v>980</v>
      </c>
      <c r="H209" s="1079"/>
    </row>
    <row r="210" spans="1:8" s="1048" customFormat="1" ht="14.25" customHeight="1" thickBot="1">
      <c r="A210" s="1060" t="s">
        <v>1615</v>
      </c>
      <c r="B210" s="1054" t="s">
        <v>1320</v>
      </c>
      <c r="C210" s="1054">
        <v>5760</v>
      </c>
      <c r="D210" s="1054">
        <v>5710</v>
      </c>
      <c r="E210" s="1054">
        <v>6010</v>
      </c>
      <c r="F210" s="1072">
        <v>870</v>
      </c>
      <c r="H210" s="1079"/>
    </row>
    <row r="211" spans="1:8" s="1048" customFormat="1" ht="14.25" customHeight="1" thickBot="1">
      <c r="A211" s="1060" t="s">
        <v>1615</v>
      </c>
      <c r="B211" s="1054" t="s">
        <v>1331</v>
      </c>
      <c r="C211" s="1054">
        <v>4160</v>
      </c>
      <c r="D211" s="1054">
        <v>4100</v>
      </c>
      <c r="E211" s="1054">
        <v>4270</v>
      </c>
      <c r="F211" s="1072">
        <v>790</v>
      </c>
      <c r="H211" s="1079"/>
    </row>
    <row r="212" spans="1:8" s="1048" customFormat="1" ht="14.25" customHeight="1" thickBot="1">
      <c r="A212" s="1060" t="s">
        <v>1615</v>
      </c>
      <c r="B212" s="1054" t="s">
        <v>1342</v>
      </c>
      <c r="C212" s="1054">
        <v>4880</v>
      </c>
      <c r="D212" s="1054">
        <v>4850</v>
      </c>
      <c r="E212" s="1054">
        <v>5110</v>
      </c>
      <c r="F212" s="1072">
        <v>940</v>
      </c>
      <c r="H212" s="1079"/>
    </row>
    <row r="213" spans="1:8" s="1048" customFormat="1" ht="14.25" customHeight="1" thickBot="1">
      <c r="A213" s="1060" t="s">
        <v>1615</v>
      </c>
      <c r="B213" s="1054" t="s">
        <v>1353</v>
      </c>
      <c r="C213" s="1054">
        <v>4640</v>
      </c>
      <c r="D213" s="1054">
        <v>4590</v>
      </c>
      <c r="E213" s="1054">
        <v>4700</v>
      </c>
      <c r="F213" s="1072">
        <v>1030</v>
      </c>
      <c r="H213" s="1079"/>
    </row>
    <row r="214" spans="1:8" s="1048" customFormat="1" ht="14.25" customHeight="1" thickBot="1">
      <c r="A214" s="1060" t="s">
        <v>1615</v>
      </c>
      <c r="B214" s="1054" t="s">
        <v>1365</v>
      </c>
      <c r="C214" s="1054">
        <v>4540</v>
      </c>
      <c r="D214" s="1054">
        <v>4490</v>
      </c>
      <c r="E214" s="1054">
        <v>4610</v>
      </c>
      <c r="F214" s="1081"/>
      <c r="H214" s="1079"/>
    </row>
    <row r="215" spans="1:8" s="1048" customFormat="1" ht="14.25" customHeight="1" thickBot="1">
      <c r="A215" s="1060" t="s">
        <v>1615</v>
      </c>
      <c r="B215" s="1054" t="s">
        <v>1375</v>
      </c>
      <c r="C215" s="1054">
        <v>5280</v>
      </c>
      <c r="D215" s="1054">
        <v>5250</v>
      </c>
      <c r="E215" s="1054">
        <v>5520</v>
      </c>
      <c r="F215" s="1072">
        <v>1000</v>
      </c>
      <c r="H215" s="1079"/>
    </row>
    <row r="216" spans="1:8" s="1048" customFormat="1" ht="14.25" customHeight="1" thickBot="1">
      <c r="A216" s="1060" t="s">
        <v>1615</v>
      </c>
      <c r="B216" s="1054" t="s">
        <v>1385</v>
      </c>
      <c r="C216" s="1054">
        <v>5100</v>
      </c>
      <c r="D216" s="1054">
        <v>5050</v>
      </c>
      <c r="E216" s="1054">
        <v>5300</v>
      </c>
      <c r="F216" s="1072">
        <v>950</v>
      </c>
      <c r="H216" s="1079"/>
    </row>
    <row r="217" spans="1:8" s="1048" customFormat="1" ht="14.25" customHeight="1" thickBot="1">
      <c r="A217" s="1060" t="s">
        <v>1615</v>
      </c>
      <c r="B217" s="1054" t="s">
        <v>1395</v>
      </c>
      <c r="C217" s="1054">
        <v>5370</v>
      </c>
      <c r="D217" s="1054">
        <v>5320</v>
      </c>
      <c r="E217" s="1054">
        <v>5410</v>
      </c>
      <c r="F217" s="1072">
        <v>950</v>
      </c>
      <c r="H217" s="1079"/>
    </row>
    <row r="218" spans="1:8" s="1048" customFormat="1" ht="14.25" customHeight="1" thickBot="1">
      <c r="A218" s="1060" t="s">
        <v>1615</v>
      </c>
      <c r="B218" s="1054" t="s">
        <v>1405</v>
      </c>
      <c r="C218" s="1054">
        <v>5540</v>
      </c>
      <c r="D218" s="1054">
        <v>5480</v>
      </c>
      <c r="E218" s="1054">
        <v>5740</v>
      </c>
      <c r="F218" s="1072">
        <v>1020</v>
      </c>
      <c r="H218" s="1079"/>
    </row>
    <row r="219" spans="1:8" s="1048" customFormat="1" ht="14.25" customHeight="1" thickBot="1">
      <c r="A219" s="1060" t="s">
        <v>1615</v>
      </c>
      <c r="B219" s="1054" t="s">
        <v>1415</v>
      </c>
      <c r="C219" s="1054">
        <v>5140</v>
      </c>
      <c r="D219" s="1054">
        <v>5100</v>
      </c>
      <c r="E219" s="1054">
        <v>5350</v>
      </c>
      <c r="F219" s="1072">
        <v>1120</v>
      </c>
      <c r="H219" s="1079"/>
    </row>
    <row r="220" spans="1:8" s="1048" customFormat="1" ht="14.25" customHeight="1" thickBot="1">
      <c r="A220" s="1060" t="s">
        <v>1615</v>
      </c>
      <c r="B220" s="1054" t="s">
        <v>1425</v>
      </c>
      <c r="C220" s="1054">
        <v>5040</v>
      </c>
      <c r="D220" s="1054">
        <v>5000</v>
      </c>
      <c r="E220" s="1054">
        <v>5240</v>
      </c>
      <c r="F220" s="1072">
        <v>980</v>
      </c>
      <c r="H220" s="1079"/>
    </row>
    <row r="221" spans="1:8" s="1048" customFormat="1" ht="14.25" customHeight="1" thickBot="1">
      <c r="A221" s="1060" t="s">
        <v>1615</v>
      </c>
      <c r="B221" s="1054" t="s">
        <v>1435</v>
      </c>
      <c r="C221" s="1082"/>
      <c r="D221" s="1082"/>
      <c r="E221" s="1082"/>
      <c r="F221" s="1072">
        <v>1070</v>
      </c>
      <c r="H221" s="1079"/>
    </row>
    <row r="222" spans="1:8" s="1048" customFormat="1" ht="14.25" customHeight="1" thickBot="1">
      <c r="A222" s="1060" t="s">
        <v>1615</v>
      </c>
      <c r="B222" s="1054" t="s">
        <v>1445</v>
      </c>
      <c r="C222" s="1082"/>
      <c r="D222" s="1082"/>
      <c r="E222" s="1082"/>
      <c r="F222" s="1072">
        <v>870</v>
      </c>
      <c r="H222" s="1079"/>
    </row>
    <row r="223" spans="1:8" s="1048" customFormat="1" ht="14.25" customHeight="1" thickBot="1">
      <c r="A223" s="1060" t="s">
        <v>1615</v>
      </c>
      <c r="B223" s="1054" t="s">
        <v>1455</v>
      </c>
      <c r="C223" s="1082"/>
      <c r="D223" s="1082"/>
      <c r="E223" s="1082"/>
      <c r="F223" s="1072">
        <v>940</v>
      </c>
      <c r="H223" s="1079"/>
    </row>
    <row r="224" spans="1:8" s="1048" customFormat="1" ht="14.25" customHeight="1" thickBot="1">
      <c r="A224" s="1060" t="s">
        <v>1615</v>
      </c>
      <c r="B224" s="1054" t="s">
        <v>1465</v>
      </c>
      <c r="C224" s="1082"/>
      <c r="D224" s="1082"/>
      <c r="E224" s="1082"/>
      <c r="F224" s="1072">
        <v>990</v>
      </c>
      <c r="H224" s="1079"/>
    </row>
    <row r="225" spans="1:8" s="1048" customFormat="1" ht="14.25" customHeight="1" thickBot="1">
      <c r="A225" s="1060" t="s">
        <v>1615</v>
      </c>
      <c r="B225" s="1054" t="s">
        <v>1474</v>
      </c>
      <c r="C225" s="1054">
        <v>5730</v>
      </c>
      <c r="D225" s="1054">
        <v>5680</v>
      </c>
      <c r="E225" s="1054">
        <v>6020</v>
      </c>
      <c r="F225" s="1072">
        <v>1000</v>
      </c>
      <c r="H225" s="1079"/>
    </row>
    <row r="226" spans="1:8" s="1048" customFormat="1" ht="14.25" customHeight="1" thickBot="1">
      <c r="A226" s="1060" t="s">
        <v>1615</v>
      </c>
      <c r="B226" s="1054" t="s">
        <v>1483</v>
      </c>
      <c r="C226" s="1054">
        <v>4970</v>
      </c>
      <c r="D226" s="1054">
        <v>4940</v>
      </c>
      <c r="E226" s="1054">
        <v>5180</v>
      </c>
      <c r="F226" s="1072">
        <v>960</v>
      </c>
      <c r="H226" s="1079"/>
    </row>
    <row r="227" spans="1:8" s="1048" customFormat="1" ht="14.25" customHeight="1" thickBot="1">
      <c r="A227" s="1060" t="s">
        <v>1615</v>
      </c>
      <c r="B227" s="1054" t="s">
        <v>1491</v>
      </c>
      <c r="C227" s="1054">
        <v>5550</v>
      </c>
      <c r="D227" s="1054">
        <v>5500</v>
      </c>
      <c r="E227" s="1054">
        <v>5780</v>
      </c>
      <c r="F227" s="1072">
        <v>940</v>
      </c>
      <c r="H227" s="1079"/>
    </row>
    <row r="228" spans="1:8" s="1048" customFormat="1" ht="14.25" customHeight="1" thickBot="1">
      <c r="A228" s="1060" t="s">
        <v>1615</v>
      </c>
      <c r="B228" s="1054" t="s">
        <v>1498</v>
      </c>
      <c r="C228" s="1054">
        <v>5460</v>
      </c>
      <c r="D228" s="1054">
        <v>5420</v>
      </c>
      <c r="E228" s="1054">
        <v>5690</v>
      </c>
      <c r="F228" s="1072">
        <v>910</v>
      </c>
      <c r="H228" s="1079"/>
    </row>
    <row r="229" spans="1:8" s="1048" customFormat="1" ht="14.25" customHeight="1" thickBot="1">
      <c r="A229" s="1060" t="s">
        <v>1615</v>
      </c>
      <c r="B229" s="1054" t="s">
        <v>1505</v>
      </c>
      <c r="C229" s="1054">
        <v>5310</v>
      </c>
      <c r="D229" s="1054">
        <v>5270</v>
      </c>
      <c r="E229" s="1054">
        <v>5510</v>
      </c>
      <c r="F229" s="1081"/>
      <c r="H229" s="1079"/>
    </row>
    <row r="230" spans="1:8" s="1048" customFormat="1" ht="14.25" customHeight="1" thickBot="1">
      <c r="A230" s="1060" t="s">
        <v>1615</v>
      </c>
      <c r="B230" s="1054" t="s">
        <v>1512</v>
      </c>
      <c r="C230" s="1054">
        <v>4540</v>
      </c>
      <c r="D230" s="1054">
        <v>4500</v>
      </c>
      <c r="E230" s="1054">
        <v>4730</v>
      </c>
      <c r="F230" s="1081"/>
      <c r="H230" s="1079"/>
    </row>
    <row r="231" spans="1:8" s="1048" customFormat="1" ht="14.25" customHeight="1" thickBot="1">
      <c r="A231" s="1060" t="s">
        <v>1615</v>
      </c>
      <c r="B231" s="1054" t="s">
        <v>1519</v>
      </c>
      <c r="C231" s="1054">
        <v>4480</v>
      </c>
      <c r="D231" s="1054">
        <v>4410</v>
      </c>
      <c r="E231" s="1054">
        <v>4640</v>
      </c>
      <c r="F231" s="1081"/>
      <c r="H231" s="1079"/>
    </row>
    <row r="232" spans="1:8" s="1048" customFormat="1" ht="14.25" customHeight="1" thickBot="1">
      <c r="A232" s="1060" t="s">
        <v>1615</v>
      </c>
      <c r="B232" s="1054" t="s">
        <v>1526</v>
      </c>
      <c r="C232" s="1054">
        <v>5670</v>
      </c>
      <c r="D232" s="1054">
        <v>5600</v>
      </c>
      <c r="E232" s="1054">
        <v>5890</v>
      </c>
      <c r="F232" s="1072">
        <v>1150</v>
      </c>
      <c r="H232" s="1079"/>
    </row>
    <row r="233" spans="1:8" s="1048" customFormat="1" ht="14.25" customHeight="1" thickBot="1">
      <c r="A233" s="1060" t="s">
        <v>1615</v>
      </c>
      <c r="B233" s="1054" t="s">
        <v>1533</v>
      </c>
      <c r="C233" s="1054">
        <v>4590</v>
      </c>
      <c r="D233" s="1054">
        <v>4500</v>
      </c>
      <c r="E233" s="1054">
        <v>4600</v>
      </c>
      <c r="F233" s="1081"/>
      <c r="H233" s="1079"/>
    </row>
    <row r="234" spans="1:8" s="1048" customFormat="1" ht="14.25" customHeight="1" thickBot="1">
      <c r="A234" s="1060" t="s">
        <v>1615</v>
      </c>
      <c r="B234" s="1054" t="s">
        <v>2678</v>
      </c>
      <c r="C234" s="1054">
        <v>3990</v>
      </c>
      <c r="D234" s="1054">
        <v>3950</v>
      </c>
      <c r="E234" s="1054">
        <v>4180</v>
      </c>
      <c r="F234" s="1081"/>
      <c r="H234" s="1079"/>
    </row>
    <row r="235" spans="1:8" s="1048" customFormat="1" ht="14.25" customHeight="1" thickBot="1">
      <c r="A235" s="1060" t="s">
        <v>1615</v>
      </c>
      <c r="B235" s="1054" t="s">
        <v>1542</v>
      </c>
      <c r="C235" s="1054">
        <v>5590</v>
      </c>
      <c r="D235" s="1054">
        <v>5540</v>
      </c>
      <c r="E235" s="1054">
        <v>5810</v>
      </c>
      <c r="F235" s="1072">
        <v>970</v>
      </c>
      <c r="H235" s="1079"/>
    </row>
    <row r="236" spans="1:8" s="1048" customFormat="1" ht="14.25" customHeight="1" thickBot="1">
      <c r="A236" s="1060" t="s">
        <v>1615</v>
      </c>
      <c r="B236" s="1054" t="s">
        <v>1547</v>
      </c>
      <c r="C236" s="1054"/>
      <c r="D236" s="1054"/>
      <c r="E236" s="1054"/>
      <c r="F236" s="1072">
        <v>1020</v>
      </c>
      <c r="H236" s="1079"/>
    </row>
    <row r="237" spans="1:8" s="1048" customFormat="1" ht="14.25" customHeight="1" thickBot="1">
      <c r="A237" s="1060" t="s">
        <v>1615</v>
      </c>
      <c r="B237" s="1054" t="s">
        <v>1552</v>
      </c>
      <c r="C237" s="1054"/>
      <c r="D237" s="1054"/>
      <c r="E237" s="1054"/>
      <c r="F237" s="1072">
        <v>960</v>
      </c>
      <c r="H237" s="1079"/>
    </row>
    <row r="238" spans="1:8" s="1048" customFormat="1" ht="14.25" customHeight="1" thickBot="1">
      <c r="A238" s="1060" t="s">
        <v>1615</v>
      </c>
      <c r="B238" s="1054" t="s">
        <v>1557</v>
      </c>
      <c r="C238" s="1054"/>
      <c r="D238" s="1054"/>
      <c r="E238" s="1054"/>
      <c r="F238" s="1072">
        <v>960</v>
      </c>
      <c r="H238" s="1079"/>
    </row>
    <row r="239" spans="1:8" s="1048" customFormat="1" ht="14.25" customHeight="1" thickBot="1">
      <c r="A239" s="1060" t="s">
        <v>1615</v>
      </c>
      <c r="B239" s="1054" t="s">
        <v>1562</v>
      </c>
      <c r="C239" s="1054"/>
      <c r="D239" s="1054"/>
      <c r="E239" s="1054"/>
      <c r="F239" s="1072">
        <v>960</v>
      </c>
      <c r="H239" s="1079"/>
    </row>
    <row r="240" spans="1:8" s="1048" customFormat="1" ht="14.25" customHeight="1" thickBot="1">
      <c r="A240" s="1060" t="s">
        <v>1615</v>
      </c>
      <c r="B240" s="1054" t="s">
        <v>1566</v>
      </c>
      <c r="C240" s="1054"/>
      <c r="D240" s="1054"/>
      <c r="E240" s="1054"/>
      <c r="F240" s="1072">
        <v>990</v>
      </c>
      <c r="H240" s="1079"/>
    </row>
    <row r="241" spans="1:8" s="1048" customFormat="1" ht="14.25" customHeight="1" thickBot="1">
      <c r="A241" s="1060" t="s">
        <v>1615</v>
      </c>
      <c r="B241" s="1054" t="s">
        <v>1570</v>
      </c>
      <c r="C241" s="1054"/>
      <c r="D241" s="1054"/>
      <c r="E241" s="1054"/>
      <c r="F241" s="1072">
        <v>1000</v>
      </c>
      <c r="H241" s="1079"/>
    </row>
    <row r="242" spans="1:8" s="1048" customFormat="1" ht="14.25" customHeight="1" thickBot="1">
      <c r="A242" s="1060" t="s">
        <v>1615</v>
      </c>
      <c r="B242" s="1054" t="s">
        <v>1574</v>
      </c>
      <c r="C242" s="1054"/>
      <c r="D242" s="1054"/>
      <c r="E242" s="1054"/>
      <c r="F242" s="1072">
        <v>980</v>
      </c>
      <c r="H242" s="1079"/>
    </row>
    <row r="243" spans="1:8" s="1048" customFormat="1" ht="14.25" customHeight="1" thickBot="1">
      <c r="A243" s="1060" t="s">
        <v>1615</v>
      </c>
      <c r="B243" s="1054" t="s">
        <v>1578</v>
      </c>
      <c r="C243" s="1054"/>
      <c r="D243" s="1054"/>
      <c r="E243" s="1054"/>
      <c r="F243" s="1072">
        <v>970</v>
      </c>
      <c r="H243" s="1079"/>
    </row>
    <row r="244" spans="1:8" s="1048" customFormat="1" ht="14.25" customHeight="1" thickBot="1">
      <c r="A244" s="1060" t="s">
        <v>1615</v>
      </c>
      <c r="B244" s="1070" t="s">
        <v>1582</v>
      </c>
      <c r="C244" s="1070"/>
      <c r="D244" s="1070"/>
      <c r="E244" s="1070"/>
      <c r="F244" s="1080">
        <v>970</v>
      </c>
      <c r="H244" s="1079"/>
    </row>
    <row r="245" spans="1:8" s="1048" customFormat="1" ht="14.25" customHeight="1" thickBot="1">
      <c r="A245" s="1060" t="s">
        <v>1617</v>
      </c>
      <c r="B245" s="1061" t="s">
        <v>1618</v>
      </c>
      <c r="C245" s="1061">
        <v>4050</v>
      </c>
      <c r="D245" s="1061">
        <v>4020</v>
      </c>
      <c r="E245" s="1061">
        <v>4160</v>
      </c>
      <c r="F245" s="1062">
        <v>840</v>
      </c>
      <c r="H245" s="1079"/>
    </row>
    <row r="246" spans="1:8" s="1048" customFormat="1" ht="14.25" customHeight="1" thickBot="1">
      <c r="A246" s="1060" t="s">
        <v>1617</v>
      </c>
      <c r="B246" s="1054" t="s">
        <v>1280</v>
      </c>
      <c r="C246" s="1054">
        <v>4010</v>
      </c>
      <c r="D246" s="1054">
        <v>3960</v>
      </c>
      <c r="E246" s="1054">
        <v>4130</v>
      </c>
      <c r="F246" s="1072">
        <v>840</v>
      </c>
      <c r="H246" s="1079"/>
    </row>
    <row r="247" spans="1:8" s="1048" customFormat="1" ht="14.25" customHeight="1" thickBot="1">
      <c r="A247" s="1060" t="s">
        <v>1617</v>
      </c>
      <c r="B247" s="1054" t="s">
        <v>1619</v>
      </c>
      <c r="C247" s="1054">
        <v>3170</v>
      </c>
      <c r="D247" s="1054">
        <v>3140</v>
      </c>
      <c r="E247" s="1054">
        <v>3270</v>
      </c>
      <c r="F247" s="1072">
        <v>640</v>
      </c>
      <c r="H247" s="1079"/>
    </row>
    <row r="248" spans="1:8" s="1048" customFormat="1" ht="14.25" customHeight="1" thickBot="1">
      <c r="A248" s="1060" t="s">
        <v>1617</v>
      </c>
      <c r="B248" s="1054" t="s">
        <v>1620</v>
      </c>
      <c r="C248" s="1054">
        <v>3140</v>
      </c>
      <c r="D248" s="1054">
        <v>3120</v>
      </c>
      <c r="E248" s="1054">
        <v>3240</v>
      </c>
      <c r="F248" s="1072">
        <v>620</v>
      </c>
      <c r="H248" s="1079"/>
    </row>
    <row r="249" spans="1:8" s="1048" customFormat="1" ht="14.25" customHeight="1" thickBot="1">
      <c r="A249" s="1060" t="s">
        <v>1617</v>
      </c>
      <c r="B249" s="1054" t="s">
        <v>1321</v>
      </c>
      <c r="C249" s="1054">
        <v>3200</v>
      </c>
      <c r="D249" s="1054">
        <v>3100</v>
      </c>
      <c r="E249" s="1054">
        <v>3230</v>
      </c>
      <c r="F249" s="1072">
        <v>750</v>
      </c>
      <c r="H249" s="1079"/>
    </row>
    <row r="250" spans="1:8" s="1048" customFormat="1" ht="14.25" customHeight="1" thickBot="1">
      <c r="A250" s="1060" t="s">
        <v>1617</v>
      </c>
      <c r="B250" s="1054" t="s">
        <v>1332</v>
      </c>
      <c r="C250" s="1054">
        <v>4060</v>
      </c>
      <c r="D250" s="1054">
        <v>4000</v>
      </c>
      <c r="E250" s="1054">
        <v>4140</v>
      </c>
      <c r="F250" s="1072">
        <v>790</v>
      </c>
      <c r="H250" s="1079"/>
    </row>
    <row r="251" spans="1:8" s="1048" customFormat="1" ht="14.25" customHeight="1" thickBot="1">
      <c r="A251" s="1060" t="s">
        <v>1617</v>
      </c>
      <c r="B251" s="1054" t="s">
        <v>1343</v>
      </c>
      <c r="C251" s="1054">
        <v>3990</v>
      </c>
      <c r="D251" s="1054">
        <v>3970</v>
      </c>
      <c r="E251" s="1054">
        <v>4110</v>
      </c>
      <c r="F251" s="1072">
        <v>730</v>
      </c>
      <c r="H251" s="1079"/>
    </row>
    <row r="252" spans="1:8" s="1048" customFormat="1" ht="14.25" customHeight="1" thickBot="1">
      <c r="A252" s="1060" t="s">
        <v>1617</v>
      </c>
      <c r="B252" s="1054" t="s">
        <v>1354</v>
      </c>
      <c r="C252" s="1054">
        <v>3560</v>
      </c>
      <c r="D252" s="1054">
        <v>3530</v>
      </c>
      <c r="E252" s="1054">
        <v>3650</v>
      </c>
      <c r="F252" s="1072">
        <v>750</v>
      </c>
      <c r="H252" s="1079"/>
    </row>
    <row r="253" spans="1:8" s="1048" customFormat="1" ht="14.25" customHeight="1" thickBot="1">
      <c r="A253" s="1060" t="s">
        <v>1617</v>
      </c>
      <c r="B253" s="1054" t="s">
        <v>1366</v>
      </c>
      <c r="C253" s="1054">
        <v>3780</v>
      </c>
      <c r="D253" s="1054">
        <v>3750</v>
      </c>
      <c r="E253" s="1054">
        <v>3870</v>
      </c>
      <c r="F253" s="1072">
        <v>770</v>
      </c>
      <c r="H253" s="1079"/>
    </row>
    <row r="254" spans="1:8" s="1048" customFormat="1" ht="14.25" customHeight="1" thickBot="1">
      <c r="A254" s="1060" t="s">
        <v>1617</v>
      </c>
      <c r="B254" s="1054" t="s">
        <v>1376</v>
      </c>
      <c r="C254" s="1082"/>
      <c r="D254" s="1082"/>
      <c r="E254" s="1082"/>
      <c r="F254" s="1072">
        <v>740</v>
      </c>
      <c r="H254" s="1079"/>
    </row>
    <row r="255" spans="1:8" s="1048" customFormat="1" ht="14.25" customHeight="1" thickBot="1">
      <c r="A255" s="1060" t="s">
        <v>1617</v>
      </c>
      <c r="B255" s="1054" t="s">
        <v>1386</v>
      </c>
      <c r="C255" s="1082"/>
      <c r="D255" s="1082"/>
      <c r="E255" s="1082"/>
      <c r="F255" s="1072">
        <v>760</v>
      </c>
      <c r="H255" s="1079"/>
    </row>
    <row r="256" spans="1:8" s="1048" customFormat="1" ht="14.25" customHeight="1" thickBot="1">
      <c r="A256" s="1060" t="s">
        <v>1617</v>
      </c>
      <c r="B256" s="1054" t="s">
        <v>1396</v>
      </c>
      <c r="C256" s="1054">
        <v>3760</v>
      </c>
      <c r="D256" s="1054">
        <v>3730</v>
      </c>
      <c r="E256" s="1054">
        <v>3870</v>
      </c>
      <c r="F256" s="1072">
        <v>830</v>
      </c>
      <c r="H256" s="1079"/>
    </row>
    <row r="257" spans="1:8" s="1048" customFormat="1" ht="14.25" customHeight="1" thickBot="1">
      <c r="A257" s="1060" t="s">
        <v>1617</v>
      </c>
      <c r="B257" s="1054" t="s">
        <v>1406</v>
      </c>
      <c r="C257" s="1054">
        <v>3570</v>
      </c>
      <c r="D257" s="1054">
        <v>3540</v>
      </c>
      <c r="E257" s="1054">
        <v>3650</v>
      </c>
      <c r="F257" s="1072">
        <v>790</v>
      </c>
      <c r="H257" s="1079"/>
    </row>
    <row r="258" spans="1:8" s="1048" customFormat="1" ht="14.25" customHeight="1" thickBot="1">
      <c r="A258" s="1060" t="s">
        <v>1617</v>
      </c>
      <c r="B258" s="1054" t="s">
        <v>1416</v>
      </c>
      <c r="C258" s="1054">
        <v>3410</v>
      </c>
      <c r="D258" s="1054">
        <v>3380</v>
      </c>
      <c r="E258" s="1054">
        <v>3500</v>
      </c>
      <c r="F258" s="1072">
        <v>830</v>
      </c>
      <c r="H258" s="1079"/>
    </row>
    <row r="259" spans="1:8" s="1048" customFormat="1" ht="14.25" customHeight="1" thickBot="1">
      <c r="A259" s="1060" t="s">
        <v>1617</v>
      </c>
      <c r="B259" s="1054" t="s">
        <v>1426</v>
      </c>
      <c r="C259" s="1054">
        <v>3870</v>
      </c>
      <c r="D259" s="1054">
        <v>3840</v>
      </c>
      <c r="E259" s="1054">
        <v>3970</v>
      </c>
      <c r="F259" s="1072">
        <v>830</v>
      </c>
      <c r="H259" s="1079"/>
    </row>
    <row r="260" spans="1:8" s="1048" customFormat="1" ht="14.25" customHeight="1" thickBot="1">
      <c r="A260" s="1060" t="s">
        <v>1617</v>
      </c>
      <c r="B260" s="1054" t="s">
        <v>1436</v>
      </c>
      <c r="C260" s="1054">
        <v>3700</v>
      </c>
      <c r="D260" s="1054">
        <v>3660</v>
      </c>
      <c r="E260" s="1054">
        <v>3810</v>
      </c>
      <c r="F260" s="1072">
        <v>790</v>
      </c>
      <c r="H260" s="1079"/>
    </row>
    <row r="261" spans="1:8" s="1048" customFormat="1" ht="14.25" customHeight="1" thickBot="1">
      <c r="A261" s="1060" t="s">
        <v>1617</v>
      </c>
      <c r="B261" s="1054" t="s">
        <v>1446</v>
      </c>
      <c r="C261" s="1054">
        <v>3470</v>
      </c>
      <c r="D261" s="1054">
        <v>3430</v>
      </c>
      <c r="E261" s="1054">
        <v>3640</v>
      </c>
      <c r="F261" s="1072">
        <v>760</v>
      </c>
      <c r="H261" s="1079"/>
    </row>
    <row r="262" spans="1:8" s="1048" customFormat="1" ht="14.25" customHeight="1" thickBot="1">
      <c r="A262" s="1060" t="s">
        <v>1617</v>
      </c>
      <c r="B262" s="1054" t="s">
        <v>1456</v>
      </c>
      <c r="C262" s="1054">
        <v>3510</v>
      </c>
      <c r="D262" s="1054">
        <v>3470</v>
      </c>
      <c r="E262" s="1054">
        <v>3680</v>
      </c>
      <c r="F262" s="1081"/>
      <c r="H262" s="1079"/>
    </row>
    <row r="263" spans="1:8" s="1048" customFormat="1" ht="14.25" customHeight="1" thickBot="1">
      <c r="A263" s="1060" t="s">
        <v>1617</v>
      </c>
      <c r="B263" s="1054" t="s">
        <v>1466</v>
      </c>
      <c r="C263" s="1054">
        <v>3960</v>
      </c>
      <c r="D263" s="1054">
        <v>3930</v>
      </c>
      <c r="E263" s="1054">
        <v>4070</v>
      </c>
      <c r="F263" s="1072">
        <v>830</v>
      </c>
      <c r="H263" s="1079"/>
    </row>
    <row r="264" spans="1:8" s="1048" customFormat="1" ht="14.25" customHeight="1" thickBot="1">
      <c r="A264" s="1060" t="s">
        <v>1617</v>
      </c>
      <c r="B264" s="1054" t="s">
        <v>1475</v>
      </c>
      <c r="C264" s="1054">
        <v>4010</v>
      </c>
      <c r="D264" s="1054">
        <v>3980</v>
      </c>
      <c r="E264" s="1054">
        <v>4150</v>
      </c>
      <c r="F264" s="1072">
        <v>760</v>
      </c>
      <c r="H264" s="1079"/>
    </row>
    <row r="265" spans="1:8" s="1048" customFormat="1" ht="14.25" customHeight="1" thickBot="1">
      <c r="A265" s="1060" t="s">
        <v>1617</v>
      </c>
      <c r="B265" s="1054" t="s">
        <v>1484</v>
      </c>
      <c r="C265" s="1054">
        <v>3910</v>
      </c>
      <c r="D265" s="1054">
        <v>3890</v>
      </c>
      <c r="E265" s="1054">
        <v>4040</v>
      </c>
      <c r="F265" s="1072">
        <v>780</v>
      </c>
      <c r="H265" s="1079"/>
    </row>
    <row r="266" spans="1:8" s="1048" customFormat="1" ht="14.25" customHeight="1" thickBot="1">
      <c r="A266" s="1060" t="s">
        <v>1617</v>
      </c>
      <c r="B266" s="1054" t="s">
        <v>1492</v>
      </c>
      <c r="C266" s="1054">
        <v>3930</v>
      </c>
      <c r="D266" s="1054">
        <v>3900</v>
      </c>
      <c r="E266" s="1054">
        <v>4080</v>
      </c>
      <c r="F266" s="1072">
        <v>770</v>
      </c>
      <c r="H266" s="1079"/>
    </row>
    <row r="267" spans="1:8" s="1048" customFormat="1" ht="14.25" customHeight="1" thickBot="1">
      <c r="A267" s="1060" t="s">
        <v>1617</v>
      </c>
      <c r="B267" s="1054" t="s">
        <v>1499</v>
      </c>
      <c r="C267" s="1054">
        <v>3800</v>
      </c>
      <c r="D267" s="1054">
        <v>3780</v>
      </c>
      <c r="E267" s="1054">
        <v>3930</v>
      </c>
      <c r="F267" s="1081"/>
      <c r="H267" s="1079"/>
    </row>
    <row r="268" spans="1:8" s="1048" customFormat="1" ht="14.25" customHeight="1" thickBot="1">
      <c r="A268" s="1060" t="s">
        <v>1617</v>
      </c>
      <c r="B268" s="1054" t="s">
        <v>1506</v>
      </c>
      <c r="C268" s="1054">
        <v>3460</v>
      </c>
      <c r="D268" s="1054">
        <v>3430</v>
      </c>
      <c r="E268" s="1054">
        <v>3560</v>
      </c>
      <c r="F268" s="1072">
        <v>840</v>
      </c>
      <c r="H268" s="1079"/>
    </row>
    <row r="269" spans="1:8" s="1048" customFormat="1" ht="14.25" customHeight="1" thickBot="1">
      <c r="A269" s="1060" t="s">
        <v>1617</v>
      </c>
      <c r="B269" s="1054" t="s">
        <v>1513</v>
      </c>
      <c r="C269" s="1054">
        <v>3210</v>
      </c>
      <c r="D269" s="1054">
        <v>3190</v>
      </c>
      <c r="E269" s="1054">
        <v>3310</v>
      </c>
      <c r="F269" s="1072">
        <v>730</v>
      </c>
      <c r="H269" s="1079"/>
    </row>
    <row r="270" spans="1:8" s="1048" customFormat="1" ht="14.25" customHeight="1" thickBot="1">
      <c r="A270" s="1060" t="s">
        <v>1617</v>
      </c>
      <c r="B270" s="1054" t="s">
        <v>1520</v>
      </c>
      <c r="C270" s="1054">
        <v>3240</v>
      </c>
      <c r="D270" s="1054">
        <v>3210</v>
      </c>
      <c r="E270" s="1054">
        <v>3390</v>
      </c>
      <c r="F270" s="1072">
        <v>820</v>
      </c>
      <c r="H270" s="1079"/>
    </row>
    <row r="271" spans="1:8" s="1048" customFormat="1" ht="14.25" customHeight="1" thickBot="1">
      <c r="A271" s="1060" t="s">
        <v>1617</v>
      </c>
      <c r="B271" s="1054" t="s">
        <v>1527</v>
      </c>
      <c r="C271" s="1054">
        <v>3300</v>
      </c>
      <c r="D271" s="1054">
        <v>3270</v>
      </c>
      <c r="E271" s="1054">
        <v>3380</v>
      </c>
      <c r="F271" s="1072">
        <v>750</v>
      </c>
      <c r="H271" s="1079"/>
    </row>
    <row r="272" spans="1:8" s="1048" customFormat="1" ht="14.25" customHeight="1" thickBot="1">
      <c r="A272" s="1060" t="s">
        <v>1617</v>
      </c>
      <c r="B272" s="1054" t="s">
        <v>1534</v>
      </c>
      <c r="C272" s="1082"/>
      <c r="D272" s="1082"/>
      <c r="E272" s="1082"/>
      <c r="F272" s="1072">
        <v>740</v>
      </c>
      <c r="H272" s="1079"/>
    </row>
    <row r="273" spans="1:8" s="1048" customFormat="1" ht="14.25" customHeight="1" thickBot="1">
      <c r="A273" s="1060" t="s">
        <v>1617</v>
      </c>
      <c r="B273" s="1054" t="s">
        <v>1538</v>
      </c>
      <c r="C273" s="1054">
        <v>3130</v>
      </c>
      <c r="D273" s="1054">
        <v>3100</v>
      </c>
      <c r="E273" s="1054">
        <v>3230</v>
      </c>
      <c r="F273" s="1072">
        <v>700</v>
      </c>
      <c r="H273" s="1079"/>
    </row>
    <row r="274" spans="1:8" s="1048" customFormat="1" ht="14.25" customHeight="1" thickBot="1">
      <c r="A274" s="1060" t="s">
        <v>1617</v>
      </c>
      <c r="B274" s="1054" t="s">
        <v>1543</v>
      </c>
      <c r="C274" s="1054">
        <v>3460</v>
      </c>
      <c r="D274" s="1054">
        <v>3430</v>
      </c>
      <c r="E274" s="1054">
        <v>3560</v>
      </c>
      <c r="F274" s="1072">
        <v>690</v>
      </c>
      <c r="H274" s="1079"/>
    </row>
    <row r="275" spans="1:8" s="1048" customFormat="1" ht="14.25" customHeight="1" thickBot="1">
      <c r="A275" s="1060" t="s">
        <v>1617</v>
      </c>
      <c r="B275" s="1054" t="s">
        <v>1548</v>
      </c>
      <c r="C275" s="1054">
        <v>4040</v>
      </c>
      <c r="D275" s="1054">
        <v>4020</v>
      </c>
      <c r="E275" s="1054">
        <v>4160</v>
      </c>
      <c r="F275" s="1072">
        <v>820</v>
      </c>
      <c r="H275" s="1079"/>
    </row>
    <row r="276" spans="1:8" s="1048" customFormat="1" ht="14.25" customHeight="1" thickBot="1">
      <c r="A276" s="1060" t="s">
        <v>1617</v>
      </c>
      <c r="B276" s="1054" t="s">
        <v>1553</v>
      </c>
      <c r="C276" s="1054">
        <v>3270</v>
      </c>
      <c r="D276" s="1054">
        <v>3240</v>
      </c>
      <c r="E276" s="1054">
        <v>3350</v>
      </c>
      <c r="F276" s="1072">
        <v>680</v>
      </c>
      <c r="H276" s="1079"/>
    </row>
    <row r="277" spans="1:8" s="1048" customFormat="1" ht="14.25" customHeight="1" thickBot="1">
      <c r="A277" s="1060" t="s">
        <v>1617</v>
      </c>
      <c r="B277" s="1054" t="s">
        <v>1558</v>
      </c>
      <c r="C277" s="1054">
        <v>2930</v>
      </c>
      <c r="D277" s="1054">
        <v>2900</v>
      </c>
      <c r="E277" s="1054">
        <v>3000</v>
      </c>
      <c r="F277" s="1072">
        <v>640</v>
      </c>
      <c r="H277" s="1079"/>
    </row>
    <row r="278" spans="1:8" s="1048" customFormat="1" ht="14.25" customHeight="1" thickBot="1">
      <c r="A278" s="1060" t="s">
        <v>1617</v>
      </c>
      <c r="B278" s="1054" t="s">
        <v>1563</v>
      </c>
      <c r="C278" s="1054">
        <v>4080</v>
      </c>
      <c r="D278" s="1054">
        <v>4030</v>
      </c>
      <c r="E278" s="1054">
        <v>4140</v>
      </c>
      <c r="F278" s="1072">
        <v>850</v>
      </c>
      <c r="H278" s="1079"/>
    </row>
    <row r="279" spans="1:8" s="1048" customFormat="1" ht="14.25" customHeight="1" thickBot="1">
      <c r="A279" s="1060" t="s">
        <v>1617</v>
      </c>
      <c r="B279" s="1054" t="s">
        <v>1567</v>
      </c>
      <c r="C279" s="1054"/>
      <c r="D279" s="1054"/>
      <c r="E279" s="1054"/>
      <c r="F279" s="1072">
        <v>760</v>
      </c>
      <c r="H279" s="1079"/>
    </row>
    <row r="280" spans="1:8" s="1048" customFormat="1" ht="14.25" customHeight="1" thickBot="1">
      <c r="A280" s="1060" t="s">
        <v>1617</v>
      </c>
      <c r="B280" s="1054" t="s">
        <v>1571</v>
      </c>
      <c r="C280" s="1054"/>
      <c r="D280" s="1054"/>
      <c r="E280" s="1054"/>
      <c r="F280" s="1072">
        <v>760</v>
      </c>
      <c r="H280" s="1079"/>
    </row>
    <row r="281" spans="1:8" s="1048" customFormat="1" ht="14.25" customHeight="1" thickBot="1">
      <c r="A281" s="1060" t="s">
        <v>1617</v>
      </c>
      <c r="B281" s="1054" t="s">
        <v>1575</v>
      </c>
      <c r="C281" s="1054"/>
      <c r="D281" s="1054"/>
      <c r="E281" s="1054"/>
      <c r="F281" s="1072">
        <v>780</v>
      </c>
      <c r="H281" s="1079"/>
    </row>
    <row r="282" spans="1:8" s="1048" customFormat="1" ht="14.25" customHeight="1" thickBot="1">
      <c r="A282" s="1060" t="s">
        <v>1617</v>
      </c>
      <c r="B282" s="1054" t="s">
        <v>1579</v>
      </c>
      <c r="C282" s="1054"/>
      <c r="D282" s="1054"/>
      <c r="E282" s="1054"/>
      <c r="F282" s="1072">
        <v>730</v>
      </c>
      <c r="H282" s="1079"/>
    </row>
    <row r="283" spans="1:8" s="1048" customFormat="1" ht="14.25" customHeight="1" thickBot="1">
      <c r="A283" s="1060" t="s">
        <v>1617</v>
      </c>
      <c r="B283" s="1054" t="s">
        <v>1583</v>
      </c>
      <c r="C283" s="1054"/>
      <c r="D283" s="1054"/>
      <c r="E283" s="1054"/>
      <c r="F283" s="1072">
        <v>770</v>
      </c>
      <c r="H283" s="1079"/>
    </row>
    <row r="284" spans="1:8" s="1048" customFormat="1" ht="14.25" customHeight="1" thickBot="1">
      <c r="A284" s="1060" t="s">
        <v>1617</v>
      </c>
      <c r="B284" s="1054" t="s">
        <v>1586</v>
      </c>
      <c r="C284" s="1054"/>
      <c r="D284" s="1054"/>
      <c r="E284" s="1054"/>
      <c r="F284" s="1072">
        <v>640</v>
      </c>
      <c r="H284" s="1079"/>
    </row>
    <row r="285" spans="1:8" s="1048" customFormat="1" ht="14.25" customHeight="1" thickBot="1">
      <c r="A285" s="1060" t="s">
        <v>1617</v>
      </c>
      <c r="B285" s="1054" t="s">
        <v>1589</v>
      </c>
      <c r="C285" s="1054"/>
      <c r="D285" s="1054"/>
      <c r="E285" s="1054"/>
      <c r="F285" s="1072">
        <v>640</v>
      </c>
      <c r="H285" s="1079"/>
    </row>
    <row r="286" spans="1:8" s="1048" customFormat="1" ht="14.25" customHeight="1" thickBot="1">
      <c r="A286" s="1060" t="s">
        <v>1617</v>
      </c>
      <c r="B286" s="1054" t="s">
        <v>1592</v>
      </c>
      <c r="C286" s="1054"/>
      <c r="D286" s="1054"/>
      <c r="E286" s="1054"/>
      <c r="F286" s="1072">
        <v>850</v>
      </c>
      <c r="H286" s="1079"/>
    </row>
    <row r="287" spans="1:8" s="1048" customFormat="1" ht="14.25" customHeight="1" thickBot="1">
      <c r="A287" s="1060" t="s">
        <v>1617</v>
      </c>
      <c r="B287" s="1054" t="s">
        <v>1595</v>
      </c>
      <c r="C287" s="1054"/>
      <c r="D287" s="1054"/>
      <c r="E287" s="1054"/>
      <c r="F287" s="1072">
        <v>760</v>
      </c>
      <c r="H287" s="1079"/>
    </row>
    <row r="288" spans="1:8" s="1048" customFormat="1" ht="14.25" customHeight="1" thickBot="1">
      <c r="A288" s="1060" t="s">
        <v>1617</v>
      </c>
      <c r="B288" s="1054" t="s">
        <v>1598</v>
      </c>
      <c r="C288" s="1054"/>
      <c r="D288" s="1054"/>
      <c r="E288" s="1054"/>
      <c r="F288" s="1072">
        <v>830</v>
      </c>
      <c r="H288" s="1079"/>
    </row>
    <row r="289" spans="1:8" s="1048" customFormat="1" ht="14.25" customHeight="1" thickBot="1">
      <c r="A289" s="1060" t="s">
        <v>1617</v>
      </c>
      <c r="B289" s="1070" t="s">
        <v>1601</v>
      </c>
      <c r="C289" s="1070"/>
      <c r="D289" s="1070"/>
      <c r="E289" s="1070"/>
      <c r="F289" s="1080">
        <v>680</v>
      </c>
      <c r="H289" s="1079"/>
    </row>
    <row r="290" spans="1:8" s="1048" customFormat="1" ht="14.25" customHeight="1" thickBot="1">
      <c r="A290" s="1060" t="s">
        <v>1621</v>
      </c>
      <c r="B290" s="1061" t="s">
        <v>1622</v>
      </c>
      <c r="C290" s="1061">
        <v>2770</v>
      </c>
      <c r="D290" s="1061">
        <v>2740</v>
      </c>
      <c r="E290" s="1061">
        <v>2720</v>
      </c>
      <c r="F290" s="1083"/>
      <c r="H290" s="1079"/>
    </row>
    <row r="291" spans="1:8" s="1048" customFormat="1" ht="14.25" customHeight="1" thickBot="1">
      <c r="A291" s="1060" t="s">
        <v>1621</v>
      </c>
      <c r="B291" s="1054" t="s">
        <v>1281</v>
      </c>
      <c r="C291" s="1054">
        <v>2670</v>
      </c>
      <c r="D291" s="1054">
        <v>2640</v>
      </c>
      <c r="E291" s="1054">
        <v>2620</v>
      </c>
      <c r="F291" s="1081"/>
      <c r="H291" s="1079"/>
    </row>
    <row r="292" spans="1:8" s="1048" customFormat="1" ht="14.25" customHeight="1" thickBot="1">
      <c r="A292" s="1060" t="s">
        <v>1621</v>
      </c>
      <c r="B292" s="1054" t="s">
        <v>1623</v>
      </c>
      <c r="C292" s="1054">
        <v>2180</v>
      </c>
      <c r="D292" s="1054">
        <v>2140</v>
      </c>
      <c r="E292" s="1054">
        <v>2120</v>
      </c>
      <c r="F292" s="1072">
        <v>490</v>
      </c>
      <c r="H292" s="1079"/>
    </row>
    <row r="293" spans="1:8" s="1048" customFormat="1" ht="14.25" customHeight="1" thickBot="1">
      <c r="A293" s="1060" t="s">
        <v>1621</v>
      </c>
      <c r="B293" s="1054" t="s">
        <v>1624</v>
      </c>
      <c r="C293" s="1054"/>
      <c r="D293" s="1054"/>
      <c r="E293" s="1054"/>
      <c r="F293" s="1072">
        <v>470</v>
      </c>
      <c r="H293" s="1079"/>
    </row>
    <row r="294" spans="1:8" s="1048" customFormat="1" ht="14.25" customHeight="1" thickBot="1">
      <c r="A294" s="1060" t="s">
        <v>1621</v>
      </c>
      <c r="B294" s="1054" t="s">
        <v>1625</v>
      </c>
      <c r="C294" s="1054">
        <v>2730</v>
      </c>
      <c r="D294" s="1054">
        <v>2700</v>
      </c>
      <c r="E294" s="1054">
        <v>2680</v>
      </c>
      <c r="F294" s="1072">
        <v>490</v>
      </c>
      <c r="H294" s="1079"/>
    </row>
    <row r="295" spans="1:8" s="1048" customFormat="1" ht="14.25" customHeight="1" thickBot="1">
      <c r="A295" s="1060" t="s">
        <v>1621</v>
      </c>
      <c r="B295" s="1054" t="s">
        <v>1322</v>
      </c>
      <c r="C295" s="1054">
        <v>2380</v>
      </c>
      <c r="D295" s="1054">
        <v>2350</v>
      </c>
      <c r="E295" s="1054">
        <v>2330</v>
      </c>
      <c r="F295" s="1072">
        <v>530</v>
      </c>
      <c r="H295" s="1079"/>
    </row>
    <row r="296" spans="1:8" s="1048" customFormat="1" ht="14.25" customHeight="1" thickBot="1">
      <c r="A296" s="1060" t="s">
        <v>1621</v>
      </c>
      <c r="B296" s="1054" t="s">
        <v>1333</v>
      </c>
      <c r="C296" s="1054">
        <v>2650</v>
      </c>
      <c r="D296" s="1054">
        <v>2620</v>
      </c>
      <c r="E296" s="1054">
        <v>2590</v>
      </c>
      <c r="F296" s="1072">
        <v>590</v>
      </c>
      <c r="H296" s="1079"/>
    </row>
    <row r="297" spans="1:8" s="1048" customFormat="1" ht="14.25" customHeight="1" thickBot="1">
      <c r="A297" s="1060" t="s">
        <v>1621</v>
      </c>
      <c r="B297" s="1054" t="s">
        <v>1344</v>
      </c>
      <c r="C297" s="1054">
        <v>2700</v>
      </c>
      <c r="D297" s="1054">
        <v>2670</v>
      </c>
      <c r="E297" s="1054">
        <v>2650</v>
      </c>
      <c r="F297" s="1072">
        <v>630</v>
      </c>
      <c r="H297" s="1079"/>
    </row>
    <row r="298" spans="1:8" s="1048" customFormat="1" ht="14.25" customHeight="1" thickBot="1">
      <c r="A298" s="1060" t="s">
        <v>1621</v>
      </c>
      <c r="B298" s="1054" t="s">
        <v>1355</v>
      </c>
      <c r="C298" s="1054">
        <v>2650</v>
      </c>
      <c r="D298" s="1054">
        <v>2620</v>
      </c>
      <c r="E298" s="1054">
        <v>2590</v>
      </c>
      <c r="F298" s="1072">
        <v>640</v>
      </c>
      <c r="H298" s="1079"/>
    </row>
    <row r="299" spans="1:8" s="1048" customFormat="1" ht="14.25" customHeight="1" thickBot="1">
      <c r="A299" s="1060" t="s">
        <v>1621</v>
      </c>
      <c r="B299" s="1054" t="s">
        <v>1367</v>
      </c>
      <c r="C299" s="1054">
        <v>2500</v>
      </c>
      <c r="D299" s="1054">
        <v>2480</v>
      </c>
      <c r="E299" s="1054">
        <v>2460</v>
      </c>
      <c r="F299" s="1081"/>
      <c r="H299" s="1079"/>
    </row>
    <row r="300" spans="1:8" s="1048" customFormat="1" ht="14.25" customHeight="1" thickBot="1">
      <c r="A300" s="1060" t="s">
        <v>1621</v>
      </c>
      <c r="B300" s="1054" t="s">
        <v>1377</v>
      </c>
      <c r="C300" s="1054">
        <v>2760</v>
      </c>
      <c r="D300" s="1054">
        <v>2730</v>
      </c>
      <c r="E300" s="1054">
        <v>2700</v>
      </c>
      <c r="F300" s="1072">
        <v>630</v>
      </c>
      <c r="H300" s="1079"/>
    </row>
    <row r="301" spans="1:8" s="1048" customFormat="1" ht="14.25" customHeight="1" thickBot="1">
      <c r="A301" s="1060" t="s">
        <v>1621</v>
      </c>
      <c r="B301" s="1054" t="s">
        <v>1387</v>
      </c>
      <c r="C301" s="1054">
        <v>2510</v>
      </c>
      <c r="D301" s="1054">
        <v>2480</v>
      </c>
      <c r="E301" s="1054">
        <v>2460</v>
      </c>
      <c r="F301" s="1081"/>
      <c r="H301" s="1079"/>
    </row>
    <row r="302" spans="1:8" s="1048" customFormat="1" ht="14.25" customHeight="1" thickBot="1">
      <c r="A302" s="1060" t="s">
        <v>1621</v>
      </c>
      <c r="B302" s="1054" t="s">
        <v>1397</v>
      </c>
      <c r="C302" s="1054">
        <v>2480</v>
      </c>
      <c r="D302" s="1054">
        <v>2450</v>
      </c>
      <c r="E302" s="1054">
        <v>2420</v>
      </c>
      <c r="F302" s="1072">
        <v>600</v>
      </c>
      <c r="H302" s="1079"/>
    </row>
    <row r="303" spans="1:8" s="1048" customFormat="1" ht="14.25" customHeight="1" thickBot="1">
      <c r="A303" s="1060" t="s">
        <v>1621</v>
      </c>
      <c r="B303" s="1054" t="s">
        <v>1407</v>
      </c>
      <c r="C303" s="1054">
        <v>2270</v>
      </c>
      <c r="D303" s="1054">
        <v>2240</v>
      </c>
      <c r="E303" s="1054">
        <v>2210</v>
      </c>
      <c r="F303" s="1072">
        <v>540</v>
      </c>
      <c r="H303" s="1079"/>
    </row>
    <row r="304" spans="1:8" s="1048" customFormat="1" ht="14.25" customHeight="1" thickBot="1">
      <c r="A304" s="1060" t="s">
        <v>1621</v>
      </c>
      <c r="B304" s="1054" t="s">
        <v>1417</v>
      </c>
      <c r="C304" s="1054">
        <v>2310</v>
      </c>
      <c r="D304" s="1054">
        <v>2290</v>
      </c>
      <c r="E304" s="1054">
        <v>2270</v>
      </c>
      <c r="F304" s="1081"/>
      <c r="H304" s="1079"/>
    </row>
    <row r="305" spans="1:8" s="1048" customFormat="1" ht="14.25" customHeight="1" thickBot="1">
      <c r="A305" s="1060" t="s">
        <v>1621</v>
      </c>
      <c r="B305" s="1054" t="s">
        <v>1427</v>
      </c>
      <c r="C305" s="1054">
        <v>2490</v>
      </c>
      <c r="D305" s="1054">
        <v>2470</v>
      </c>
      <c r="E305" s="1054">
        <v>2440</v>
      </c>
      <c r="F305" s="1072">
        <v>560</v>
      </c>
      <c r="H305" s="1079"/>
    </row>
    <row r="306" spans="1:8" s="1048" customFormat="1" ht="14.25" customHeight="1" thickBot="1">
      <c r="A306" s="1060" t="s">
        <v>1621</v>
      </c>
      <c r="B306" s="1054" t="s">
        <v>1437</v>
      </c>
      <c r="C306" s="1054">
        <v>2420</v>
      </c>
      <c r="D306" s="1054">
        <v>2400</v>
      </c>
      <c r="E306" s="1054">
        <v>2380</v>
      </c>
      <c r="F306" s="1081"/>
      <c r="H306" s="1079"/>
    </row>
    <row r="307" spans="1:8" s="1048" customFormat="1" ht="14.25" customHeight="1" thickBot="1">
      <c r="A307" s="1060" t="s">
        <v>1621</v>
      </c>
      <c r="B307" s="1054" t="s">
        <v>1447</v>
      </c>
      <c r="C307" s="1054">
        <v>2770</v>
      </c>
      <c r="D307" s="1054">
        <v>2740</v>
      </c>
      <c r="E307" s="1054">
        <v>2710</v>
      </c>
      <c r="F307" s="1072">
        <v>650</v>
      </c>
      <c r="H307" s="1079"/>
    </row>
    <row r="308" spans="1:8" s="1048" customFormat="1" ht="14.25" customHeight="1" thickBot="1">
      <c r="A308" s="1060" t="s">
        <v>1621</v>
      </c>
      <c r="B308" s="1054" t="s">
        <v>1457</v>
      </c>
      <c r="C308" s="1054">
        <v>2610</v>
      </c>
      <c r="D308" s="1054">
        <v>2580</v>
      </c>
      <c r="E308" s="1054">
        <v>2550</v>
      </c>
      <c r="F308" s="1072">
        <v>580</v>
      </c>
      <c r="H308" s="1079"/>
    </row>
    <row r="309" spans="1:8" s="1048" customFormat="1" ht="14.25" customHeight="1" thickBot="1">
      <c r="A309" s="1060" t="s">
        <v>1621</v>
      </c>
      <c r="B309" s="1054" t="s">
        <v>1467</v>
      </c>
      <c r="C309" s="1054">
        <v>2690</v>
      </c>
      <c r="D309" s="1054">
        <v>2670</v>
      </c>
      <c r="E309" s="1054">
        <v>2650</v>
      </c>
      <c r="F309" s="1081"/>
      <c r="H309" s="1079"/>
    </row>
    <row r="310" spans="1:8" s="1048" customFormat="1" ht="14.25" customHeight="1" thickBot="1">
      <c r="A310" s="1060" t="s">
        <v>1621</v>
      </c>
      <c r="B310" s="1054" t="s">
        <v>1476</v>
      </c>
      <c r="C310" s="1054">
        <v>2360</v>
      </c>
      <c r="D310" s="1054">
        <v>2330</v>
      </c>
      <c r="E310" s="1054">
        <v>2310</v>
      </c>
      <c r="F310" s="1072">
        <v>560</v>
      </c>
      <c r="H310" s="1079"/>
    </row>
    <row r="311" spans="1:8" s="1048" customFormat="1" ht="14.25" customHeight="1" thickBot="1">
      <c r="A311" s="1060" t="s">
        <v>1621</v>
      </c>
      <c r="B311" s="1054" t="s">
        <v>1485</v>
      </c>
      <c r="C311" s="1054">
        <v>1970</v>
      </c>
      <c r="D311" s="1054">
        <v>1950</v>
      </c>
      <c r="E311" s="1054">
        <v>1920</v>
      </c>
      <c r="F311" s="1072">
        <v>470</v>
      </c>
      <c r="H311" s="1079"/>
    </row>
    <row r="312" spans="1:8" s="1048" customFormat="1" ht="14.25" customHeight="1" thickBot="1">
      <c r="A312" s="1060" t="s">
        <v>1621</v>
      </c>
      <c r="B312" s="1054" t="s">
        <v>1493</v>
      </c>
      <c r="C312" s="1054">
        <v>2230</v>
      </c>
      <c r="D312" s="1054">
        <v>2200</v>
      </c>
      <c r="E312" s="1054">
        <v>2170</v>
      </c>
      <c r="F312" s="1072">
        <v>460</v>
      </c>
      <c r="H312" s="1079"/>
    </row>
    <row r="313" spans="1:8" s="1048" customFormat="1" ht="14.25" customHeight="1" thickBot="1">
      <c r="A313" s="1060" t="s">
        <v>1621</v>
      </c>
      <c r="B313" s="1054" t="s">
        <v>1500</v>
      </c>
      <c r="C313" s="1054">
        <v>2770</v>
      </c>
      <c r="D313" s="1054">
        <v>2740</v>
      </c>
      <c r="E313" s="1054">
        <v>2710</v>
      </c>
      <c r="F313" s="1072">
        <v>610</v>
      </c>
      <c r="H313" s="1079"/>
    </row>
    <row r="314" spans="1:8" s="1048" customFormat="1" ht="14.25" customHeight="1" thickBot="1">
      <c r="A314" s="1060" t="s">
        <v>1621</v>
      </c>
      <c r="B314" s="1054" t="s">
        <v>1507</v>
      </c>
      <c r="C314" s="1054"/>
      <c r="D314" s="1054"/>
      <c r="E314" s="1054"/>
      <c r="F314" s="1072">
        <v>490</v>
      </c>
      <c r="H314" s="1079"/>
    </row>
    <row r="315" spans="1:8" s="1048" customFormat="1" ht="14.25" customHeight="1" thickBot="1">
      <c r="A315" s="1060" t="s">
        <v>1621</v>
      </c>
      <c r="B315" s="1054" t="s">
        <v>1514</v>
      </c>
      <c r="C315" s="1054"/>
      <c r="D315" s="1054"/>
      <c r="E315" s="1054"/>
      <c r="F315" s="1072">
        <v>520</v>
      </c>
      <c r="H315" s="1079"/>
    </row>
    <row r="316" spans="1:8" s="1048" customFormat="1" ht="14.25" customHeight="1" thickBot="1">
      <c r="A316" s="1060" t="s">
        <v>1621</v>
      </c>
      <c r="B316" s="1070" t="s">
        <v>1521</v>
      </c>
      <c r="C316" s="1070"/>
      <c r="D316" s="1070"/>
      <c r="E316" s="1070"/>
      <c r="F316" s="1080">
        <v>460</v>
      </c>
      <c r="H316" s="1079"/>
    </row>
    <row r="317" spans="1:8" s="1048" customFormat="1" ht="14.25" customHeight="1" thickBot="1">
      <c r="A317" s="1060" t="s">
        <v>1111</v>
      </c>
      <c r="B317" s="1061" t="s">
        <v>1626</v>
      </c>
      <c r="C317" s="1061">
        <v>1200</v>
      </c>
      <c r="D317" s="1061">
        <v>1180</v>
      </c>
      <c r="E317" s="1061">
        <v>1160</v>
      </c>
      <c r="F317" s="1062">
        <v>370</v>
      </c>
      <c r="H317" s="1045"/>
    </row>
    <row r="318" spans="1:8" s="1048" customFormat="1" ht="14.25" customHeight="1" thickBot="1">
      <c r="A318" s="1060" t="s">
        <v>1111</v>
      </c>
      <c r="B318" s="1054" t="s">
        <v>1627</v>
      </c>
      <c r="C318" s="1054">
        <v>1090</v>
      </c>
      <c r="D318" s="1054">
        <v>1060</v>
      </c>
      <c r="E318" s="1054">
        <v>1040</v>
      </c>
      <c r="F318" s="1081"/>
      <c r="H318" s="1045"/>
    </row>
    <row r="319" spans="1:8" s="1048" customFormat="1" ht="14.25" customHeight="1" thickBot="1">
      <c r="A319" s="1060" t="s">
        <v>1111</v>
      </c>
      <c r="B319" s="1054" t="s">
        <v>1628</v>
      </c>
      <c r="C319" s="1054">
        <v>1520</v>
      </c>
      <c r="D319" s="1054">
        <v>1470</v>
      </c>
      <c r="E319" s="1054">
        <v>1440</v>
      </c>
      <c r="F319" s="1072">
        <v>370</v>
      </c>
      <c r="H319" s="1045"/>
    </row>
    <row r="320" spans="1:8" s="1048" customFormat="1" ht="14.25" customHeight="1" thickBot="1">
      <c r="A320" s="1060" t="s">
        <v>1111</v>
      </c>
      <c r="B320" s="1054" t="s">
        <v>1309</v>
      </c>
      <c r="C320" s="1054">
        <v>1360</v>
      </c>
      <c r="D320" s="1054">
        <v>1300</v>
      </c>
      <c r="E320" s="1054">
        <v>1270</v>
      </c>
      <c r="F320" s="1081"/>
      <c r="H320" s="1045"/>
    </row>
    <row r="321" spans="1:8" s="1048" customFormat="1" ht="14.25" customHeight="1" thickBot="1">
      <c r="A321" s="1060" t="s">
        <v>1111</v>
      </c>
      <c r="B321" s="1054" t="s">
        <v>1323</v>
      </c>
      <c r="C321" s="1054">
        <v>1750</v>
      </c>
      <c r="D321" s="1054">
        <v>1690</v>
      </c>
      <c r="E321" s="1054">
        <v>1660</v>
      </c>
      <c r="F321" s="1081"/>
      <c r="H321" s="1045"/>
    </row>
    <row r="322" spans="1:8" s="1048" customFormat="1" ht="14.25" customHeight="1" thickBot="1">
      <c r="A322" s="1060" t="s">
        <v>1111</v>
      </c>
      <c r="B322" s="1054" t="s">
        <v>1334</v>
      </c>
      <c r="C322" s="1054">
        <v>1650</v>
      </c>
      <c r="D322" s="1054">
        <v>1610</v>
      </c>
      <c r="E322" s="1054">
        <v>1580</v>
      </c>
      <c r="F322" s="1072">
        <v>500</v>
      </c>
      <c r="H322" s="1045"/>
    </row>
    <row r="323" spans="1:8" s="1048" customFormat="1" ht="14.25" customHeight="1" thickBot="1">
      <c r="A323" s="1060" t="s">
        <v>1111</v>
      </c>
      <c r="B323" s="1054" t="s">
        <v>1345</v>
      </c>
      <c r="C323" s="1054">
        <v>1780</v>
      </c>
      <c r="D323" s="1054">
        <v>1740</v>
      </c>
      <c r="E323" s="1054">
        <v>1720</v>
      </c>
      <c r="F323" s="1081"/>
      <c r="H323" s="1045"/>
    </row>
    <row r="324" spans="1:8" s="1048" customFormat="1" ht="14.25" customHeight="1" thickBot="1">
      <c r="A324" s="1060" t="s">
        <v>1111</v>
      </c>
      <c r="B324" s="1054" t="s">
        <v>1356</v>
      </c>
      <c r="C324" s="1054">
        <v>1650</v>
      </c>
      <c r="D324" s="1054">
        <v>1610</v>
      </c>
      <c r="E324" s="1054">
        <v>1580</v>
      </c>
      <c r="F324" s="1081"/>
      <c r="H324" s="1045"/>
    </row>
    <row r="325" spans="1:8" s="1048" customFormat="1" ht="14.25" customHeight="1" thickBot="1">
      <c r="A325" s="1060" t="s">
        <v>1111</v>
      </c>
      <c r="B325" s="1054" t="s">
        <v>1368</v>
      </c>
      <c r="C325" s="1054">
        <v>1330</v>
      </c>
      <c r="D325" s="1054">
        <v>1270</v>
      </c>
      <c r="E325" s="1054">
        <v>1240</v>
      </c>
      <c r="F325" s="1072">
        <v>430</v>
      </c>
      <c r="H325" s="1045"/>
    </row>
    <row r="326" spans="1:8" s="1048" customFormat="1" ht="14.25" customHeight="1" thickBot="1">
      <c r="A326" s="1060" t="s">
        <v>1111</v>
      </c>
      <c r="B326" s="1054" t="s">
        <v>1378</v>
      </c>
      <c r="C326" s="1054">
        <v>1470</v>
      </c>
      <c r="D326" s="1054">
        <v>1430</v>
      </c>
      <c r="E326" s="1054">
        <v>1400</v>
      </c>
      <c r="F326" s="1081"/>
      <c r="H326" s="1045"/>
    </row>
    <row r="327" spans="1:8" s="1048" customFormat="1" ht="14.25" customHeight="1" thickBot="1">
      <c r="A327" s="1060" t="s">
        <v>1111</v>
      </c>
      <c r="B327" s="1054" t="s">
        <v>1388</v>
      </c>
      <c r="C327" s="1054">
        <v>1420</v>
      </c>
      <c r="D327" s="1054">
        <v>1380</v>
      </c>
      <c r="E327" s="1054">
        <v>1360</v>
      </c>
      <c r="F327" s="1072">
        <v>420</v>
      </c>
      <c r="H327" s="1045"/>
    </row>
    <row r="328" spans="1:8" s="1048" customFormat="1" ht="14.25" customHeight="1" thickBot="1">
      <c r="A328" s="1060" t="s">
        <v>1111</v>
      </c>
      <c r="B328" s="1054" t="s">
        <v>1398</v>
      </c>
      <c r="C328" s="1054">
        <v>1400</v>
      </c>
      <c r="D328" s="1054">
        <v>1360</v>
      </c>
      <c r="E328" s="1054">
        <v>1330</v>
      </c>
      <c r="F328" s="1072">
        <v>460</v>
      </c>
      <c r="H328" s="1045"/>
    </row>
    <row r="329" spans="1:8" s="1048" customFormat="1" ht="14.25" customHeight="1" thickBot="1">
      <c r="A329" s="1060" t="s">
        <v>1111</v>
      </c>
      <c r="B329" s="1054" t="s">
        <v>1408</v>
      </c>
      <c r="C329" s="1054">
        <v>1640</v>
      </c>
      <c r="D329" s="1054">
        <v>1610</v>
      </c>
      <c r="E329" s="1054">
        <v>1580</v>
      </c>
      <c r="F329" s="1072">
        <v>410</v>
      </c>
      <c r="H329" s="1045"/>
    </row>
    <row r="330" spans="1:8" s="1048" customFormat="1" ht="14.25" customHeight="1" thickBot="1">
      <c r="A330" s="1060" t="s">
        <v>1111</v>
      </c>
      <c r="B330" s="1054" t="s">
        <v>1418</v>
      </c>
      <c r="C330" s="1054">
        <v>1260</v>
      </c>
      <c r="D330" s="1054">
        <v>1220</v>
      </c>
      <c r="E330" s="1054">
        <v>1200</v>
      </c>
      <c r="F330" s="1081"/>
      <c r="H330" s="1045"/>
    </row>
    <row r="331" spans="1:8" s="1048" customFormat="1" ht="14.25" customHeight="1" thickBot="1">
      <c r="A331" s="1060" t="s">
        <v>1111</v>
      </c>
      <c r="B331" s="1054" t="s">
        <v>1428</v>
      </c>
      <c r="C331" s="1054">
        <v>1620</v>
      </c>
      <c r="D331" s="1054">
        <v>1560</v>
      </c>
      <c r="E331" s="1054">
        <v>1530</v>
      </c>
      <c r="F331" s="1072">
        <v>490</v>
      </c>
      <c r="H331" s="1045"/>
    </row>
    <row r="332" spans="1:8" s="1048" customFormat="1" ht="14.25" customHeight="1" thickBot="1">
      <c r="A332" s="1060" t="s">
        <v>1111</v>
      </c>
      <c r="B332" s="1054" t="s">
        <v>1438</v>
      </c>
      <c r="C332" s="1054">
        <v>1520</v>
      </c>
      <c r="D332" s="1054">
        <v>1470</v>
      </c>
      <c r="E332" s="1054">
        <v>1440</v>
      </c>
      <c r="F332" s="1072">
        <v>440</v>
      </c>
      <c r="H332" s="1045"/>
    </row>
    <row r="333" spans="1:8" s="1048" customFormat="1" ht="14.25" customHeight="1" thickBot="1">
      <c r="A333" s="1060" t="s">
        <v>1111</v>
      </c>
      <c r="B333" s="1054" t="s">
        <v>1448</v>
      </c>
      <c r="C333" s="1054">
        <v>1370</v>
      </c>
      <c r="D333" s="1054">
        <v>1320</v>
      </c>
      <c r="E333" s="1054">
        <v>1300</v>
      </c>
      <c r="F333" s="1072">
        <v>460</v>
      </c>
      <c r="H333" s="1045"/>
    </row>
    <row r="334" spans="1:8" s="1048" customFormat="1" ht="14.25" customHeight="1" thickBot="1">
      <c r="A334" s="1060" t="s">
        <v>1111</v>
      </c>
      <c r="B334" s="1054" t="s">
        <v>1458</v>
      </c>
      <c r="C334" s="1054">
        <v>1410</v>
      </c>
      <c r="D334" s="1054">
        <v>1340</v>
      </c>
      <c r="E334" s="1054">
        <v>1310</v>
      </c>
      <c r="F334" s="1072">
        <v>410</v>
      </c>
      <c r="H334" s="1045"/>
    </row>
    <row r="335" spans="1:8" s="1048" customFormat="1" ht="14.25" customHeight="1" thickBot="1">
      <c r="A335" s="1060" t="s">
        <v>1111</v>
      </c>
      <c r="B335" s="1054" t="s">
        <v>1468</v>
      </c>
      <c r="C335" s="1054">
        <v>1260</v>
      </c>
      <c r="D335" s="1054">
        <v>1220</v>
      </c>
      <c r="E335" s="1054">
        <v>1200</v>
      </c>
      <c r="F335" s="1081"/>
      <c r="H335" s="1045"/>
    </row>
    <row r="336" spans="1:8" s="1048" customFormat="1" ht="14.25" customHeight="1" thickBot="1">
      <c r="A336" s="1060" t="s">
        <v>1111</v>
      </c>
      <c r="B336" s="1054" t="s">
        <v>1477</v>
      </c>
      <c r="C336" s="1054">
        <v>1160</v>
      </c>
      <c r="D336" s="1054">
        <v>1140</v>
      </c>
      <c r="E336" s="1054">
        <v>1120</v>
      </c>
      <c r="F336" s="1072">
        <v>430</v>
      </c>
      <c r="H336" s="1045"/>
    </row>
    <row r="337" spans="1:8" s="1048" customFormat="1" ht="14.25" customHeight="1" thickBot="1">
      <c r="A337" s="1060" t="s">
        <v>1111</v>
      </c>
      <c r="B337" s="1070" t="s">
        <v>1486</v>
      </c>
      <c r="C337" s="1070"/>
      <c r="D337" s="1070"/>
      <c r="E337" s="1070"/>
      <c r="F337" s="1080">
        <v>380</v>
      </c>
      <c r="H337" s="1045"/>
    </row>
    <row r="338" spans="1:8" s="1048" customFormat="1" ht="14.25" customHeight="1" thickBot="1">
      <c r="A338" s="1060" t="s">
        <v>1112</v>
      </c>
      <c r="B338" s="1061" t="s">
        <v>1629</v>
      </c>
      <c r="C338" s="1061">
        <v>880</v>
      </c>
      <c r="D338" s="1061">
        <v>850</v>
      </c>
      <c r="E338" s="1061">
        <v>830</v>
      </c>
      <c r="F338" s="1083"/>
      <c r="H338" s="1045"/>
    </row>
    <row r="339" spans="1:8" s="1048" customFormat="1" ht="14.25" customHeight="1" thickBot="1">
      <c r="A339" s="1060" t="s">
        <v>1112</v>
      </c>
      <c r="B339" s="1054" t="s">
        <v>1630</v>
      </c>
      <c r="C339" s="1054">
        <v>830</v>
      </c>
      <c r="D339" s="1054">
        <v>800</v>
      </c>
      <c r="E339" s="1054">
        <v>780</v>
      </c>
      <c r="F339" s="1081"/>
      <c r="H339" s="1045"/>
    </row>
    <row r="340" spans="1:8" s="1048" customFormat="1" ht="14.25" customHeight="1" thickBot="1">
      <c r="A340" s="1060" t="s">
        <v>1112</v>
      </c>
      <c r="B340" s="1054" t="s">
        <v>1631</v>
      </c>
      <c r="C340" s="1054">
        <v>980</v>
      </c>
      <c r="D340" s="1054">
        <v>950</v>
      </c>
      <c r="E340" s="1054">
        <v>920</v>
      </c>
      <c r="F340" s="1081"/>
      <c r="H340" s="1045"/>
    </row>
    <row r="341" spans="1:8" s="1048" customFormat="1" ht="14.25" customHeight="1" thickBot="1">
      <c r="A341" s="1060" t="s">
        <v>1112</v>
      </c>
      <c r="B341" s="1054" t="s">
        <v>1632</v>
      </c>
      <c r="C341" s="1054">
        <v>760</v>
      </c>
      <c r="D341" s="1054">
        <v>720</v>
      </c>
      <c r="E341" s="1054">
        <v>690</v>
      </c>
      <c r="F341" s="1072">
        <v>350</v>
      </c>
      <c r="H341" s="1045"/>
    </row>
    <row r="342" spans="1:8" s="1048" customFormat="1" ht="14.25" customHeight="1" thickBot="1">
      <c r="A342" s="1060" t="s">
        <v>1112</v>
      </c>
      <c r="B342" s="1054" t="s">
        <v>1324</v>
      </c>
      <c r="C342" s="1054">
        <v>910</v>
      </c>
      <c r="D342" s="1054">
        <v>870</v>
      </c>
      <c r="E342" s="1054">
        <v>850</v>
      </c>
      <c r="F342" s="1072">
        <v>370</v>
      </c>
      <c r="H342" s="1045"/>
    </row>
    <row r="343" spans="1:8" s="1048" customFormat="1" ht="14.25" customHeight="1" thickBot="1">
      <c r="A343" s="1060" t="s">
        <v>1112</v>
      </c>
      <c r="B343" s="1054" t="s">
        <v>1335</v>
      </c>
      <c r="C343" s="1054">
        <v>800</v>
      </c>
      <c r="D343" s="1054">
        <v>760</v>
      </c>
      <c r="E343" s="1054">
        <v>730</v>
      </c>
      <c r="F343" s="1072">
        <v>340</v>
      </c>
      <c r="H343" s="1045"/>
    </row>
    <row r="344" spans="1:8" s="1048" customFormat="1" ht="14.25" customHeight="1" thickBot="1">
      <c r="A344" s="1060" t="s">
        <v>1112</v>
      </c>
      <c r="B344" s="1070" t="s">
        <v>1346</v>
      </c>
      <c r="C344" s="1070">
        <v>720</v>
      </c>
      <c r="D344" s="1070">
        <v>690</v>
      </c>
      <c r="E344" s="1070">
        <v>660</v>
      </c>
      <c r="F344" s="1080">
        <v>300</v>
      </c>
      <c r="H344" s="104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16"/>
    <col min="2" max="16384" width="9" style="990"/>
  </cols>
  <sheetData>
    <row r="1" spans="1:14" ht="14.25">
      <c r="A1" s="988" t="s">
        <v>1076</v>
      </c>
      <c r="B1" s="989"/>
      <c r="C1" s="989"/>
      <c r="D1" s="989"/>
      <c r="E1" s="989"/>
      <c r="F1" s="989"/>
      <c r="G1" s="989"/>
      <c r="H1" s="989"/>
      <c r="I1" s="989"/>
      <c r="J1" s="989"/>
      <c r="K1" s="989"/>
      <c r="L1" s="989"/>
      <c r="M1" s="989"/>
      <c r="N1" s="989"/>
    </row>
    <row r="2" spans="1:14">
      <c r="A2" s="991" t="s">
        <v>1077</v>
      </c>
      <c r="B2" s="992" t="s">
        <v>1078</v>
      </c>
      <c r="C2" s="992" t="s">
        <v>1079</v>
      </c>
      <c r="D2" s="992" t="s">
        <v>1080</v>
      </c>
      <c r="E2" s="992" t="s">
        <v>1081</v>
      </c>
      <c r="F2" s="992" t="s">
        <v>1082</v>
      </c>
      <c r="G2" s="992" t="s">
        <v>1083</v>
      </c>
      <c r="H2" s="993" t="s">
        <v>1084</v>
      </c>
      <c r="I2" s="993" t="s">
        <v>1085</v>
      </c>
      <c r="J2" s="994" t="s">
        <v>1086</v>
      </c>
      <c r="K2" s="994" t="s">
        <v>1087</v>
      </c>
      <c r="L2" s="994" t="s">
        <v>1088</v>
      </c>
      <c r="M2" s="994" t="s">
        <v>1089</v>
      </c>
    </row>
    <row r="3" spans="1:14">
      <c r="A3" s="991">
        <v>0.1</v>
      </c>
      <c r="B3" s="1000">
        <v>15.052</v>
      </c>
      <c r="C3" s="1000">
        <v>15.052</v>
      </c>
      <c r="D3" s="1000">
        <v>14.263</v>
      </c>
      <c r="E3" s="1000">
        <v>14.263</v>
      </c>
      <c r="F3" s="1000">
        <v>14.263</v>
      </c>
      <c r="G3" s="1000">
        <v>14.263</v>
      </c>
      <c r="H3" s="1000">
        <v>14.263</v>
      </c>
      <c r="I3" s="1000">
        <v>14.097</v>
      </c>
      <c r="J3" s="1000">
        <v>14.097</v>
      </c>
      <c r="K3" s="1000">
        <v>14.097</v>
      </c>
      <c r="L3" s="1000">
        <v>14.097</v>
      </c>
      <c r="M3" s="1000">
        <v>14.097</v>
      </c>
      <c r="N3" s="1001"/>
    </row>
    <row r="4" spans="1:14">
      <c r="A4" s="991">
        <v>0.2</v>
      </c>
      <c r="B4" s="1000">
        <v>7.5259999999999998</v>
      </c>
      <c r="C4" s="1000">
        <v>7.5259999999999998</v>
      </c>
      <c r="D4" s="1000">
        <v>7.1315</v>
      </c>
      <c r="E4" s="1000">
        <v>7.1315</v>
      </c>
      <c r="F4" s="1000">
        <v>7.1315</v>
      </c>
      <c r="G4" s="1000">
        <v>7.1315</v>
      </c>
      <c r="H4" s="1000">
        <v>7.1315</v>
      </c>
      <c r="I4" s="1000">
        <v>7.0484999999999998</v>
      </c>
      <c r="J4" s="1000">
        <v>7.0484999999999998</v>
      </c>
      <c r="K4" s="1000">
        <v>7.0484999999999998</v>
      </c>
      <c r="L4" s="1000">
        <v>7.0484999999999998</v>
      </c>
      <c r="M4" s="1000">
        <v>7.0484999999999998</v>
      </c>
    </row>
    <row r="5" spans="1:14">
      <c r="A5" s="991">
        <v>0.3</v>
      </c>
      <c r="B5" s="1000">
        <v>5.0172999999999996</v>
      </c>
      <c r="C5" s="1000">
        <v>5.0172999999999996</v>
      </c>
      <c r="D5" s="1000">
        <v>4.7542999999999997</v>
      </c>
      <c r="E5" s="1000">
        <v>4.7542999999999997</v>
      </c>
      <c r="F5" s="1000">
        <v>4.7542999999999997</v>
      </c>
      <c r="G5" s="1000">
        <v>4.7542999999999997</v>
      </c>
      <c r="H5" s="1000">
        <v>4.7542999999999997</v>
      </c>
      <c r="I5" s="1000">
        <v>4.6989999999999998</v>
      </c>
      <c r="J5" s="1000">
        <v>4.6989999999999998</v>
      </c>
      <c r="K5" s="1000">
        <v>4.6989999999999998</v>
      </c>
      <c r="L5" s="1000">
        <v>4.6989999999999998</v>
      </c>
      <c r="M5" s="1000">
        <v>4.6989999999999998</v>
      </c>
    </row>
    <row r="6" spans="1:14">
      <c r="A6" s="991">
        <v>0.4</v>
      </c>
      <c r="B6" s="1000">
        <v>3.7629999999999999</v>
      </c>
      <c r="C6" s="1000">
        <v>3.7629999999999999</v>
      </c>
      <c r="D6" s="1000">
        <v>3.5657999999999999</v>
      </c>
      <c r="E6" s="1000">
        <v>3.5657999999999999</v>
      </c>
      <c r="F6" s="1000">
        <v>3.5657999999999999</v>
      </c>
      <c r="G6" s="1000">
        <v>3.5657999999999999</v>
      </c>
      <c r="H6" s="1000">
        <v>3.5657999999999999</v>
      </c>
      <c r="I6" s="1000">
        <v>3.5243000000000002</v>
      </c>
      <c r="J6" s="1000">
        <v>3.5243000000000002</v>
      </c>
      <c r="K6" s="1000">
        <v>3.5243000000000002</v>
      </c>
      <c r="L6" s="1000">
        <v>3.5243000000000002</v>
      </c>
      <c r="M6" s="1000">
        <v>3.5243000000000002</v>
      </c>
    </row>
    <row r="7" spans="1:14">
      <c r="A7" s="991">
        <v>0.5</v>
      </c>
      <c r="B7" s="1000">
        <v>3.0104000000000002</v>
      </c>
      <c r="C7" s="1000">
        <v>3.0104000000000002</v>
      </c>
      <c r="D7" s="1000">
        <v>2.8525999999999998</v>
      </c>
      <c r="E7" s="1000">
        <v>2.8525999999999998</v>
      </c>
      <c r="F7" s="1000">
        <v>2.8525999999999998</v>
      </c>
      <c r="G7" s="1000">
        <v>2.8525999999999998</v>
      </c>
      <c r="H7" s="1000">
        <v>2.8525999999999998</v>
      </c>
      <c r="I7" s="1000">
        <v>2.8193999999999999</v>
      </c>
      <c r="J7" s="1000">
        <v>2.8193999999999999</v>
      </c>
      <c r="K7" s="1000">
        <v>2.8193999999999999</v>
      </c>
      <c r="L7" s="1000">
        <v>2.8193999999999999</v>
      </c>
      <c r="M7" s="1000">
        <v>2.8193999999999999</v>
      </c>
    </row>
    <row r="8" spans="1:14">
      <c r="A8" s="991">
        <v>0.6</v>
      </c>
      <c r="B8" s="1000">
        <v>2.5087000000000002</v>
      </c>
      <c r="C8" s="1000">
        <v>2.5087000000000002</v>
      </c>
      <c r="D8" s="1000">
        <v>2.3772000000000002</v>
      </c>
      <c r="E8" s="1000">
        <v>2.3772000000000002</v>
      </c>
      <c r="F8" s="1000">
        <v>2.3772000000000002</v>
      </c>
      <c r="G8" s="1000">
        <v>2.3772000000000002</v>
      </c>
      <c r="H8" s="1000">
        <v>2.3772000000000002</v>
      </c>
      <c r="I8" s="1000">
        <v>2.3494999999999999</v>
      </c>
      <c r="J8" s="1000">
        <v>2.3494999999999999</v>
      </c>
      <c r="K8" s="1000">
        <v>2.3494999999999999</v>
      </c>
      <c r="L8" s="1000">
        <v>2.3494999999999999</v>
      </c>
      <c r="M8" s="1000">
        <v>2.3494999999999999</v>
      </c>
    </row>
    <row r="9" spans="1:14">
      <c r="A9" s="991">
        <v>0.7</v>
      </c>
      <c r="B9" s="1000">
        <v>2.1503000000000001</v>
      </c>
      <c r="C9" s="1000">
        <v>2.1503000000000001</v>
      </c>
      <c r="D9" s="1000">
        <v>2.0375999999999999</v>
      </c>
      <c r="E9" s="1000">
        <v>2.0375999999999999</v>
      </c>
      <c r="F9" s="1000">
        <v>2.0375999999999999</v>
      </c>
      <c r="G9" s="1000">
        <v>2.0375999999999999</v>
      </c>
      <c r="H9" s="1000">
        <v>2.0375999999999999</v>
      </c>
      <c r="I9" s="1000">
        <v>2.0139</v>
      </c>
      <c r="J9" s="1000">
        <v>2.0139</v>
      </c>
      <c r="K9" s="1000">
        <v>2.0139</v>
      </c>
      <c r="L9" s="1000">
        <v>2.0139</v>
      </c>
      <c r="M9" s="1000">
        <v>2.0139</v>
      </c>
    </row>
    <row r="10" spans="1:14">
      <c r="A10" s="991">
        <v>0.8</v>
      </c>
      <c r="B10" s="1000">
        <v>1.8815</v>
      </c>
      <c r="C10" s="1000">
        <v>1.8815</v>
      </c>
      <c r="D10" s="1000">
        <v>1.7828999999999999</v>
      </c>
      <c r="E10" s="1000">
        <v>1.7828999999999999</v>
      </c>
      <c r="F10" s="1000">
        <v>1.7828999999999999</v>
      </c>
      <c r="G10" s="1000">
        <v>1.7828999999999999</v>
      </c>
      <c r="H10" s="1000">
        <v>1.7828999999999999</v>
      </c>
      <c r="I10" s="1000">
        <v>1.7621</v>
      </c>
      <c r="J10" s="1000">
        <v>1.7621</v>
      </c>
      <c r="K10" s="1000">
        <v>1.7621</v>
      </c>
      <c r="L10" s="1000">
        <v>1.7621</v>
      </c>
      <c r="M10" s="1000">
        <v>1.7621</v>
      </c>
    </row>
    <row r="11" spans="1:14">
      <c r="A11" s="991">
        <v>0.9</v>
      </c>
      <c r="B11" s="1000">
        <v>1.6724000000000001</v>
      </c>
      <c r="C11" s="1000">
        <v>1.6724000000000001</v>
      </c>
      <c r="D11" s="1000">
        <v>1.5848</v>
      </c>
      <c r="E11" s="1000">
        <v>1.5848</v>
      </c>
      <c r="F11" s="1000">
        <v>1.5848</v>
      </c>
      <c r="G11" s="1000">
        <v>1.5848</v>
      </c>
      <c r="H11" s="1000">
        <v>1.5848</v>
      </c>
      <c r="I11" s="1000">
        <v>1.5663</v>
      </c>
      <c r="J11" s="1000">
        <v>1.5663</v>
      </c>
      <c r="K11" s="1000">
        <v>1.5663</v>
      </c>
      <c r="L11" s="1000">
        <v>1.5663</v>
      </c>
      <c r="M11" s="1000">
        <v>1.5663</v>
      </c>
    </row>
    <row r="12" spans="1:14">
      <c r="A12" s="991">
        <v>1</v>
      </c>
      <c r="B12" s="1000">
        <v>1.5052000000000001</v>
      </c>
      <c r="C12" s="1000">
        <v>1.5052000000000001</v>
      </c>
      <c r="D12" s="1000">
        <v>1.4262999999999999</v>
      </c>
      <c r="E12" s="1000">
        <v>1.4262999999999999</v>
      </c>
      <c r="F12" s="1000">
        <v>1.4262999999999999</v>
      </c>
      <c r="G12" s="1000">
        <v>1.4262999999999999</v>
      </c>
      <c r="H12" s="1000">
        <v>1.4262999999999999</v>
      </c>
      <c r="I12" s="1000">
        <v>1.4097</v>
      </c>
      <c r="J12" s="1000">
        <v>1.4097</v>
      </c>
      <c r="K12" s="1000">
        <v>1.4097</v>
      </c>
      <c r="L12" s="1000">
        <v>1.4097</v>
      </c>
      <c r="M12" s="1000">
        <v>1.4097</v>
      </c>
    </row>
    <row r="13" spans="1:14">
      <c r="A13" s="991">
        <v>1.1000000000000001</v>
      </c>
      <c r="B13" s="1000">
        <v>1.4509000000000001</v>
      </c>
      <c r="C13" s="1000">
        <v>1.4509000000000001</v>
      </c>
      <c r="D13" s="1000">
        <v>1.3697999999999999</v>
      </c>
      <c r="E13" s="1000">
        <v>1.3697999999999999</v>
      </c>
      <c r="F13" s="1000">
        <v>1.3697999999999999</v>
      </c>
      <c r="G13" s="1000">
        <v>1.3697999999999999</v>
      </c>
      <c r="H13" s="1000">
        <v>1.3697999999999999</v>
      </c>
      <c r="I13" s="1000">
        <v>1.343</v>
      </c>
      <c r="J13" s="1000">
        <v>1.343</v>
      </c>
      <c r="K13" s="1000">
        <v>1.343</v>
      </c>
      <c r="L13" s="1000">
        <v>1.343</v>
      </c>
      <c r="M13" s="1000">
        <v>1.343</v>
      </c>
    </row>
    <row r="14" spans="1:14">
      <c r="A14" s="991">
        <v>1.2</v>
      </c>
      <c r="B14" s="1000">
        <v>1.4035</v>
      </c>
      <c r="C14" s="1000">
        <v>1.4035</v>
      </c>
      <c r="D14" s="1000">
        <v>1.3205</v>
      </c>
      <c r="E14" s="1000">
        <v>1.3205</v>
      </c>
      <c r="F14" s="1000">
        <v>1.3205</v>
      </c>
      <c r="G14" s="1000">
        <v>1.3205</v>
      </c>
      <c r="H14" s="1000">
        <v>1.3205</v>
      </c>
      <c r="I14" s="1000">
        <v>1.2845</v>
      </c>
      <c r="J14" s="1000">
        <v>1.2845</v>
      </c>
      <c r="K14" s="1000">
        <v>1.2845</v>
      </c>
      <c r="L14" s="1000">
        <v>1.2845</v>
      </c>
      <c r="M14" s="1000">
        <v>1.2845</v>
      </c>
    </row>
    <row r="15" spans="1:14">
      <c r="A15" s="991">
        <v>1.3</v>
      </c>
      <c r="B15" s="1000">
        <v>1.3622000000000001</v>
      </c>
      <c r="C15" s="1000">
        <v>1.3622000000000001</v>
      </c>
      <c r="D15" s="1000">
        <v>1.2775000000000001</v>
      </c>
      <c r="E15" s="1000">
        <v>1.2775000000000001</v>
      </c>
      <c r="F15" s="1000">
        <v>1.2775000000000001</v>
      </c>
      <c r="G15" s="1000">
        <v>1.2775000000000001</v>
      </c>
      <c r="H15" s="1000">
        <v>1.2775000000000001</v>
      </c>
      <c r="I15" s="1000">
        <v>1.2332000000000001</v>
      </c>
      <c r="J15" s="1000">
        <v>1.2332000000000001</v>
      </c>
      <c r="K15" s="1000">
        <v>1.2332000000000001</v>
      </c>
      <c r="L15" s="1000">
        <v>1.2332000000000001</v>
      </c>
      <c r="M15" s="1000">
        <v>1.2332000000000001</v>
      </c>
    </row>
    <row r="16" spans="1:14">
      <c r="A16" s="991">
        <v>1.4</v>
      </c>
      <c r="B16" s="1000">
        <v>1.3262</v>
      </c>
      <c r="C16" s="1000">
        <v>1.3262</v>
      </c>
      <c r="D16" s="1000">
        <v>1.2402</v>
      </c>
      <c r="E16" s="1000">
        <v>1.2402</v>
      </c>
      <c r="F16" s="1000">
        <v>1.2402</v>
      </c>
      <c r="G16" s="1000">
        <v>1.2402</v>
      </c>
      <c r="H16" s="1000">
        <v>1.2402</v>
      </c>
      <c r="I16" s="1000">
        <v>1.1881999999999999</v>
      </c>
      <c r="J16" s="1000">
        <v>1.1881999999999999</v>
      </c>
      <c r="K16" s="1000">
        <v>1.1881999999999999</v>
      </c>
      <c r="L16" s="1000">
        <v>1.1881999999999999</v>
      </c>
      <c r="M16" s="1000">
        <v>1.1881999999999999</v>
      </c>
      <c r="N16" s="1001"/>
    </row>
    <row r="17" spans="1:14">
      <c r="A17" s="991">
        <v>1.5</v>
      </c>
      <c r="B17" s="1000">
        <v>1.2948</v>
      </c>
      <c r="C17" s="1000">
        <v>1.2948</v>
      </c>
      <c r="D17" s="1000">
        <v>1.2075</v>
      </c>
      <c r="E17" s="1000">
        <v>1.2075</v>
      </c>
      <c r="F17" s="1000">
        <v>1.2075</v>
      </c>
      <c r="G17" s="1000">
        <v>1.2075</v>
      </c>
      <c r="H17" s="1000">
        <v>1.2075</v>
      </c>
      <c r="I17" s="1000">
        <v>1.1486000000000001</v>
      </c>
      <c r="J17" s="1000">
        <v>1.1486000000000001</v>
      </c>
      <c r="K17" s="1000">
        <v>1.1486000000000001</v>
      </c>
      <c r="L17" s="1000">
        <v>1.1486000000000001</v>
      </c>
      <c r="M17" s="1000">
        <v>1.1486000000000001</v>
      </c>
      <c r="N17" s="1001"/>
    </row>
    <row r="18" spans="1:14">
      <c r="A18" s="991">
        <v>1.6</v>
      </c>
      <c r="B18" s="1000">
        <v>1.2673000000000001</v>
      </c>
      <c r="C18" s="1000">
        <v>1.2673000000000001</v>
      </c>
      <c r="D18" s="1000">
        <v>1.1789000000000001</v>
      </c>
      <c r="E18" s="1000">
        <v>1.1789000000000001</v>
      </c>
      <c r="F18" s="1000">
        <v>1.1789000000000001</v>
      </c>
      <c r="G18" s="1000">
        <v>1.1789000000000001</v>
      </c>
      <c r="H18" s="1000">
        <v>1.1789000000000001</v>
      </c>
      <c r="I18" s="1000">
        <v>1.1134999999999999</v>
      </c>
      <c r="J18" s="1000">
        <v>1.1134999999999999</v>
      </c>
      <c r="K18" s="1000">
        <v>1.1134999999999999</v>
      </c>
      <c r="L18" s="1000">
        <v>1.1134999999999999</v>
      </c>
      <c r="M18" s="1000">
        <v>1.1134999999999999</v>
      </c>
    </row>
    <row r="19" spans="1:14">
      <c r="A19" s="991">
        <v>1.7</v>
      </c>
      <c r="B19" s="1000">
        <v>1.2428999999999999</v>
      </c>
      <c r="C19" s="1000">
        <v>1.2428999999999999</v>
      </c>
      <c r="D19" s="1000">
        <v>1.1534</v>
      </c>
      <c r="E19" s="1000">
        <v>1.1534</v>
      </c>
      <c r="F19" s="1000">
        <v>1.1534</v>
      </c>
      <c r="G19" s="1000">
        <v>1.1534</v>
      </c>
      <c r="H19" s="1000">
        <v>1.1534</v>
      </c>
      <c r="I19" s="1000">
        <v>1.0820000000000001</v>
      </c>
      <c r="J19" s="1000">
        <v>1.0820000000000001</v>
      </c>
      <c r="K19" s="1000">
        <v>1.0820000000000001</v>
      </c>
      <c r="L19" s="1000">
        <v>1.0820000000000001</v>
      </c>
      <c r="M19" s="1000">
        <v>1.0820000000000001</v>
      </c>
    </row>
    <row r="20" spans="1:14">
      <c r="A20" s="991">
        <v>1.8</v>
      </c>
      <c r="B20" s="1000">
        <v>1.2206999999999999</v>
      </c>
      <c r="C20" s="1000">
        <v>1.2206999999999999</v>
      </c>
      <c r="D20" s="1000">
        <v>1.1304000000000001</v>
      </c>
      <c r="E20" s="1000">
        <v>1.1304000000000001</v>
      </c>
      <c r="F20" s="1000">
        <v>1.1304000000000001</v>
      </c>
      <c r="G20" s="1000">
        <v>1.1304000000000001</v>
      </c>
      <c r="H20" s="1000">
        <v>1.1304000000000001</v>
      </c>
      <c r="I20" s="1000">
        <v>1.0531999999999999</v>
      </c>
      <c r="J20" s="1000">
        <v>1.0531999999999999</v>
      </c>
      <c r="K20" s="1000">
        <v>1.0531999999999999</v>
      </c>
      <c r="L20" s="1000">
        <v>1.0531999999999999</v>
      </c>
      <c r="M20" s="1000">
        <v>1.0531999999999999</v>
      </c>
    </row>
    <row r="21" spans="1:14">
      <c r="A21" s="991">
        <v>1.9</v>
      </c>
      <c r="B21" s="1000">
        <v>1.2</v>
      </c>
      <c r="C21" s="1000">
        <v>1.2</v>
      </c>
      <c r="D21" s="1000">
        <v>1.1089</v>
      </c>
      <c r="E21" s="1000">
        <v>1.1089</v>
      </c>
      <c r="F21" s="1000">
        <v>1.1089</v>
      </c>
      <c r="G21" s="1000">
        <v>1.1089</v>
      </c>
      <c r="H21" s="1000">
        <v>1.1089</v>
      </c>
      <c r="I21" s="1000">
        <v>1.0261</v>
      </c>
      <c r="J21" s="1000">
        <v>1.0261</v>
      </c>
      <c r="K21" s="1000">
        <v>1.0261</v>
      </c>
      <c r="L21" s="1000">
        <v>1.0261</v>
      </c>
      <c r="M21" s="1000">
        <v>1.0261</v>
      </c>
    </row>
    <row r="22" spans="1:14">
      <c r="A22" s="991">
        <v>2</v>
      </c>
      <c r="B22" s="1000">
        <v>1.1800999999999999</v>
      </c>
      <c r="C22" s="1000">
        <v>1.1800999999999999</v>
      </c>
      <c r="D22" s="1000">
        <v>1.0883</v>
      </c>
      <c r="E22" s="1000">
        <v>1.0883</v>
      </c>
      <c r="F22" s="1000">
        <v>1.0883</v>
      </c>
      <c r="G22" s="1000">
        <v>1.0883</v>
      </c>
      <c r="H22" s="1000">
        <v>1.0883</v>
      </c>
      <c r="I22" s="1000">
        <v>1</v>
      </c>
      <c r="J22" s="1000">
        <v>1</v>
      </c>
      <c r="K22" s="1000">
        <v>1</v>
      </c>
      <c r="L22" s="1000">
        <v>1</v>
      </c>
      <c r="M22" s="1000">
        <v>1</v>
      </c>
    </row>
    <row r="23" spans="1:14">
      <c r="A23" s="1015">
        <v>2.1</v>
      </c>
      <c r="B23" s="1000">
        <v>1.1616</v>
      </c>
      <c r="C23" s="1000">
        <v>1.1616</v>
      </c>
      <c r="D23" s="1000">
        <v>1.0685</v>
      </c>
      <c r="E23" s="1000">
        <v>1.0685</v>
      </c>
      <c r="F23" s="1000">
        <v>1.0685</v>
      </c>
      <c r="G23" s="1000">
        <v>1.0685</v>
      </c>
      <c r="H23" s="1000">
        <v>1.0685</v>
      </c>
      <c r="I23" s="1000">
        <v>0.97550000000000003</v>
      </c>
      <c r="J23" s="1000">
        <v>0.97550000000000003</v>
      </c>
      <c r="K23" s="1000">
        <v>0.97550000000000003</v>
      </c>
      <c r="L23" s="1000">
        <v>0.97550000000000003</v>
      </c>
      <c r="M23" s="1000">
        <v>0.97550000000000003</v>
      </c>
    </row>
    <row r="24" spans="1:14">
      <c r="A24" s="1015">
        <v>2.2000000000000002</v>
      </c>
      <c r="B24" s="1000">
        <v>1.1440999999999999</v>
      </c>
      <c r="C24" s="1000">
        <v>1.1440999999999999</v>
      </c>
      <c r="D24" s="1000">
        <v>1.0497000000000001</v>
      </c>
      <c r="E24" s="1000">
        <v>1.0497000000000001</v>
      </c>
      <c r="F24" s="1000">
        <v>1.0497000000000001</v>
      </c>
      <c r="G24" s="1000">
        <v>1.0497000000000001</v>
      </c>
      <c r="H24" s="1000">
        <v>1.0497000000000001</v>
      </c>
      <c r="I24" s="1000">
        <v>0.95230000000000004</v>
      </c>
      <c r="J24" s="1000">
        <v>0.95230000000000004</v>
      </c>
      <c r="K24" s="1000">
        <v>0.95230000000000004</v>
      </c>
      <c r="L24" s="1000">
        <v>0.95230000000000004</v>
      </c>
      <c r="M24" s="1000">
        <v>0.95230000000000004</v>
      </c>
    </row>
    <row r="25" spans="1:14">
      <c r="A25" s="1015">
        <v>2.2999999999999998</v>
      </c>
      <c r="B25" s="1000">
        <v>1.1275999999999999</v>
      </c>
      <c r="C25" s="1000">
        <v>1.1275999999999999</v>
      </c>
      <c r="D25" s="1000">
        <v>1.032</v>
      </c>
      <c r="E25" s="1000">
        <v>1.032</v>
      </c>
      <c r="F25" s="1000">
        <v>1.032</v>
      </c>
      <c r="G25" s="1000">
        <v>1.032</v>
      </c>
      <c r="H25" s="1000">
        <v>1.032</v>
      </c>
      <c r="I25" s="1000">
        <v>0.9304</v>
      </c>
      <c r="J25" s="1000">
        <v>0.9304</v>
      </c>
      <c r="K25" s="1000">
        <v>0.9304</v>
      </c>
      <c r="L25" s="1000">
        <v>0.9304</v>
      </c>
      <c r="M25" s="1000">
        <v>0.9304</v>
      </c>
    </row>
    <row r="26" spans="1:14">
      <c r="A26" s="1015">
        <v>2.4</v>
      </c>
      <c r="B26" s="1000">
        <v>1.1121000000000001</v>
      </c>
      <c r="C26" s="1000">
        <v>1.1121000000000001</v>
      </c>
      <c r="D26" s="1000">
        <v>1.0155000000000001</v>
      </c>
      <c r="E26" s="1000">
        <v>1.0155000000000001</v>
      </c>
      <c r="F26" s="1000">
        <v>1.0155000000000001</v>
      </c>
      <c r="G26" s="1000">
        <v>1.0155000000000001</v>
      </c>
      <c r="H26" s="1000">
        <v>1.0155000000000001</v>
      </c>
      <c r="I26" s="1000">
        <v>0.91</v>
      </c>
      <c r="J26" s="1000">
        <v>0.91</v>
      </c>
      <c r="K26" s="1000">
        <v>0.91</v>
      </c>
      <c r="L26" s="1000">
        <v>0.91</v>
      </c>
      <c r="M26" s="1000">
        <v>0.91</v>
      </c>
    </row>
    <row r="27" spans="1:14">
      <c r="A27" s="1015">
        <v>2.5</v>
      </c>
      <c r="B27" s="1000">
        <v>1.0975999999999999</v>
      </c>
      <c r="C27" s="1000">
        <v>1.0975999999999999</v>
      </c>
      <c r="D27" s="1000">
        <v>1</v>
      </c>
      <c r="E27" s="1000">
        <v>1</v>
      </c>
      <c r="F27" s="1000">
        <v>1</v>
      </c>
      <c r="G27" s="1000">
        <v>1</v>
      </c>
      <c r="H27" s="1000">
        <v>1</v>
      </c>
      <c r="I27" s="1000">
        <v>0.89080000000000004</v>
      </c>
      <c r="J27" s="1000">
        <v>0.89080000000000004</v>
      </c>
      <c r="K27" s="1000">
        <v>0.89080000000000004</v>
      </c>
      <c r="L27" s="1000">
        <v>0.89080000000000004</v>
      </c>
      <c r="M27" s="1000">
        <v>0.89080000000000004</v>
      </c>
    </row>
    <row r="28" spans="1:14">
      <c r="A28" s="1015">
        <v>2.6</v>
      </c>
      <c r="B28" s="1000">
        <v>1.0841000000000001</v>
      </c>
      <c r="C28" s="1000">
        <v>1.0841000000000001</v>
      </c>
      <c r="D28" s="1000">
        <v>0.98619999999999997</v>
      </c>
      <c r="E28" s="1000">
        <v>0.98619999999999997</v>
      </c>
      <c r="F28" s="1000">
        <v>0.98619999999999997</v>
      </c>
      <c r="G28" s="1000">
        <v>0.98619999999999997</v>
      </c>
      <c r="H28" s="1000">
        <v>0.98619999999999997</v>
      </c>
      <c r="I28" s="1000">
        <v>0.873</v>
      </c>
      <c r="J28" s="1000">
        <v>0.873</v>
      </c>
      <c r="K28" s="1000">
        <v>0.873</v>
      </c>
      <c r="L28" s="1000">
        <v>0.873</v>
      </c>
      <c r="M28" s="1000">
        <v>0.873</v>
      </c>
    </row>
    <row r="29" spans="1:14">
      <c r="A29" s="1015">
        <v>2.7</v>
      </c>
      <c r="B29" s="1000">
        <v>1.0716000000000001</v>
      </c>
      <c r="C29" s="1000">
        <v>1.0716000000000001</v>
      </c>
      <c r="D29" s="1000">
        <v>0.97330000000000005</v>
      </c>
      <c r="E29" s="1000">
        <v>0.97330000000000005</v>
      </c>
      <c r="F29" s="1000">
        <v>0.97330000000000005</v>
      </c>
      <c r="G29" s="1000">
        <v>0.97330000000000005</v>
      </c>
      <c r="H29" s="1000">
        <v>0.97330000000000005</v>
      </c>
      <c r="I29" s="1000">
        <v>0.85670000000000002</v>
      </c>
      <c r="J29" s="1000">
        <v>0.85670000000000002</v>
      </c>
      <c r="K29" s="1000">
        <v>0.85670000000000002</v>
      </c>
      <c r="L29" s="1000">
        <v>0.85670000000000002</v>
      </c>
      <c r="M29" s="1000">
        <v>0.85670000000000002</v>
      </c>
    </row>
    <row r="30" spans="1:14">
      <c r="A30" s="1015">
        <v>2.8</v>
      </c>
      <c r="B30" s="1000">
        <v>1.0602</v>
      </c>
      <c r="C30" s="1000">
        <v>1.0602</v>
      </c>
      <c r="D30" s="1000">
        <v>0.96160000000000001</v>
      </c>
      <c r="E30" s="1000">
        <v>0.96160000000000001</v>
      </c>
      <c r="F30" s="1000">
        <v>0.96160000000000001</v>
      </c>
      <c r="G30" s="1000">
        <v>0.96160000000000001</v>
      </c>
      <c r="H30" s="1000">
        <v>0.96160000000000001</v>
      </c>
      <c r="I30" s="1000">
        <v>0.8417</v>
      </c>
      <c r="J30" s="1000">
        <v>0.8417</v>
      </c>
      <c r="K30" s="1000">
        <v>0.8417</v>
      </c>
      <c r="L30" s="1000">
        <v>0.8417</v>
      </c>
      <c r="M30" s="1000">
        <v>0.8417</v>
      </c>
    </row>
    <row r="31" spans="1:14">
      <c r="A31" s="1015">
        <v>2.9</v>
      </c>
      <c r="B31" s="1000">
        <v>1.0497000000000001</v>
      </c>
      <c r="C31" s="1000">
        <v>1.0497000000000001</v>
      </c>
      <c r="D31" s="1000">
        <v>0.95089999999999997</v>
      </c>
      <c r="E31" s="1000">
        <v>0.95089999999999997</v>
      </c>
      <c r="F31" s="1000">
        <v>0.95089999999999997</v>
      </c>
      <c r="G31" s="1000">
        <v>0.95089999999999997</v>
      </c>
      <c r="H31" s="1000">
        <v>0.95089999999999997</v>
      </c>
      <c r="I31" s="1000">
        <v>0.82809999999999995</v>
      </c>
      <c r="J31" s="1000">
        <v>0.82809999999999995</v>
      </c>
      <c r="K31" s="1000">
        <v>0.82809999999999995</v>
      </c>
      <c r="L31" s="1000">
        <v>0.82809999999999995</v>
      </c>
      <c r="M31" s="1000">
        <v>0.82809999999999995</v>
      </c>
    </row>
    <row r="32" spans="1:14">
      <c r="A32" s="1015">
        <v>3</v>
      </c>
      <c r="B32" s="1000">
        <v>1.0401</v>
      </c>
      <c r="C32" s="1000">
        <v>1.0401</v>
      </c>
      <c r="D32" s="1000">
        <v>0.94089999999999996</v>
      </c>
      <c r="E32" s="1000">
        <v>0.94089999999999996</v>
      </c>
      <c r="F32" s="1000">
        <v>0.94089999999999996</v>
      </c>
      <c r="G32" s="1000">
        <v>0.94089999999999996</v>
      </c>
      <c r="H32" s="1000">
        <v>0.94089999999999996</v>
      </c>
      <c r="I32" s="1000">
        <v>0.81579999999999997</v>
      </c>
      <c r="J32" s="1000">
        <v>0.81579999999999997</v>
      </c>
      <c r="K32" s="1000">
        <v>0.81579999999999997</v>
      </c>
      <c r="L32" s="1000">
        <v>0.81579999999999997</v>
      </c>
      <c r="M32" s="1000">
        <v>0.81579999999999997</v>
      </c>
    </row>
    <row r="33" spans="1:13">
      <c r="A33" s="1015">
        <v>3.1</v>
      </c>
      <c r="B33" s="1000">
        <v>1.0314000000000001</v>
      </c>
      <c r="C33" s="1000">
        <v>1.0314000000000001</v>
      </c>
      <c r="D33" s="1000">
        <v>0.93169999999999997</v>
      </c>
      <c r="E33" s="1000">
        <v>0.93169999999999997</v>
      </c>
      <c r="F33" s="1000">
        <v>0.93169999999999997</v>
      </c>
      <c r="G33" s="1000">
        <v>0.93169999999999997</v>
      </c>
      <c r="H33" s="1000">
        <v>0.93169999999999997</v>
      </c>
      <c r="I33" s="1000">
        <v>0.80410000000000004</v>
      </c>
      <c r="J33" s="1000">
        <v>0.80410000000000004</v>
      </c>
      <c r="K33" s="1000">
        <v>0.80410000000000004</v>
      </c>
      <c r="L33" s="1000">
        <v>0.80410000000000004</v>
      </c>
      <c r="M33" s="1000">
        <v>0.80410000000000004</v>
      </c>
    </row>
    <row r="34" spans="1:13">
      <c r="A34" s="1015">
        <v>3.2</v>
      </c>
      <c r="B34" s="1000">
        <v>1.0229999999999999</v>
      </c>
      <c r="C34" s="1000">
        <v>1.0229999999999999</v>
      </c>
      <c r="D34" s="1000">
        <v>0.92279999999999995</v>
      </c>
      <c r="E34" s="1000">
        <v>0.92279999999999995</v>
      </c>
      <c r="F34" s="1000">
        <v>0.92279999999999995</v>
      </c>
      <c r="G34" s="1000">
        <v>0.92279999999999995</v>
      </c>
      <c r="H34" s="1000">
        <v>0.92279999999999995</v>
      </c>
      <c r="I34" s="1000">
        <v>0.79300000000000004</v>
      </c>
      <c r="J34" s="1000">
        <v>0.79300000000000004</v>
      </c>
      <c r="K34" s="1000">
        <v>0.79300000000000004</v>
      </c>
      <c r="L34" s="1000">
        <v>0.79300000000000004</v>
      </c>
      <c r="M34" s="1000">
        <v>0.79300000000000004</v>
      </c>
    </row>
    <row r="35" spans="1:13">
      <c r="A35" s="1015">
        <v>3.3</v>
      </c>
      <c r="B35" s="1000">
        <v>1.0149999999999999</v>
      </c>
      <c r="C35" s="1000">
        <v>1.0149999999999999</v>
      </c>
      <c r="D35" s="1000">
        <v>0.91439999999999999</v>
      </c>
      <c r="E35" s="1000">
        <v>0.91439999999999999</v>
      </c>
      <c r="F35" s="1000">
        <v>0.91439999999999999</v>
      </c>
      <c r="G35" s="1000">
        <v>0.91439999999999999</v>
      </c>
      <c r="H35" s="1000">
        <v>0.91439999999999999</v>
      </c>
      <c r="I35" s="1000">
        <v>0.78220000000000001</v>
      </c>
      <c r="J35" s="1000">
        <v>0.78220000000000001</v>
      </c>
      <c r="K35" s="1000">
        <v>0.78220000000000001</v>
      </c>
      <c r="L35" s="1000">
        <v>0.78220000000000001</v>
      </c>
      <c r="M35" s="1000">
        <v>0.78220000000000001</v>
      </c>
    </row>
    <row r="36" spans="1:13">
      <c r="A36" s="1015">
        <v>3.4</v>
      </c>
      <c r="B36" s="1000">
        <v>1.0073000000000001</v>
      </c>
      <c r="C36" s="1000">
        <v>1.0073000000000001</v>
      </c>
      <c r="D36" s="1000">
        <v>0.90629999999999999</v>
      </c>
      <c r="E36" s="1000">
        <v>0.90629999999999999</v>
      </c>
      <c r="F36" s="1000">
        <v>0.90629999999999999</v>
      </c>
      <c r="G36" s="1000">
        <v>0.90629999999999999</v>
      </c>
      <c r="H36" s="1000">
        <v>0.90629999999999999</v>
      </c>
      <c r="I36" s="1000">
        <v>0.77210000000000001</v>
      </c>
      <c r="J36" s="1000">
        <v>0.77210000000000001</v>
      </c>
      <c r="K36" s="1000">
        <v>0.77210000000000001</v>
      </c>
      <c r="L36" s="1000">
        <v>0.77210000000000001</v>
      </c>
      <c r="M36" s="1000">
        <v>0.77210000000000001</v>
      </c>
    </row>
    <row r="37" spans="1:13">
      <c r="A37" s="1015">
        <v>3.5</v>
      </c>
      <c r="B37" s="1000">
        <v>1</v>
      </c>
      <c r="C37" s="1000">
        <v>1</v>
      </c>
      <c r="D37" s="1000">
        <v>0.89870000000000005</v>
      </c>
      <c r="E37" s="1000">
        <v>0.89870000000000005</v>
      </c>
      <c r="F37" s="1000">
        <v>0.89870000000000005</v>
      </c>
      <c r="G37" s="1000">
        <v>0.89870000000000005</v>
      </c>
      <c r="H37" s="1000">
        <v>0.89870000000000005</v>
      </c>
      <c r="I37" s="1000">
        <v>0.76239999999999997</v>
      </c>
      <c r="J37" s="1000">
        <v>0.76239999999999997</v>
      </c>
      <c r="K37" s="1000">
        <v>0.76239999999999997</v>
      </c>
      <c r="L37" s="1000">
        <v>0.76239999999999997</v>
      </c>
      <c r="M37" s="1000">
        <v>0.76239999999999997</v>
      </c>
    </row>
    <row r="38" spans="1:13">
      <c r="A38" s="1015">
        <v>3.6</v>
      </c>
      <c r="B38" s="1000">
        <v>0.99329999999999996</v>
      </c>
      <c r="C38" s="1000">
        <v>0.99329999999999996</v>
      </c>
      <c r="D38" s="1000">
        <v>0.89139999999999997</v>
      </c>
      <c r="E38" s="1000">
        <v>0.89139999999999997</v>
      </c>
      <c r="F38" s="1000">
        <v>0.89139999999999997</v>
      </c>
      <c r="G38" s="1000">
        <v>0.89139999999999997</v>
      </c>
      <c r="H38" s="1000">
        <v>0.89139999999999997</v>
      </c>
      <c r="I38" s="1000">
        <v>0.75319999999999998</v>
      </c>
      <c r="J38" s="1000">
        <v>0.75319999999999998</v>
      </c>
      <c r="K38" s="1000">
        <v>0.75319999999999998</v>
      </c>
      <c r="L38" s="1000">
        <v>0.75319999999999998</v>
      </c>
      <c r="M38" s="1000">
        <v>0.75319999999999998</v>
      </c>
    </row>
    <row r="39" spans="1:13">
      <c r="A39" s="1015">
        <v>3.7</v>
      </c>
      <c r="B39" s="1000">
        <v>0.9869</v>
      </c>
      <c r="C39" s="1000">
        <v>0.9869</v>
      </c>
      <c r="D39" s="1000">
        <v>0.88449999999999995</v>
      </c>
      <c r="E39" s="1000">
        <v>0.88449999999999995</v>
      </c>
      <c r="F39" s="1000">
        <v>0.88449999999999995</v>
      </c>
      <c r="G39" s="1000">
        <v>0.88449999999999995</v>
      </c>
      <c r="H39" s="1000">
        <v>0.88449999999999995</v>
      </c>
      <c r="I39" s="1000">
        <v>0.74460000000000004</v>
      </c>
      <c r="J39" s="1000">
        <v>0.74460000000000004</v>
      </c>
      <c r="K39" s="1000">
        <v>0.74460000000000004</v>
      </c>
      <c r="L39" s="1000">
        <v>0.74460000000000004</v>
      </c>
      <c r="M39" s="1000">
        <v>0.74460000000000004</v>
      </c>
    </row>
    <row r="40" spans="1:13">
      <c r="A40" s="1015">
        <v>3.8</v>
      </c>
      <c r="B40" s="1000">
        <v>0.98080000000000001</v>
      </c>
      <c r="C40" s="1000">
        <v>0.98080000000000001</v>
      </c>
      <c r="D40" s="1000">
        <v>0.87809999999999999</v>
      </c>
      <c r="E40" s="1000">
        <v>0.87809999999999999</v>
      </c>
      <c r="F40" s="1000">
        <v>0.87809999999999999</v>
      </c>
      <c r="G40" s="1000">
        <v>0.87809999999999999</v>
      </c>
      <c r="H40" s="1000">
        <v>0.87809999999999999</v>
      </c>
      <c r="I40" s="1000">
        <v>0.73640000000000005</v>
      </c>
      <c r="J40" s="1000">
        <v>0.73640000000000005</v>
      </c>
      <c r="K40" s="1000">
        <v>0.73640000000000005</v>
      </c>
      <c r="L40" s="1000">
        <v>0.73640000000000005</v>
      </c>
      <c r="M40" s="1000">
        <v>0.73640000000000005</v>
      </c>
    </row>
    <row r="41" spans="1:13">
      <c r="A41" s="1015">
        <v>3.9</v>
      </c>
      <c r="B41" s="1000">
        <v>0.97509999999999997</v>
      </c>
      <c r="C41" s="1000">
        <v>0.97509999999999997</v>
      </c>
      <c r="D41" s="1000">
        <v>0.87209999999999999</v>
      </c>
      <c r="E41" s="1000">
        <v>0.87209999999999999</v>
      </c>
      <c r="F41" s="1000">
        <v>0.87209999999999999</v>
      </c>
      <c r="G41" s="1000">
        <v>0.87209999999999999</v>
      </c>
      <c r="H41" s="1000">
        <v>0.87209999999999999</v>
      </c>
      <c r="I41" s="1000">
        <v>0.7288</v>
      </c>
      <c r="J41" s="1000">
        <v>0.7288</v>
      </c>
      <c r="K41" s="1000">
        <v>0.7288</v>
      </c>
      <c r="L41" s="1000">
        <v>0.7288</v>
      </c>
      <c r="M41" s="1000">
        <v>0.7288</v>
      </c>
    </row>
    <row r="42" spans="1:13">
      <c r="A42" s="1015">
        <v>4</v>
      </c>
      <c r="B42" s="1000">
        <v>0.96989999999999998</v>
      </c>
      <c r="C42" s="1000">
        <v>0.96989999999999998</v>
      </c>
      <c r="D42" s="1000">
        <v>0.86650000000000005</v>
      </c>
      <c r="E42" s="1000">
        <v>0.86650000000000005</v>
      </c>
      <c r="F42" s="1000">
        <v>0.86650000000000005</v>
      </c>
      <c r="G42" s="1000">
        <v>0.86650000000000005</v>
      </c>
      <c r="H42" s="1000">
        <v>0.86650000000000005</v>
      </c>
      <c r="I42" s="1000">
        <v>0.7218</v>
      </c>
      <c r="J42" s="1000">
        <v>0.7218</v>
      </c>
      <c r="K42" s="1000">
        <v>0.7218</v>
      </c>
      <c r="L42" s="1000">
        <v>0.7218</v>
      </c>
      <c r="M42" s="1000">
        <v>0.7218</v>
      </c>
    </row>
    <row r="43" spans="1:13">
      <c r="A43" s="1015">
        <v>4.0999999999999996</v>
      </c>
      <c r="B43" s="1000">
        <v>0.96479999999999999</v>
      </c>
      <c r="C43" s="1000">
        <v>0.96479999999999999</v>
      </c>
      <c r="D43" s="1000">
        <v>0.86109999999999998</v>
      </c>
      <c r="E43" s="1000">
        <v>0.86109999999999998</v>
      </c>
      <c r="F43" s="1000">
        <v>0.86109999999999998</v>
      </c>
      <c r="G43" s="1000">
        <v>0.86109999999999998</v>
      </c>
      <c r="H43" s="1000">
        <v>0.86109999999999998</v>
      </c>
      <c r="I43" s="1000">
        <v>0.71499999999999997</v>
      </c>
      <c r="J43" s="1000">
        <v>0.71499999999999997</v>
      </c>
      <c r="K43" s="1000">
        <v>0.71499999999999997</v>
      </c>
      <c r="L43" s="1000">
        <v>0.71499999999999997</v>
      </c>
      <c r="M43" s="1000">
        <v>0.71499999999999997</v>
      </c>
    </row>
    <row r="44" spans="1:13">
      <c r="A44" s="1015">
        <v>4.2</v>
      </c>
      <c r="B44" s="1000">
        <v>0.96</v>
      </c>
      <c r="C44" s="1000">
        <v>0.96</v>
      </c>
      <c r="D44" s="1000">
        <v>0.85599999999999998</v>
      </c>
      <c r="E44" s="1000">
        <v>0.85599999999999998</v>
      </c>
      <c r="F44" s="1000">
        <v>0.85599999999999998</v>
      </c>
      <c r="G44" s="1000">
        <v>0.85599999999999998</v>
      </c>
      <c r="H44" s="1000">
        <v>0.85599999999999998</v>
      </c>
      <c r="I44" s="1000">
        <v>0.70840000000000003</v>
      </c>
      <c r="J44" s="1000">
        <v>0.70840000000000003</v>
      </c>
      <c r="K44" s="1000">
        <v>0.70840000000000003</v>
      </c>
      <c r="L44" s="1000">
        <v>0.70840000000000003</v>
      </c>
      <c r="M44" s="1000">
        <v>0.70840000000000003</v>
      </c>
    </row>
    <row r="45" spans="1:13">
      <c r="A45" s="1015">
        <v>4.3</v>
      </c>
      <c r="B45" s="1000">
        <v>0.95530000000000004</v>
      </c>
      <c r="C45" s="1000">
        <v>0.95530000000000004</v>
      </c>
      <c r="D45" s="1000">
        <v>0.85099999999999998</v>
      </c>
      <c r="E45" s="1000">
        <v>0.85099999999999998</v>
      </c>
      <c r="F45" s="1000">
        <v>0.85099999999999998</v>
      </c>
      <c r="G45" s="1000">
        <v>0.85099999999999998</v>
      </c>
      <c r="H45" s="1000">
        <v>0.85099999999999998</v>
      </c>
      <c r="I45" s="1000">
        <v>0.70199999999999996</v>
      </c>
      <c r="J45" s="1000">
        <v>0.70199999999999996</v>
      </c>
      <c r="K45" s="1000">
        <v>0.70199999999999996</v>
      </c>
      <c r="L45" s="1000">
        <v>0.70199999999999996</v>
      </c>
      <c r="M45" s="1000">
        <v>0.70199999999999996</v>
      </c>
    </row>
    <row r="46" spans="1:13">
      <c r="A46" s="1015">
        <v>4.4000000000000004</v>
      </c>
      <c r="B46" s="1000">
        <v>0.95079999999999998</v>
      </c>
      <c r="C46" s="1000">
        <v>0.95079999999999998</v>
      </c>
      <c r="D46" s="1000">
        <v>0.84619999999999995</v>
      </c>
      <c r="E46" s="1000">
        <v>0.84619999999999995</v>
      </c>
      <c r="F46" s="1000">
        <v>0.84619999999999995</v>
      </c>
      <c r="G46" s="1000">
        <v>0.84619999999999995</v>
      </c>
      <c r="H46" s="1000">
        <v>0.84619999999999995</v>
      </c>
      <c r="I46" s="1000">
        <v>0.69579999999999997</v>
      </c>
      <c r="J46" s="1000">
        <v>0.69579999999999997</v>
      </c>
      <c r="K46" s="1000">
        <v>0.69579999999999997</v>
      </c>
      <c r="L46" s="1000">
        <v>0.69579999999999997</v>
      </c>
      <c r="M46" s="1000">
        <v>0.69579999999999997</v>
      </c>
    </row>
    <row r="47" spans="1:13">
      <c r="A47" s="1015">
        <v>4.5</v>
      </c>
      <c r="B47" s="1000">
        <v>0.94640000000000002</v>
      </c>
      <c r="C47" s="1000">
        <v>0.94640000000000002</v>
      </c>
      <c r="D47" s="1000">
        <v>0.84150000000000003</v>
      </c>
      <c r="E47" s="1000">
        <v>0.84150000000000003</v>
      </c>
      <c r="F47" s="1000">
        <v>0.84150000000000003</v>
      </c>
      <c r="G47" s="1000">
        <v>0.84150000000000003</v>
      </c>
      <c r="H47" s="1000">
        <v>0.84150000000000003</v>
      </c>
      <c r="I47" s="1000">
        <v>0.68989999999999996</v>
      </c>
      <c r="J47" s="1000">
        <v>0.68989999999999996</v>
      </c>
      <c r="K47" s="1000">
        <v>0.68989999999999996</v>
      </c>
      <c r="L47" s="1000">
        <v>0.68989999999999996</v>
      </c>
      <c r="M47" s="1000">
        <v>0.68989999999999996</v>
      </c>
    </row>
    <row r="48" spans="1:13">
      <c r="A48" s="1015">
        <v>4.5999999999999996</v>
      </c>
      <c r="B48" s="1000">
        <v>0.94230000000000003</v>
      </c>
      <c r="C48" s="1000">
        <v>0.94230000000000003</v>
      </c>
      <c r="D48" s="1000">
        <v>0.83709999999999996</v>
      </c>
      <c r="E48" s="1000">
        <v>0.83709999999999996</v>
      </c>
      <c r="F48" s="1000">
        <v>0.83709999999999996</v>
      </c>
      <c r="G48" s="1000">
        <v>0.83709999999999996</v>
      </c>
      <c r="H48" s="1000">
        <v>0.83709999999999996</v>
      </c>
      <c r="I48" s="1000">
        <v>0.68430000000000002</v>
      </c>
      <c r="J48" s="1000">
        <v>0.68430000000000002</v>
      </c>
      <c r="K48" s="1000">
        <v>0.68430000000000002</v>
      </c>
      <c r="L48" s="1000">
        <v>0.68430000000000002</v>
      </c>
      <c r="M48" s="1000">
        <v>0.68430000000000002</v>
      </c>
    </row>
    <row r="49" spans="1:13">
      <c r="A49" s="1015">
        <v>4.7</v>
      </c>
      <c r="B49" s="1000">
        <v>0.93830000000000002</v>
      </c>
      <c r="C49" s="1000">
        <v>0.93830000000000002</v>
      </c>
      <c r="D49" s="1000">
        <v>0.83279999999999998</v>
      </c>
      <c r="E49" s="1000">
        <v>0.83279999999999998</v>
      </c>
      <c r="F49" s="1000">
        <v>0.83279999999999998</v>
      </c>
      <c r="G49" s="1000">
        <v>0.83279999999999998</v>
      </c>
      <c r="H49" s="1000">
        <v>0.83279999999999998</v>
      </c>
      <c r="I49" s="1000">
        <v>0.67879999999999996</v>
      </c>
      <c r="J49" s="1000">
        <v>0.67879999999999996</v>
      </c>
      <c r="K49" s="1000">
        <v>0.67879999999999996</v>
      </c>
      <c r="L49" s="1000">
        <v>0.67879999999999996</v>
      </c>
      <c r="M49" s="1000">
        <v>0.67879999999999996</v>
      </c>
    </row>
    <row r="50" spans="1:13">
      <c r="A50" s="1015">
        <v>4.8</v>
      </c>
      <c r="B50" s="1000">
        <v>0.9345</v>
      </c>
      <c r="C50" s="1000">
        <v>0.9345</v>
      </c>
      <c r="D50" s="1000">
        <v>0.82869999999999999</v>
      </c>
      <c r="E50" s="1000">
        <v>0.82869999999999999</v>
      </c>
      <c r="F50" s="1000">
        <v>0.82869999999999999</v>
      </c>
      <c r="G50" s="1000">
        <v>0.82869999999999999</v>
      </c>
      <c r="H50" s="1000">
        <v>0.82869999999999999</v>
      </c>
      <c r="I50" s="1000">
        <v>0.67359999999999998</v>
      </c>
      <c r="J50" s="1000">
        <v>0.67359999999999998</v>
      </c>
      <c r="K50" s="1000">
        <v>0.67359999999999998</v>
      </c>
      <c r="L50" s="1000">
        <v>0.67359999999999998</v>
      </c>
      <c r="M50" s="1000">
        <v>0.67359999999999998</v>
      </c>
    </row>
    <row r="51" spans="1:13">
      <c r="A51" s="1015">
        <v>4.9000000000000004</v>
      </c>
      <c r="B51" s="1000">
        <v>0.93079999999999996</v>
      </c>
      <c r="C51" s="1000">
        <v>0.93079999999999996</v>
      </c>
      <c r="D51" s="1000">
        <v>0.82479999999999998</v>
      </c>
      <c r="E51" s="1000">
        <v>0.82479999999999998</v>
      </c>
      <c r="F51" s="1000">
        <v>0.82479999999999998</v>
      </c>
      <c r="G51" s="1000">
        <v>0.82479999999999998</v>
      </c>
      <c r="H51" s="1000">
        <v>0.82479999999999998</v>
      </c>
      <c r="I51" s="1000">
        <v>0.66849999999999998</v>
      </c>
      <c r="J51" s="1000">
        <v>0.66849999999999998</v>
      </c>
      <c r="K51" s="1000">
        <v>0.66849999999999998</v>
      </c>
      <c r="L51" s="1000">
        <v>0.66849999999999998</v>
      </c>
      <c r="M51" s="1000">
        <v>0.66849999999999998</v>
      </c>
    </row>
    <row r="52" spans="1:13">
      <c r="A52" s="1015">
        <v>5</v>
      </c>
      <c r="B52" s="1000">
        <v>0.9274</v>
      </c>
      <c r="C52" s="1000">
        <v>0.9274</v>
      </c>
      <c r="D52" s="1000">
        <v>0.82110000000000005</v>
      </c>
      <c r="E52" s="1000">
        <v>0.82110000000000005</v>
      </c>
      <c r="F52" s="1000">
        <v>0.82110000000000005</v>
      </c>
      <c r="G52" s="1000">
        <v>0.82110000000000005</v>
      </c>
      <c r="H52" s="1000">
        <v>0.82110000000000005</v>
      </c>
      <c r="I52" s="1000">
        <v>0.66369999999999996</v>
      </c>
      <c r="J52" s="1000">
        <v>0.66369999999999996</v>
      </c>
      <c r="K52" s="1000">
        <v>0.66369999999999996</v>
      </c>
      <c r="L52" s="1000">
        <v>0.66369999999999996</v>
      </c>
      <c r="M52" s="1000">
        <v>0.66369999999999996</v>
      </c>
    </row>
    <row r="53" spans="1:13">
      <c r="A53" s="991">
        <v>5.0999999999999996</v>
      </c>
      <c r="B53" s="1000">
        <v>0.92410000000000003</v>
      </c>
      <c r="C53" s="1000">
        <v>0.92410000000000003</v>
      </c>
      <c r="D53" s="1000">
        <v>0.8175</v>
      </c>
      <c r="E53" s="1000">
        <v>0.8175</v>
      </c>
      <c r="F53" s="1000">
        <v>0.8175</v>
      </c>
      <c r="G53" s="1000">
        <v>0.8175</v>
      </c>
      <c r="H53" s="1000">
        <v>0.8175</v>
      </c>
      <c r="I53" s="1000">
        <v>0.65900000000000003</v>
      </c>
      <c r="J53" s="1000">
        <v>0.65900000000000003</v>
      </c>
      <c r="K53" s="1000">
        <v>0.65900000000000003</v>
      </c>
      <c r="L53" s="1000">
        <v>0.65900000000000003</v>
      </c>
      <c r="M53" s="1000">
        <v>0.65900000000000003</v>
      </c>
    </row>
    <row r="54" spans="1:13">
      <c r="A54" s="991">
        <v>5.2</v>
      </c>
      <c r="B54" s="1000">
        <v>0.92090000000000005</v>
      </c>
      <c r="C54" s="1000">
        <v>0.92090000000000005</v>
      </c>
      <c r="D54" s="1000">
        <v>0.81399999999999995</v>
      </c>
      <c r="E54" s="1000">
        <v>0.81399999999999995</v>
      </c>
      <c r="F54" s="1000">
        <v>0.81399999999999995</v>
      </c>
      <c r="G54" s="1000">
        <v>0.81399999999999995</v>
      </c>
      <c r="H54" s="1000">
        <v>0.81399999999999995</v>
      </c>
      <c r="I54" s="1000">
        <v>0.65449999999999997</v>
      </c>
      <c r="J54" s="1000">
        <v>0.65449999999999997</v>
      </c>
      <c r="K54" s="1000">
        <v>0.65449999999999997</v>
      </c>
      <c r="L54" s="1000">
        <v>0.65449999999999997</v>
      </c>
      <c r="M54" s="1000">
        <v>0.65449999999999997</v>
      </c>
    </row>
    <row r="55" spans="1:13">
      <c r="A55" s="991">
        <v>5.3</v>
      </c>
      <c r="B55" s="1000">
        <v>0.91790000000000005</v>
      </c>
      <c r="C55" s="1000">
        <v>0.91790000000000005</v>
      </c>
      <c r="D55" s="1000">
        <v>0.81059999999999999</v>
      </c>
      <c r="E55" s="1000">
        <v>0.81059999999999999</v>
      </c>
      <c r="F55" s="1000">
        <v>0.81059999999999999</v>
      </c>
      <c r="G55" s="1000">
        <v>0.81059999999999999</v>
      </c>
      <c r="H55" s="1000">
        <v>0.81059999999999999</v>
      </c>
      <c r="I55" s="1000">
        <v>0.6502</v>
      </c>
      <c r="J55" s="1000">
        <v>0.6502</v>
      </c>
      <c r="K55" s="1000">
        <v>0.6502</v>
      </c>
      <c r="L55" s="1000">
        <v>0.6502</v>
      </c>
      <c r="M55" s="1000">
        <v>0.6502</v>
      </c>
    </row>
    <row r="56" spans="1:13">
      <c r="A56" s="991">
        <v>5.4</v>
      </c>
      <c r="B56" s="1000">
        <v>0.91490000000000005</v>
      </c>
      <c r="C56" s="1000">
        <v>0.91490000000000005</v>
      </c>
      <c r="D56" s="1000">
        <v>0.80740000000000001</v>
      </c>
      <c r="E56" s="1000">
        <v>0.80740000000000001</v>
      </c>
      <c r="F56" s="1000">
        <v>0.80740000000000001</v>
      </c>
      <c r="G56" s="1000">
        <v>0.80740000000000001</v>
      </c>
      <c r="H56" s="1000">
        <v>0.80740000000000001</v>
      </c>
      <c r="I56" s="1000">
        <v>0.64590000000000003</v>
      </c>
      <c r="J56" s="1000">
        <v>0.64590000000000003</v>
      </c>
      <c r="K56" s="1000">
        <v>0.64590000000000003</v>
      </c>
      <c r="L56" s="1000">
        <v>0.64590000000000003</v>
      </c>
      <c r="M56" s="1000">
        <v>0.64590000000000003</v>
      </c>
    </row>
    <row r="57" spans="1:13">
      <c r="A57" s="991">
        <v>5.5</v>
      </c>
      <c r="B57" s="1000">
        <v>0.91200000000000003</v>
      </c>
      <c r="C57" s="1000">
        <v>0.91200000000000003</v>
      </c>
      <c r="D57" s="1000">
        <v>0.80420000000000003</v>
      </c>
      <c r="E57" s="1000">
        <v>0.80420000000000003</v>
      </c>
      <c r="F57" s="1000">
        <v>0.80420000000000003</v>
      </c>
      <c r="G57" s="1000">
        <v>0.80420000000000003</v>
      </c>
      <c r="H57" s="1000">
        <v>0.80420000000000003</v>
      </c>
      <c r="I57" s="1000">
        <v>0.64180000000000004</v>
      </c>
      <c r="J57" s="1000">
        <v>0.64180000000000004</v>
      </c>
      <c r="K57" s="1000">
        <v>0.64180000000000004</v>
      </c>
      <c r="L57" s="1000">
        <v>0.64180000000000004</v>
      </c>
      <c r="M57" s="1000">
        <v>0.64180000000000004</v>
      </c>
    </row>
    <row r="58" spans="1:13">
      <c r="A58" s="991">
        <v>5.6</v>
      </c>
      <c r="B58" s="1000">
        <v>0.90910000000000002</v>
      </c>
      <c r="C58" s="1000">
        <v>0.90910000000000002</v>
      </c>
      <c r="D58" s="1000">
        <v>0.80120000000000002</v>
      </c>
      <c r="E58" s="1000">
        <v>0.80120000000000002</v>
      </c>
      <c r="F58" s="1000">
        <v>0.80120000000000002</v>
      </c>
      <c r="G58" s="1000">
        <v>0.80120000000000002</v>
      </c>
      <c r="H58" s="1000">
        <v>0.80120000000000002</v>
      </c>
      <c r="I58" s="1000">
        <v>0.63790000000000002</v>
      </c>
      <c r="J58" s="1000">
        <v>0.63790000000000002</v>
      </c>
      <c r="K58" s="1000">
        <v>0.63790000000000002</v>
      </c>
      <c r="L58" s="1000">
        <v>0.63790000000000002</v>
      </c>
      <c r="M58" s="1000">
        <v>0.63790000000000002</v>
      </c>
    </row>
    <row r="59" spans="1:13">
      <c r="A59" s="1015">
        <v>5.7</v>
      </c>
      <c r="B59" s="1000">
        <v>0.90639999999999998</v>
      </c>
      <c r="C59" s="1000">
        <v>0.90639999999999998</v>
      </c>
      <c r="D59" s="1000">
        <v>0.79820000000000002</v>
      </c>
      <c r="E59" s="1000">
        <v>0.79820000000000002</v>
      </c>
      <c r="F59" s="1000">
        <v>0.79820000000000002</v>
      </c>
      <c r="G59" s="1000">
        <v>0.79820000000000002</v>
      </c>
      <c r="H59" s="1000">
        <v>0.79820000000000002</v>
      </c>
      <c r="I59" s="1000">
        <v>0.6341</v>
      </c>
      <c r="J59" s="1000">
        <v>0.6341</v>
      </c>
      <c r="K59" s="1000">
        <v>0.6341</v>
      </c>
      <c r="L59" s="1000">
        <v>0.6341</v>
      </c>
      <c r="M59" s="1000">
        <v>0.6341</v>
      </c>
    </row>
    <row r="60" spans="1:13">
      <c r="A60" s="991">
        <v>5.8</v>
      </c>
      <c r="B60" s="1000">
        <v>0.90380000000000005</v>
      </c>
      <c r="C60" s="1000">
        <v>0.90380000000000005</v>
      </c>
      <c r="D60" s="1000">
        <v>0.7954</v>
      </c>
      <c r="E60" s="1000">
        <v>0.7954</v>
      </c>
      <c r="F60" s="1000">
        <v>0.7954</v>
      </c>
      <c r="G60" s="1000">
        <v>0.7954</v>
      </c>
      <c r="H60" s="1000">
        <v>0.7954</v>
      </c>
      <c r="I60" s="1000">
        <v>0.63039999999999996</v>
      </c>
      <c r="J60" s="1000">
        <v>0.63039999999999996</v>
      </c>
      <c r="K60" s="1000">
        <v>0.63039999999999996</v>
      </c>
      <c r="L60" s="1000">
        <v>0.63039999999999996</v>
      </c>
      <c r="M60" s="1000">
        <v>0.63039999999999996</v>
      </c>
    </row>
    <row r="61" spans="1:13">
      <c r="A61" s="991">
        <v>5.9</v>
      </c>
      <c r="B61" s="1000">
        <v>0.90129999999999999</v>
      </c>
      <c r="C61" s="1000">
        <v>0.90129999999999999</v>
      </c>
      <c r="D61" s="1000">
        <v>0.79269999999999996</v>
      </c>
      <c r="E61" s="1000">
        <v>0.79269999999999996</v>
      </c>
      <c r="F61" s="1000">
        <v>0.79269999999999996</v>
      </c>
      <c r="G61" s="1000">
        <v>0.79269999999999996</v>
      </c>
      <c r="H61" s="1000">
        <v>0.79269999999999996</v>
      </c>
      <c r="I61" s="1000">
        <v>0.62690000000000001</v>
      </c>
      <c r="J61" s="1000">
        <v>0.62690000000000001</v>
      </c>
      <c r="K61" s="1000">
        <v>0.62690000000000001</v>
      </c>
      <c r="L61" s="1000">
        <v>0.62690000000000001</v>
      </c>
      <c r="M61" s="1000">
        <v>0.62690000000000001</v>
      </c>
    </row>
    <row r="62" spans="1:13">
      <c r="A62" s="991">
        <v>6</v>
      </c>
      <c r="B62" s="1000">
        <v>0.89890000000000003</v>
      </c>
      <c r="C62" s="1000">
        <v>0.89890000000000003</v>
      </c>
      <c r="D62" s="1000">
        <v>0.79020000000000001</v>
      </c>
      <c r="E62" s="1000">
        <v>0.79020000000000001</v>
      </c>
      <c r="F62" s="1000">
        <v>0.79020000000000001</v>
      </c>
      <c r="G62" s="1000">
        <v>0.79020000000000001</v>
      </c>
      <c r="H62" s="1000">
        <v>0.79020000000000001</v>
      </c>
      <c r="I62" s="1000">
        <v>0.62350000000000005</v>
      </c>
      <c r="J62" s="1000">
        <v>0.62350000000000005</v>
      </c>
      <c r="K62" s="1000">
        <v>0.62350000000000005</v>
      </c>
      <c r="L62" s="1000">
        <v>0.62350000000000005</v>
      </c>
      <c r="M62" s="1000">
        <v>0.62350000000000005</v>
      </c>
    </row>
    <row r="63" spans="1:13">
      <c r="A63" s="991">
        <v>6.1</v>
      </c>
      <c r="B63" s="1000">
        <v>0.89649999999999996</v>
      </c>
      <c r="C63" s="1000">
        <v>0.89649999999999996</v>
      </c>
      <c r="D63" s="1000">
        <v>0.78769999999999996</v>
      </c>
      <c r="E63" s="1000">
        <v>0.78769999999999996</v>
      </c>
      <c r="F63" s="1000">
        <v>0.78769999999999996</v>
      </c>
      <c r="G63" s="1000">
        <v>0.78769999999999996</v>
      </c>
      <c r="H63" s="1000">
        <v>0.78769999999999996</v>
      </c>
      <c r="I63" s="1000">
        <v>0.62029999999999996</v>
      </c>
      <c r="J63" s="1000">
        <v>0.62029999999999996</v>
      </c>
      <c r="K63" s="1000">
        <v>0.62029999999999996</v>
      </c>
      <c r="L63" s="1000">
        <v>0.62029999999999996</v>
      </c>
      <c r="M63" s="1000">
        <v>0.62029999999999996</v>
      </c>
    </row>
    <row r="64" spans="1:13">
      <c r="A64" s="991">
        <v>6.2</v>
      </c>
      <c r="B64" s="1000">
        <v>0.89429999999999998</v>
      </c>
      <c r="C64" s="1000">
        <v>0.89429999999999998</v>
      </c>
      <c r="D64" s="1000">
        <v>0.78520000000000001</v>
      </c>
      <c r="E64" s="1000">
        <v>0.78520000000000001</v>
      </c>
      <c r="F64" s="1000">
        <v>0.78520000000000001</v>
      </c>
      <c r="G64" s="1000">
        <v>0.78520000000000001</v>
      </c>
      <c r="H64" s="1000">
        <v>0.78520000000000001</v>
      </c>
      <c r="I64" s="1000">
        <v>0.61719999999999997</v>
      </c>
      <c r="J64" s="1000">
        <v>0.61719999999999997</v>
      </c>
      <c r="K64" s="1000">
        <v>0.61719999999999997</v>
      </c>
      <c r="L64" s="1000">
        <v>0.61719999999999997</v>
      </c>
      <c r="M64" s="1000">
        <v>0.61719999999999997</v>
      </c>
    </row>
    <row r="65" spans="1:13">
      <c r="A65" s="991">
        <v>6.3</v>
      </c>
      <c r="B65" s="1000">
        <v>0.89200000000000002</v>
      </c>
      <c r="C65" s="1000">
        <v>0.89200000000000002</v>
      </c>
      <c r="D65" s="1000">
        <v>0.78280000000000005</v>
      </c>
      <c r="E65" s="1000">
        <v>0.78280000000000005</v>
      </c>
      <c r="F65" s="1000">
        <v>0.78280000000000005</v>
      </c>
      <c r="G65" s="1000">
        <v>0.78280000000000005</v>
      </c>
      <c r="H65" s="1000">
        <v>0.78280000000000005</v>
      </c>
      <c r="I65" s="1000">
        <v>0.61409999999999998</v>
      </c>
      <c r="J65" s="1000">
        <v>0.61409999999999998</v>
      </c>
      <c r="K65" s="1000">
        <v>0.61409999999999998</v>
      </c>
      <c r="L65" s="1000">
        <v>0.61409999999999998</v>
      </c>
      <c r="M65" s="1000">
        <v>0.61409999999999998</v>
      </c>
    </row>
    <row r="66" spans="1:13">
      <c r="A66" s="991">
        <v>6.4</v>
      </c>
      <c r="B66" s="1000">
        <v>0.88990000000000002</v>
      </c>
      <c r="C66" s="1000">
        <v>0.88990000000000002</v>
      </c>
      <c r="D66" s="1000">
        <v>0.78039999999999998</v>
      </c>
      <c r="E66" s="1000">
        <v>0.78039999999999998</v>
      </c>
      <c r="F66" s="1000">
        <v>0.78039999999999998</v>
      </c>
      <c r="G66" s="1000">
        <v>0.78039999999999998</v>
      </c>
      <c r="H66" s="1000">
        <v>0.78039999999999998</v>
      </c>
      <c r="I66" s="1000">
        <v>0.61099999999999999</v>
      </c>
      <c r="J66" s="1000">
        <v>0.61099999999999999</v>
      </c>
      <c r="K66" s="1000">
        <v>0.61099999999999999</v>
      </c>
      <c r="L66" s="1000">
        <v>0.61099999999999999</v>
      </c>
      <c r="M66" s="1000">
        <v>0.61099999999999999</v>
      </c>
    </row>
    <row r="67" spans="1:13">
      <c r="A67" s="991">
        <v>6.5</v>
      </c>
      <c r="B67" s="1000">
        <v>0.88780000000000003</v>
      </c>
      <c r="C67" s="1000">
        <v>0.88780000000000003</v>
      </c>
      <c r="D67" s="1000">
        <v>0.77810000000000001</v>
      </c>
      <c r="E67" s="1000">
        <v>0.77810000000000001</v>
      </c>
      <c r="F67" s="1000">
        <v>0.77810000000000001</v>
      </c>
      <c r="G67" s="1000">
        <v>0.77810000000000001</v>
      </c>
      <c r="H67" s="1000">
        <v>0.77810000000000001</v>
      </c>
      <c r="I67" s="1000">
        <v>0.60799999999999998</v>
      </c>
      <c r="J67" s="1000">
        <v>0.60799999999999998</v>
      </c>
      <c r="K67" s="1000">
        <v>0.60799999999999998</v>
      </c>
      <c r="L67" s="1000">
        <v>0.60799999999999998</v>
      </c>
      <c r="M67" s="1000">
        <v>0.60799999999999998</v>
      </c>
    </row>
    <row r="68" spans="1:13">
      <c r="A68" s="991">
        <v>6.6</v>
      </c>
      <c r="B68" s="1000">
        <v>0.88580000000000003</v>
      </c>
      <c r="C68" s="1000">
        <v>0.88580000000000003</v>
      </c>
      <c r="D68" s="1000">
        <v>0.77580000000000005</v>
      </c>
      <c r="E68" s="1000">
        <v>0.77580000000000005</v>
      </c>
      <c r="F68" s="1000">
        <v>0.77580000000000005</v>
      </c>
      <c r="G68" s="1000">
        <v>0.77580000000000005</v>
      </c>
      <c r="H68" s="1000">
        <v>0.77580000000000005</v>
      </c>
      <c r="I68" s="1000">
        <v>0.60499999999999998</v>
      </c>
      <c r="J68" s="1000">
        <v>0.60499999999999998</v>
      </c>
      <c r="K68" s="1000">
        <v>0.60499999999999998</v>
      </c>
      <c r="L68" s="1000">
        <v>0.60499999999999998</v>
      </c>
      <c r="M68" s="1000">
        <v>0.60499999999999998</v>
      </c>
    </row>
    <row r="69" spans="1:13">
      <c r="A69" s="991">
        <v>6.7</v>
      </c>
      <c r="B69" s="1000">
        <v>0.88380000000000003</v>
      </c>
      <c r="C69" s="1000">
        <v>0.88380000000000003</v>
      </c>
      <c r="D69" s="1000">
        <v>0.77359999999999995</v>
      </c>
      <c r="E69" s="1000">
        <v>0.77359999999999995</v>
      </c>
      <c r="F69" s="1000">
        <v>0.77359999999999995</v>
      </c>
      <c r="G69" s="1000">
        <v>0.77359999999999995</v>
      </c>
      <c r="H69" s="1000">
        <v>0.77359999999999995</v>
      </c>
      <c r="I69" s="1000">
        <v>0.60209999999999997</v>
      </c>
      <c r="J69" s="1000">
        <v>0.60209999999999997</v>
      </c>
      <c r="K69" s="1000">
        <v>0.60209999999999997</v>
      </c>
      <c r="L69" s="1000">
        <v>0.60209999999999997</v>
      </c>
      <c r="M69" s="1000">
        <v>0.60209999999999997</v>
      </c>
    </row>
    <row r="70" spans="1:13">
      <c r="A70" s="991">
        <v>6.8</v>
      </c>
      <c r="B70" s="1000">
        <v>0.88190000000000002</v>
      </c>
      <c r="C70" s="1000">
        <v>0.88190000000000002</v>
      </c>
      <c r="D70" s="1000">
        <v>0.77159999999999995</v>
      </c>
      <c r="E70" s="1000">
        <v>0.77159999999999995</v>
      </c>
      <c r="F70" s="1000">
        <v>0.77159999999999995</v>
      </c>
      <c r="G70" s="1000">
        <v>0.77159999999999995</v>
      </c>
      <c r="H70" s="1000">
        <v>0.77159999999999995</v>
      </c>
      <c r="I70" s="1000">
        <v>0.59930000000000005</v>
      </c>
      <c r="J70" s="1000">
        <v>0.59930000000000005</v>
      </c>
      <c r="K70" s="1000">
        <v>0.59930000000000005</v>
      </c>
      <c r="L70" s="1000">
        <v>0.59930000000000005</v>
      </c>
      <c r="M70" s="1000">
        <v>0.59930000000000005</v>
      </c>
    </row>
    <row r="71" spans="1:13">
      <c r="A71" s="991">
        <v>6.9</v>
      </c>
      <c r="B71" s="1000">
        <v>0.88</v>
      </c>
      <c r="C71" s="1000">
        <v>0.88</v>
      </c>
      <c r="D71" s="1000">
        <v>0.76949999999999996</v>
      </c>
      <c r="E71" s="1000">
        <v>0.76949999999999996</v>
      </c>
      <c r="F71" s="1000">
        <v>0.76949999999999996</v>
      </c>
      <c r="G71" s="1000">
        <v>0.76949999999999996</v>
      </c>
      <c r="H71" s="1000">
        <v>0.76949999999999996</v>
      </c>
      <c r="I71" s="1000">
        <v>0.59640000000000004</v>
      </c>
      <c r="J71" s="1000">
        <v>0.59640000000000004</v>
      </c>
      <c r="K71" s="1000">
        <v>0.59640000000000004</v>
      </c>
      <c r="L71" s="1000">
        <v>0.59640000000000004</v>
      </c>
      <c r="M71" s="1000">
        <v>0.59640000000000004</v>
      </c>
    </row>
    <row r="72" spans="1:13">
      <c r="A72" s="991">
        <v>7</v>
      </c>
      <c r="B72" s="1000">
        <v>0.87819999999999998</v>
      </c>
      <c r="C72" s="1000">
        <v>0.87819999999999998</v>
      </c>
      <c r="D72" s="1000">
        <v>0.76749999999999996</v>
      </c>
      <c r="E72" s="1000">
        <v>0.76749999999999996</v>
      </c>
      <c r="F72" s="1000">
        <v>0.76749999999999996</v>
      </c>
      <c r="G72" s="1000">
        <v>0.76749999999999996</v>
      </c>
      <c r="H72" s="1000">
        <v>0.76749999999999996</v>
      </c>
      <c r="I72" s="1000">
        <v>0.59360000000000002</v>
      </c>
      <c r="J72" s="1000">
        <v>0.59360000000000002</v>
      </c>
      <c r="K72" s="1000">
        <v>0.59360000000000002</v>
      </c>
      <c r="L72" s="1000">
        <v>0.59360000000000002</v>
      </c>
      <c r="M72" s="1000">
        <v>0.59360000000000002</v>
      </c>
    </row>
    <row r="73" spans="1:13">
      <c r="A73" s="991">
        <v>7.1</v>
      </c>
      <c r="B73" s="1000">
        <v>0.87660000000000005</v>
      </c>
      <c r="C73" s="1000">
        <v>0.87660000000000005</v>
      </c>
      <c r="D73" s="1000">
        <v>0.76570000000000005</v>
      </c>
      <c r="E73" s="1000">
        <v>0.76570000000000005</v>
      </c>
      <c r="F73" s="1000">
        <v>0.76570000000000005</v>
      </c>
      <c r="G73" s="1000">
        <v>0.76570000000000005</v>
      </c>
      <c r="H73" s="1000">
        <v>0.76570000000000005</v>
      </c>
      <c r="I73" s="1000">
        <v>0.59109999999999996</v>
      </c>
      <c r="J73" s="1000">
        <v>0.59109999999999996</v>
      </c>
      <c r="K73" s="1000">
        <v>0.59109999999999996</v>
      </c>
      <c r="L73" s="1000">
        <v>0.59109999999999996</v>
      </c>
      <c r="M73" s="1000">
        <v>0.59109999999999996</v>
      </c>
    </row>
    <row r="74" spans="1:13">
      <c r="A74" s="991">
        <v>7.2</v>
      </c>
      <c r="B74" s="1000">
        <v>0.87490000000000001</v>
      </c>
      <c r="C74" s="1000">
        <v>0.87490000000000001</v>
      </c>
      <c r="D74" s="1000">
        <v>0.76380000000000003</v>
      </c>
      <c r="E74" s="1000">
        <v>0.76380000000000003</v>
      </c>
      <c r="F74" s="1000">
        <v>0.76380000000000003</v>
      </c>
      <c r="G74" s="1000">
        <v>0.76380000000000003</v>
      </c>
      <c r="H74" s="1000">
        <v>0.76380000000000003</v>
      </c>
      <c r="I74" s="1000">
        <v>0.58860000000000001</v>
      </c>
      <c r="J74" s="1000">
        <v>0.58860000000000001</v>
      </c>
      <c r="K74" s="1000">
        <v>0.58860000000000001</v>
      </c>
      <c r="L74" s="1000">
        <v>0.58860000000000001</v>
      </c>
      <c r="M74" s="1000">
        <v>0.58860000000000001</v>
      </c>
    </row>
    <row r="75" spans="1:13">
      <c r="A75" s="991">
        <v>7.3</v>
      </c>
      <c r="B75" s="1000">
        <v>0.87329999999999997</v>
      </c>
      <c r="C75" s="1000">
        <v>0.87329999999999997</v>
      </c>
      <c r="D75" s="1000">
        <v>0.76200000000000001</v>
      </c>
      <c r="E75" s="1000">
        <v>0.76200000000000001</v>
      </c>
      <c r="F75" s="1000">
        <v>0.76200000000000001</v>
      </c>
      <c r="G75" s="1000">
        <v>0.76200000000000001</v>
      </c>
      <c r="H75" s="1000">
        <v>0.76200000000000001</v>
      </c>
      <c r="I75" s="1000">
        <v>0.58620000000000005</v>
      </c>
      <c r="J75" s="1000">
        <v>0.58620000000000005</v>
      </c>
      <c r="K75" s="1000">
        <v>0.58620000000000005</v>
      </c>
      <c r="L75" s="1000">
        <v>0.58620000000000005</v>
      </c>
      <c r="M75" s="1000">
        <v>0.58620000000000005</v>
      </c>
    </row>
    <row r="76" spans="1:13">
      <c r="A76" s="991">
        <v>7.4</v>
      </c>
      <c r="B76" s="1000">
        <v>0.87160000000000004</v>
      </c>
      <c r="C76" s="1000">
        <v>0.87160000000000004</v>
      </c>
      <c r="D76" s="1000">
        <v>0.76029999999999998</v>
      </c>
      <c r="E76" s="1000">
        <v>0.76029999999999998</v>
      </c>
      <c r="F76" s="1000">
        <v>0.76029999999999998</v>
      </c>
      <c r="G76" s="1000">
        <v>0.76029999999999998</v>
      </c>
      <c r="H76" s="1000">
        <v>0.76029999999999998</v>
      </c>
      <c r="I76" s="1000">
        <v>0.58379999999999999</v>
      </c>
      <c r="J76" s="1000">
        <v>0.58379999999999999</v>
      </c>
      <c r="K76" s="1000">
        <v>0.58379999999999999</v>
      </c>
      <c r="L76" s="1000">
        <v>0.58379999999999999</v>
      </c>
      <c r="M76" s="1000">
        <v>0.58379999999999999</v>
      </c>
    </row>
    <row r="77" spans="1:13">
      <c r="A77" s="991">
        <v>7.5</v>
      </c>
      <c r="B77" s="1000">
        <v>0.87</v>
      </c>
      <c r="C77" s="1000">
        <v>0.87</v>
      </c>
      <c r="D77" s="1000">
        <v>0.75849999999999995</v>
      </c>
      <c r="E77" s="1000">
        <v>0.75849999999999995</v>
      </c>
      <c r="F77" s="1000">
        <v>0.75849999999999995</v>
      </c>
      <c r="G77" s="1000">
        <v>0.75849999999999995</v>
      </c>
      <c r="H77" s="1000">
        <v>0.75849999999999995</v>
      </c>
      <c r="I77" s="1000">
        <v>0.58140000000000003</v>
      </c>
      <c r="J77" s="1000">
        <v>0.58140000000000003</v>
      </c>
      <c r="K77" s="1000">
        <v>0.58140000000000003</v>
      </c>
      <c r="L77" s="1000">
        <v>0.58140000000000003</v>
      </c>
      <c r="M77" s="1000">
        <v>0.58140000000000003</v>
      </c>
    </row>
    <row r="78" spans="1:13">
      <c r="A78" s="991">
        <v>7.6</v>
      </c>
      <c r="B78" s="1000">
        <v>0.86839999999999995</v>
      </c>
      <c r="C78" s="1000">
        <v>0.86839999999999995</v>
      </c>
      <c r="D78" s="1000">
        <v>0.75680000000000003</v>
      </c>
      <c r="E78" s="1000">
        <v>0.75680000000000003</v>
      </c>
      <c r="F78" s="1000">
        <v>0.75680000000000003</v>
      </c>
      <c r="G78" s="1000">
        <v>0.75680000000000003</v>
      </c>
      <c r="H78" s="1000">
        <v>0.75680000000000003</v>
      </c>
      <c r="I78" s="1000">
        <v>0.57899999999999996</v>
      </c>
      <c r="J78" s="1000">
        <v>0.57899999999999996</v>
      </c>
      <c r="K78" s="1000">
        <v>0.57899999999999996</v>
      </c>
      <c r="L78" s="1000">
        <v>0.57899999999999996</v>
      </c>
      <c r="M78" s="1000">
        <v>0.57899999999999996</v>
      </c>
    </row>
    <row r="79" spans="1:13">
      <c r="A79" s="991">
        <v>7.7</v>
      </c>
      <c r="B79" s="1000">
        <v>0.8669</v>
      </c>
      <c r="C79" s="1000">
        <v>0.8669</v>
      </c>
      <c r="D79" s="1000">
        <v>0.755</v>
      </c>
      <c r="E79" s="1000">
        <v>0.755</v>
      </c>
      <c r="F79" s="1000">
        <v>0.755</v>
      </c>
      <c r="G79" s="1000">
        <v>0.755</v>
      </c>
      <c r="H79" s="1000">
        <v>0.755</v>
      </c>
      <c r="I79" s="1000">
        <v>0.57669999999999999</v>
      </c>
      <c r="J79" s="1000">
        <v>0.57669999999999999</v>
      </c>
      <c r="K79" s="1000">
        <v>0.57669999999999999</v>
      </c>
      <c r="L79" s="1000">
        <v>0.57669999999999999</v>
      </c>
      <c r="M79" s="1000">
        <v>0.57669999999999999</v>
      </c>
    </row>
    <row r="80" spans="1:13">
      <c r="A80" s="991">
        <v>7.8</v>
      </c>
      <c r="B80" s="1000">
        <v>0.86539999999999995</v>
      </c>
      <c r="C80" s="1000">
        <v>0.86539999999999995</v>
      </c>
      <c r="D80" s="1000">
        <v>0.75329999999999997</v>
      </c>
      <c r="E80" s="1000">
        <v>0.75329999999999997</v>
      </c>
      <c r="F80" s="1000">
        <v>0.75329999999999997</v>
      </c>
      <c r="G80" s="1000">
        <v>0.75329999999999997</v>
      </c>
      <c r="H80" s="1000">
        <v>0.75329999999999997</v>
      </c>
      <c r="I80" s="1000">
        <v>0.57450000000000001</v>
      </c>
      <c r="J80" s="1000">
        <v>0.57450000000000001</v>
      </c>
      <c r="K80" s="1000">
        <v>0.57450000000000001</v>
      </c>
      <c r="L80" s="1000">
        <v>0.57450000000000001</v>
      </c>
      <c r="M80" s="1000">
        <v>0.57450000000000001</v>
      </c>
    </row>
    <row r="81" spans="1:13">
      <c r="A81" s="991">
        <v>7.9</v>
      </c>
      <c r="B81" s="1000">
        <v>0.86380000000000001</v>
      </c>
      <c r="C81" s="1000">
        <v>0.86380000000000001</v>
      </c>
      <c r="D81" s="1000">
        <v>0.75170000000000003</v>
      </c>
      <c r="E81" s="1000">
        <v>0.75170000000000003</v>
      </c>
      <c r="F81" s="1000">
        <v>0.75170000000000003</v>
      </c>
      <c r="G81" s="1000">
        <v>0.75170000000000003</v>
      </c>
      <c r="H81" s="1000">
        <v>0.75170000000000003</v>
      </c>
      <c r="I81" s="1000">
        <v>0.57220000000000004</v>
      </c>
      <c r="J81" s="1000">
        <v>0.57220000000000004</v>
      </c>
      <c r="K81" s="1000">
        <v>0.57220000000000004</v>
      </c>
      <c r="L81" s="1000">
        <v>0.57220000000000004</v>
      </c>
      <c r="M81" s="1000">
        <v>0.57220000000000004</v>
      </c>
    </row>
    <row r="82" spans="1:13">
      <c r="A82" s="991">
        <v>8</v>
      </c>
      <c r="B82" s="1000">
        <v>0.86240000000000006</v>
      </c>
      <c r="C82" s="1000">
        <v>0.86240000000000006</v>
      </c>
      <c r="D82" s="1000">
        <v>0.75</v>
      </c>
      <c r="E82" s="1000">
        <v>0.75</v>
      </c>
      <c r="F82" s="1000">
        <v>0.75</v>
      </c>
      <c r="G82" s="1000">
        <v>0.75</v>
      </c>
      <c r="H82" s="1000">
        <v>0.75</v>
      </c>
      <c r="I82" s="1000">
        <v>0.56989999999999996</v>
      </c>
      <c r="J82" s="1000">
        <v>0.56989999999999996</v>
      </c>
      <c r="K82" s="1000">
        <v>0.56989999999999996</v>
      </c>
      <c r="L82" s="1000">
        <v>0.56989999999999996</v>
      </c>
      <c r="M82" s="1000">
        <v>0.56989999999999996</v>
      </c>
    </row>
    <row r="83" spans="1:13">
      <c r="A83" s="991">
        <v>8.1</v>
      </c>
      <c r="B83" s="1000">
        <v>0.86099999999999999</v>
      </c>
      <c r="C83" s="1000">
        <v>0.86099999999999999</v>
      </c>
      <c r="D83" s="1000">
        <v>0.74850000000000005</v>
      </c>
      <c r="E83" s="1000">
        <v>0.74850000000000005</v>
      </c>
      <c r="F83" s="1000">
        <v>0.74850000000000005</v>
      </c>
      <c r="G83" s="1000">
        <v>0.74850000000000005</v>
      </c>
      <c r="H83" s="1000">
        <v>0.74850000000000005</v>
      </c>
      <c r="I83" s="1000">
        <v>0.56779999999999997</v>
      </c>
      <c r="J83" s="1000">
        <v>0.56779999999999997</v>
      </c>
      <c r="K83" s="1000">
        <v>0.56779999999999997</v>
      </c>
      <c r="L83" s="1000">
        <v>0.56779999999999997</v>
      </c>
      <c r="M83" s="1000">
        <v>0.56779999999999997</v>
      </c>
    </row>
    <row r="84" spans="1:13">
      <c r="A84" s="991">
        <v>8.1999999999999993</v>
      </c>
      <c r="B84" s="1000">
        <v>0.85970000000000002</v>
      </c>
      <c r="C84" s="1000">
        <v>0.85970000000000002</v>
      </c>
      <c r="D84" s="1000">
        <v>0.747</v>
      </c>
      <c r="E84" s="1000">
        <v>0.747</v>
      </c>
      <c r="F84" s="1000">
        <v>0.747</v>
      </c>
      <c r="G84" s="1000">
        <v>0.747</v>
      </c>
      <c r="H84" s="1000">
        <v>0.747</v>
      </c>
      <c r="I84" s="1000">
        <v>0.56589999999999996</v>
      </c>
      <c r="J84" s="1000">
        <v>0.56589999999999996</v>
      </c>
      <c r="K84" s="1000">
        <v>0.56589999999999996</v>
      </c>
      <c r="L84" s="1000">
        <v>0.56589999999999996</v>
      </c>
      <c r="M84" s="1000">
        <v>0.56589999999999996</v>
      </c>
    </row>
    <row r="85" spans="1:13">
      <c r="A85" s="991">
        <v>8.3000000000000007</v>
      </c>
      <c r="B85" s="1000">
        <v>0.85840000000000005</v>
      </c>
      <c r="C85" s="1000">
        <v>0.85840000000000005</v>
      </c>
      <c r="D85" s="1000">
        <v>0.74560000000000004</v>
      </c>
      <c r="E85" s="1000">
        <v>0.74560000000000004</v>
      </c>
      <c r="F85" s="1000">
        <v>0.74560000000000004</v>
      </c>
      <c r="G85" s="1000">
        <v>0.74560000000000004</v>
      </c>
      <c r="H85" s="1000">
        <v>0.74560000000000004</v>
      </c>
      <c r="I85" s="1000">
        <v>0.56389999999999996</v>
      </c>
      <c r="J85" s="1000">
        <v>0.56389999999999996</v>
      </c>
      <c r="K85" s="1000">
        <v>0.56389999999999996</v>
      </c>
      <c r="L85" s="1000">
        <v>0.56389999999999996</v>
      </c>
      <c r="M85" s="1000">
        <v>0.56389999999999996</v>
      </c>
    </row>
    <row r="86" spans="1:13">
      <c r="A86" s="991">
        <v>8.4</v>
      </c>
      <c r="B86" s="1000">
        <v>0.85709999999999997</v>
      </c>
      <c r="C86" s="1000">
        <v>0.85709999999999997</v>
      </c>
      <c r="D86" s="1000">
        <v>0.74419999999999997</v>
      </c>
      <c r="E86" s="1000">
        <v>0.74419999999999997</v>
      </c>
      <c r="F86" s="1000">
        <v>0.74419999999999997</v>
      </c>
      <c r="G86" s="1000">
        <v>0.74419999999999997</v>
      </c>
      <c r="H86" s="1000">
        <v>0.74419999999999997</v>
      </c>
      <c r="I86" s="1000">
        <v>0.56189999999999996</v>
      </c>
      <c r="J86" s="1000">
        <v>0.56189999999999996</v>
      </c>
      <c r="K86" s="1000">
        <v>0.56189999999999996</v>
      </c>
      <c r="L86" s="1000">
        <v>0.56189999999999996</v>
      </c>
      <c r="M86" s="1000">
        <v>0.56189999999999996</v>
      </c>
    </row>
    <row r="87" spans="1:13">
      <c r="A87" s="991">
        <v>8.5</v>
      </c>
      <c r="B87" s="1000">
        <v>0.85580000000000001</v>
      </c>
      <c r="C87" s="1000">
        <v>0.85580000000000001</v>
      </c>
      <c r="D87" s="1000">
        <v>0.74270000000000003</v>
      </c>
      <c r="E87" s="1000">
        <v>0.74270000000000003</v>
      </c>
      <c r="F87" s="1000">
        <v>0.74270000000000003</v>
      </c>
      <c r="G87" s="1000">
        <v>0.74270000000000003</v>
      </c>
      <c r="H87" s="1000">
        <v>0.74270000000000003</v>
      </c>
      <c r="I87" s="1000">
        <v>0.55989999999999995</v>
      </c>
      <c r="J87" s="1000">
        <v>0.55989999999999995</v>
      </c>
      <c r="K87" s="1000">
        <v>0.55989999999999995</v>
      </c>
      <c r="L87" s="1000">
        <v>0.55989999999999995</v>
      </c>
      <c r="M87" s="1000">
        <v>0.55989999999999995</v>
      </c>
    </row>
    <row r="88" spans="1:13">
      <c r="A88" s="991">
        <v>8.6</v>
      </c>
      <c r="B88" s="1000">
        <v>0.85450000000000004</v>
      </c>
      <c r="C88" s="1000">
        <v>0.85450000000000004</v>
      </c>
      <c r="D88" s="1000">
        <v>0.74129999999999996</v>
      </c>
      <c r="E88" s="1000">
        <v>0.74129999999999996</v>
      </c>
      <c r="F88" s="1000">
        <v>0.74129999999999996</v>
      </c>
      <c r="G88" s="1000">
        <v>0.74129999999999996</v>
      </c>
      <c r="H88" s="1000">
        <v>0.74129999999999996</v>
      </c>
      <c r="I88" s="1000">
        <v>0.55800000000000005</v>
      </c>
      <c r="J88" s="1000">
        <v>0.55800000000000005</v>
      </c>
      <c r="K88" s="1000">
        <v>0.55800000000000005</v>
      </c>
      <c r="L88" s="1000">
        <v>0.55800000000000005</v>
      </c>
      <c r="M88" s="1000">
        <v>0.55800000000000005</v>
      </c>
    </row>
    <row r="89" spans="1:13">
      <c r="A89" s="991">
        <v>8.6999999999999993</v>
      </c>
      <c r="B89" s="1000">
        <v>0.85329999999999995</v>
      </c>
      <c r="C89" s="1000">
        <v>0.85329999999999995</v>
      </c>
      <c r="D89" s="1000">
        <v>0.7399</v>
      </c>
      <c r="E89" s="1000">
        <v>0.7399</v>
      </c>
      <c r="F89" s="1000">
        <v>0.7399</v>
      </c>
      <c r="G89" s="1000">
        <v>0.7399</v>
      </c>
      <c r="H89" s="1000">
        <v>0.7399</v>
      </c>
      <c r="I89" s="1000">
        <v>0.55600000000000005</v>
      </c>
      <c r="J89" s="1000">
        <v>0.55600000000000005</v>
      </c>
      <c r="K89" s="1000">
        <v>0.55600000000000005</v>
      </c>
      <c r="L89" s="1000">
        <v>0.55600000000000005</v>
      </c>
      <c r="M89" s="1000">
        <v>0.55600000000000005</v>
      </c>
    </row>
    <row r="90" spans="1:13">
      <c r="A90" s="991">
        <v>8.8000000000000007</v>
      </c>
      <c r="B90" s="1000">
        <v>0.85209999999999997</v>
      </c>
      <c r="C90" s="1000">
        <v>0.85209999999999997</v>
      </c>
      <c r="D90" s="1000">
        <v>0.73850000000000005</v>
      </c>
      <c r="E90" s="1000">
        <v>0.73850000000000005</v>
      </c>
      <c r="F90" s="1000">
        <v>0.73850000000000005</v>
      </c>
      <c r="G90" s="1000">
        <v>0.73850000000000005</v>
      </c>
      <c r="H90" s="1000">
        <v>0.73850000000000005</v>
      </c>
      <c r="I90" s="1000">
        <v>0.55420000000000003</v>
      </c>
      <c r="J90" s="1000">
        <v>0.55420000000000003</v>
      </c>
      <c r="K90" s="1000">
        <v>0.55420000000000003</v>
      </c>
      <c r="L90" s="1000">
        <v>0.55420000000000003</v>
      </c>
      <c r="M90" s="1000">
        <v>0.55420000000000003</v>
      </c>
    </row>
    <row r="91" spans="1:13">
      <c r="A91" s="991">
        <v>8.9</v>
      </c>
      <c r="B91" s="1000">
        <v>0.85099999999999998</v>
      </c>
      <c r="C91" s="1000">
        <v>0.85099999999999998</v>
      </c>
      <c r="D91" s="1000">
        <v>0.73719999999999997</v>
      </c>
      <c r="E91" s="1000">
        <v>0.73719999999999997</v>
      </c>
      <c r="F91" s="1000">
        <v>0.73719999999999997</v>
      </c>
      <c r="G91" s="1000">
        <v>0.73719999999999997</v>
      </c>
      <c r="H91" s="1000">
        <v>0.73719999999999997</v>
      </c>
      <c r="I91" s="1000">
        <v>0.55230000000000001</v>
      </c>
      <c r="J91" s="1000">
        <v>0.55230000000000001</v>
      </c>
      <c r="K91" s="1000">
        <v>0.55230000000000001</v>
      </c>
      <c r="L91" s="1000">
        <v>0.55230000000000001</v>
      </c>
      <c r="M91" s="1000">
        <v>0.55230000000000001</v>
      </c>
    </row>
    <row r="92" spans="1:13">
      <c r="A92" s="1015">
        <v>9</v>
      </c>
      <c r="B92" s="1000">
        <v>0.8498</v>
      </c>
      <c r="C92" s="1000">
        <v>0.8498</v>
      </c>
      <c r="D92" s="1000">
        <v>0.7359</v>
      </c>
      <c r="E92" s="1000">
        <v>0.7359</v>
      </c>
      <c r="F92" s="1000">
        <v>0.7359</v>
      </c>
      <c r="G92" s="1000">
        <v>0.7359</v>
      </c>
      <c r="H92" s="1000">
        <v>0.7359</v>
      </c>
      <c r="I92" s="1000">
        <v>0.55049999999999999</v>
      </c>
      <c r="J92" s="1000">
        <v>0.55049999999999999</v>
      </c>
      <c r="K92" s="1000">
        <v>0.55049999999999999</v>
      </c>
      <c r="L92" s="1000">
        <v>0.55049999999999999</v>
      </c>
      <c r="M92" s="1000">
        <v>0.55049999999999999</v>
      </c>
    </row>
    <row r="93" spans="1:13">
      <c r="A93" s="1015">
        <v>9.1</v>
      </c>
      <c r="B93" s="1000">
        <v>0.84870000000000001</v>
      </c>
      <c r="C93" s="1000">
        <v>0.84870000000000001</v>
      </c>
      <c r="D93" s="1000">
        <v>0.73470000000000002</v>
      </c>
      <c r="E93" s="1000">
        <v>0.73470000000000002</v>
      </c>
      <c r="F93" s="1000">
        <v>0.73470000000000002</v>
      </c>
      <c r="G93" s="1000">
        <v>0.73470000000000002</v>
      </c>
      <c r="H93" s="1000">
        <v>0.73470000000000002</v>
      </c>
      <c r="I93" s="1000">
        <v>0.54879999999999995</v>
      </c>
      <c r="J93" s="1000">
        <v>0.54879999999999995</v>
      </c>
      <c r="K93" s="1000">
        <v>0.54879999999999995</v>
      </c>
      <c r="L93" s="1000">
        <v>0.54879999999999995</v>
      </c>
      <c r="M93" s="1000">
        <v>0.54879999999999995</v>
      </c>
    </row>
    <row r="94" spans="1:13">
      <c r="A94" s="1015">
        <v>9.1999999999999993</v>
      </c>
      <c r="B94" s="1000">
        <v>0.84770000000000001</v>
      </c>
      <c r="C94" s="1000">
        <v>0.84770000000000001</v>
      </c>
      <c r="D94" s="1000">
        <v>0.73350000000000004</v>
      </c>
      <c r="E94" s="1000">
        <v>0.73350000000000004</v>
      </c>
      <c r="F94" s="1000">
        <v>0.73350000000000004</v>
      </c>
      <c r="G94" s="1000">
        <v>0.73350000000000004</v>
      </c>
      <c r="H94" s="1000">
        <v>0.73350000000000004</v>
      </c>
      <c r="I94" s="1000">
        <v>0.54710000000000003</v>
      </c>
      <c r="J94" s="1000">
        <v>0.54710000000000003</v>
      </c>
      <c r="K94" s="1000">
        <v>0.54710000000000003</v>
      </c>
      <c r="L94" s="1000">
        <v>0.54710000000000003</v>
      </c>
      <c r="M94" s="1000">
        <v>0.54710000000000003</v>
      </c>
    </row>
    <row r="95" spans="1:13">
      <c r="A95" s="1015">
        <v>9.3000000000000007</v>
      </c>
      <c r="B95" s="1000">
        <v>0.84660000000000002</v>
      </c>
      <c r="C95" s="1000">
        <v>0.84660000000000002</v>
      </c>
      <c r="D95" s="1000">
        <v>0.73229999999999995</v>
      </c>
      <c r="E95" s="1000">
        <v>0.73229999999999995</v>
      </c>
      <c r="F95" s="1000">
        <v>0.73229999999999995</v>
      </c>
      <c r="G95" s="1000">
        <v>0.73229999999999995</v>
      </c>
      <c r="H95" s="1000">
        <v>0.73229999999999995</v>
      </c>
      <c r="I95" s="1000">
        <v>0.5454</v>
      </c>
      <c r="J95" s="1000">
        <v>0.5454</v>
      </c>
      <c r="K95" s="1000">
        <v>0.5454</v>
      </c>
      <c r="L95" s="1000">
        <v>0.5454</v>
      </c>
      <c r="M95" s="1000">
        <v>0.5454</v>
      </c>
    </row>
    <row r="96" spans="1:13">
      <c r="A96" s="1015">
        <v>9.4</v>
      </c>
      <c r="B96" s="1000">
        <v>0.84550000000000003</v>
      </c>
      <c r="C96" s="1000">
        <v>0.84550000000000003</v>
      </c>
      <c r="D96" s="1000">
        <v>0.73109999999999997</v>
      </c>
      <c r="E96" s="1000">
        <v>0.73109999999999997</v>
      </c>
      <c r="F96" s="1000">
        <v>0.73109999999999997</v>
      </c>
      <c r="G96" s="1000">
        <v>0.73109999999999997</v>
      </c>
      <c r="H96" s="1000">
        <v>0.73109999999999997</v>
      </c>
      <c r="I96" s="1000">
        <v>0.54369999999999996</v>
      </c>
      <c r="J96" s="1000">
        <v>0.54369999999999996</v>
      </c>
      <c r="K96" s="1000">
        <v>0.54369999999999996</v>
      </c>
      <c r="L96" s="1000">
        <v>0.54369999999999996</v>
      </c>
      <c r="M96" s="1000">
        <v>0.54369999999999996</v>
      </c>
    </row>
    <row r="97" spans="1:14">
      <c r="A97" s="1015">
        <v>9.5</v>
      </c>
      <c r="B97" s="1000">
        <v>0.84450000000000003</v>
      </c>
      <c r="C97" s="1000">
        <v>0.84450000000000003</v>
      </c>
      <c r="D97" s="1000">
        <v>0.72989999999999999</v>
      </c>
      <c r="E97" s="1000">
        <v>0.72989999999999999</v>
      </c>
      <c r="F97" s="1000">
        <v>0.72989999999999999</v>
      </c>
      <c r="G97" s="1000">
        <v>0.72989999999999999</v>
      </c>
      <c r="H97" s="1000">
        <v>0.72989999999999999</v>
      </c>
      <c r="I97" s="1000">
        <v>0.54200000000000004</v>
      </c>
      <c r="J97" s="1000">
        <v>0.54200000000000004</v>
      </c>
      <c r="K97" s="1000">
        <v>0.54200000000000004</v>
      </c>
      <c r="L97" s="1000">
        <v>0.54200000000000004</v>
      </c>
      <c r="M97" s="1000">
        <v>0.54200000000000004</v>
      </c>
    </row>
    <row r="98" spans="1:14">
      <c r="A98" s="1015">
        <v>9.6</v>
      </c>
      <c r="B98" s="1000">
        <v>0.84340000000000004</v>
      </c>
      <c r="C98" s="1000">
        <v>0.84340000000000004</v>
      </c>
      <c r="D98" s="1000">
        <v>0.72870000000000001</v>
      </c>
      <c r="E98" s="1000">
        <v>0.72870000000000001</v>
      </c>
      <c r="F98" s="1000">
        <v>0.72870000000000001</v>
      </c>
      <c r="G98" s="1000">
        <v>0.72870000000000001</v>
      </c>
      <c r="H98" s="1000">
        <v>0.72870000000000001</v>
      </c>
      <c r="I98" s="1000">
        <v>0.5403</v>
      </c>
      <c r="J98" s="1000">
        <v>0.5403</v>
      </c>
      <c r="K98" s="1000">
        <v>0.5403</v>
      </c>
      <c r="L98" s="1000">
        <v>0.5403</v>
      </c>
      <c r="M98" s="1000">
        <v>0.5403</v>
      </c>
    </row>
    <row r="99" spans="1:14">
      <c r="A99" s="1015">
        <v>9.6999999999999993</v>
      </c>
      <c r="B99" s="1000">
        <v>0.84230000000000005</v>
      </c>
      <c r="C99" s="1000">
        <v>0.84230000000000005</v>
      </c>
      <c r="D99" s="1000">
        <v>0.72750000000000004</v>
      </c>
      <c r="E99" s="1000">
        <v>0.72750000000000004</v>
      </c>
      <c r="F99" s="1000">
        <v>0.72750000000000004</v>
      </c>
      <c r="G99" s="1000">
        <v>0.72750000000000004</v>
      </c>
      <c r="H99" s="1000">
        <v>0.72750000000000004</v>
      </c>
      <c r="I99" s="1000">
        <v>0.53859999999999997</v>
      </c>
      <c r="J99" s="1000">
        <v>0.53859999999999997</v>
      </c>
      <c r="K99" s="1000">
        <v>0.53859999999999997</v>
      </c>
      <c r="L99" s="1000">
        <v>0.53859999999999997</v>
      </c>
      <c r="M99" s="1000">
        <v>0.53859999999999997</v>
      </c>
    </row>
    <row r="100" spans="1:14">
      <c r="A100" s="1015">
        <v>9.8000000000000007</v>
      </c>
      <c r="B100" s="1000">
        <v>0.84140000000000004</v>
      </c>
      <c r="C100" s="1000">
        <v>0.84140000000000004</v>
      </c>
      <c r="D100" s="1000">
        <v>0.72629999999999995</v>
      </c>
      <c r="E100" s="1000">
        <v>0.72629999999999995</v>
      </c>
      <c r="F100" s="1000">
        <v>0.72629999999999995</v>
      </c>
      <c r="G100" s="1000">
        <v>0.72629999999999995</v>
      </c>
      <c r="H100" s="1000">
        <v>0.72629999999999995</v>
      </c>
      <c r="I100" s="1000">
        <v>0.53710000000000002</v>
      </c>
      <c r="J100" s="1000">
        <v>0.53710000000000002</v>
      </c>
      <c r="K100" s="1000">
        <v>0.53710000000000002</v>
      </c>
      <c r="L100" s="1000">
        <v>0.53710000000000002</v>
      </c>
      <c r="M100" s="1000">
        <v>0.53710000000000002</v>
      </c>
    </row>
    <row r="101" spans="1:14">
      <c r="A101" s="1015">
        <v>9.9</v>
      </c>
      <c r="B101" s="1000">
        <v>0.84050000000000002</v>
      </c>
      <c r="C101" s="1000">
        <v>0.84050000000000002</v>
      </c>
      <c r="D101" s="1000">
        <v>0.72519999999999996</v>
      </c>
      <c r="E101" s="1000">
        <v>0.72519999999999996</v>
      </c>
      <c r="F101" s="1000">
        <v>0.72519999999999996</v>
      </c>
      <c r="G101" s="1000">
        <v>0.72519999999999996</v>
      </c>
      <c r="H101" s="1000">
        <v>0.72519999999999996</v>
      </c>
      <c r="I101" s="1000">
        <v>0.53549999999999998</v>
      </c>
      <c r="J101" s="1000">
        <v>0.53549999999999998</v>
      </c>
      <c r="K101" s="1000">
        <v>0.53549999999999998</v>
      </c>
      <c r="L101" s="1000">
        <v>0.53549999999999998</v>
      </c>
      <c r="M101" s="1000">
        <v>0.53549999999999998</v>
      </c>
    </row>
    <row r="102" spans="1:14">
      <c r="A102" s="1015">
        <v>10</v>
      </c>
      <c r="B102" s="1000">
        <v>0.83950000000000002</v>
      </c>
      <c r="C102" s="1000">
        <v>0.83950000000000002</v>
      </c>
      <c r="D102" s="1000">
        <v>0.72409999999999997</v>
      </c>
      <c r="E102" s="1000">
        <v>0.72409999999999997</v>
      </c>
      <c r="F102" s="1000">
        <v>0.72409999999999997</v>
      </c>
      <c r="G102" s="1000">
        <v>0.72409999999999997</v>
      </c>
      <c r="H102" s="1000">
        <v>0.72409999999999997</v>
      </c>
      <c r="I102" s="1000">
        <v>0.53400000000000003</v>
      </c>
      <c r="J102" s="1000">
        <v>0.53400000000000003</v>
      </c>
      <c r="K102" s="1000">
        <v>0.53400000000000003</v>
      </c>
      <c r="L102" s="1000">
        <v>0.53400000000000003</v>
      </c>
      <c r="M102" s="1000">
        <v>0.53400000000000003</v>
      </c>
    </row>
    <row r="103" spans="1:14" ht="14.25">
      <c r="A103" s="988" t="s">
        <v>1098</v>
      </c>
      <c r="B103" s="989"/>
      <c r="C103" s="989"/>
      <c r="D103" s="989"/>
      <c r="E103" s="989"/>
      <c r="F103" s="989"/>
      <c r="G103" s="989"/>
      <c r="H103" s="989"/>
      <c r="I103" s="989"/>
      <c r="J103" s="989"/>
      <c r="K103" s="989"/>
      <c r="L103" s="989"/>
      <c r="M103" s="989"/>
      <c r="N103" s="989"/>
    </row>
    <row r="104" spans="1:14" ht="14.25">
      <c r="A104" s="991" t="s">
        <v>1077</v>
      </c>
      <c r="B104" s="992" t="s">
        <v>1078</v>
      </c>
      <c r="C104" s="992" t="s">
        <v>1079</v>
      </c>
      <c r="D104" s="992" t="s">
        <v>1080</v>
      </c>
      <c r="E104" s="992" t="s">
        <v>1081</v>
      </c>
      <c r="F104" s="992" t="s">
        <v>1082</v>
      </c>
      <c r="G104" s="992" t="s">
        <v>1083</v>
      </c>
      <c r="H104" s="993" t="s">
        <v>1084</v>
      </c>
      <c r="I104" s="993" t="s">
        <v>1085</v>
      </c>
      <c r="J104" s="994" t="s">
        <v>1086</v>
      </c>
      <c r="K104" s="994" t="s">
        <v>1087</v>
      </c>
      <c r="L104" s="994" t="s">
        <v>1088</v>
      </c>
      <c r="M104" s="994" t="s">
        <v>1089</v>
      </c>
      <c r="N104" s="989">
        <f>SUMPRODUCT((A105:A204=ROUNDDOWN(基准地价!G3,1))*(B104:M104=基准地价!G2)*(B105:M204))</f>
        <v>0.76490000000000002</v>
      </c>
    </row>
    <row r="105" spans="1:14">
      <c r="A105" s="991">
        <v>0.1</v>
      </c>
      <c r="B105" s="1000">
        <v>13.733000000000001</v>
      </c>
      <c r="C105" s="1000">
        <v>13.733000000000001</v>
      </c>
      <c r="D105" s="1000">
        <v>12.787000000000001</v>
      </c>
      <c r="E105" s="1000">
        <v>12.787000000000001</v>
      </c>
      <c r="F105" s="1000">
        <v>12.787000000000001</v>
      </c>
      <c r="G105" s="1000">
        <v>12.787000000000001</v>
      </c>
      <c r="H105" s="1000">
        <v>12.787000000000001</v>
      </c>
      <c r="I105" s="1000">
        <v>12.384</v>
      </c>
      <c r="J105" s="1000">
        <v>12.384</v>
      </c>
      <c r="K105" s="1000">
        <v>12.384</v>
      </c>
      <c r="L105" s="1000">
        <v>12.384</v>
      </c>
      <c r="M105" s="1000">
        <v>12.384</v>
      </c>
    </row>
    <row r="106" spans="1:14">
      <c r="A106" s="991">
        <v>0.2</v>
      </c>
      <c r="B106" s="1000">
        <v>6.8665000000000003</v>
      </c>
      <c r="C106" s="1000">
        <v>6.8665000000000003</v>
      </c>
      <c r="D106" s="1000">
        <v>6.3935000000000004</v>
      </c>
      <c r="E106" s="1000">
        <v>6.3935000000000004</v>
      </c>
      <c r="F106" s="1000">
        <v>6.3935000000000004</v>
      </c>
      <c r="G106" s="1000">
        <v>6.3935000000000004</v>
      </c>
      <c r="H106" s="1000">
        <v>6.3935000000000004</v>
      </c>
      <c r="I106" s="1000">
        <v>6.1920000000000002</v>
      </c>
      <c r="J106" s="1000">
        <v>6.1920000000000002</v>
      </c>
      <c r="K106" s="1000">
        <v>6.1920000000000002</v>
      </c>
      <c r="L106" s="1000">
        <v>6.1920000000000002</v>
      </c>
      <c r="M106" s="1000">
        <v>6.1920000000000002</v>
      </c>
    </row>
    <row r="107" spans="1:14">
      <c r="A107" s="991">
        <v>0.3</v>
      </c>
      <c r="B107" s="1000">
        <v>4.5777000000000001</v>
      </c>
      <c r="C107" s="1000">
        <v>4.5777000000000001</v>
      </c>
      <c r="D107" s="1000">
        <v>4.2622999999999998</v>
      </c>
      <c r="E107" s="1000">
        <v>4.2622999999999998</v>
      </c>
      <c r="F107" s="1000">
        <v>4.2622999999999998</v>
      </c>
      <c r="G107" s="1000">
        <v>4.2622999999999998</v>
      </c>
      <c r="H107" s="1000">
        <v>4.2622999999999998</v>
      </c>
      <c r="I107" s="1000">
        <v>4.1280000000000001</v>
      </c>
      <c r="J107" s="1000">
        <v>4.1280000000000001</v>
      </c>
      <c r="K107" s="1000">
        <v>4.1280000000000001</v>
      </c>
      <c r="L107" s="1000">
        <v>4.1280000000000001</v>
      </c>
      <c r="M107" s="1000">
        <v>4.1280000000000001</v>
      </c>
    </row>
    <row r="108" spans="1:14">
      <c r="A108" s="991">
        <v>0.4</v>
      </c>
      <c r="B108" s="1000">
        <v>3.4333</v>
      </c>
      <c r="C108" s="1000">
        <v>3.4333</v>
      </c>
      <c r="D108" s="1000">
        <v>3.1968000000000001</v>
      </c>
      <c r="E108" s="1000">
        <v>3.1968000000000001</v>
      </c>
      <c r="F108" s="1000">
        <v>3.1968000000000001</v>
      </c>
      <c r="G108" s="1000">
        <v>3.1968000000000001</v>
      </c>
      <c r="H108" s="1000">
        <v>3.1968000000000001</v>
      </c>
      <c r="I108" s="1000">
        <v>3.0960000000000001</v>
      </c>
      <c r="J108" s="1000">
        <v>3.0960000000000001</v>
      </c>
      <c r="K108" s="1000">
        <v>3.0960000000000001</v>
      </c>
      <c r="L108" s="1000">
        <v>3.0960000000000001</v>
      </c>
      <c r="M108" s="1000">
        <v>3.0960000000000001</v>
      </c>
    </row>
    <row r="109" spans="1:14">
      <c r="A109" s="991">
        <v>0.5</v>
      </c>
      <c r="B109" s="1000">
        <v>2.7465999999999999</v>
      </c>
      <c r="C109" s="1000">
        <v>2.7465999999999999</v>
      </c>
      <c r="D109" s="1000">
        <v>2.5573999999999999</v>
      </c>
      <c r="E109" s="1000">
        <v>2.5573999999999999</v>
      </c>
      <c r="F109" s="1000">
        <v>2.5573999999999999</v>
      </c>
      <c r="G109" s="1000">
        <v>2.5573999999999999</v>
      </c>
      <c r="H109" s="1000">
        <v>2.5573999999999999</v>
      </c>
      <c r="I109" s="1000">
        <v>2.4767999999999999</v>
      </c>
      <c r="J109" s="1000">
        <v>2.4767999999999999</v>
      </c>
      <c r="K109" s="1000">
        <v>2.4767999999999999</v>
      </c>
      <c r="L109" s="1000">
        <v>2.4767999999999999</v>
      </c>
      <c r="M109" s="1000">
        <v>2.4767999999999999</v>
      </c>
    </row>
    <row r="110" spans="1:14">
      <c r="A110" s="991">
        <v>0.6</v>
      </c>
      <c r="B110" s="1000">
        <v>2.2888000000000002</v>
      </c>
      <c r="C110" s="1000">
        <v>2.2888000000000002</v>
      </c>
      <c r="D110" s="1000">
        <v>2.1312000000000002</v>
      </c>
      <c r="E110" s="1000">
        <v>2.1312000000000002</v>
      </c>
      <c r="F110" s="1000">
        <v>2.1312000000000002</v>
      </c>
      <c r="G110" s="1000">
        <v>2.1312000000000002</v>
      </c>
      <c r="H110" s="1000">
        <v>2.1312000000000002</v>
      </c>
      <c r="I110" s="1000">
        <v>2.0640000000000001</v>
      </c>
      <c r="J110" s="1000">
        <v>2.0640000000000001</v>
      </c>
      <c r="K110" s="1000">
        <v>2.0640000000000001</v>
      </c>
      <c r="L110" s="1000">
        <v>2.0640000000000001</v>
      </c>
      <c r="M110" s="1000">
        <v>2.0640000000000001</v>
      </c>
    </row>
    <row r="111" spans="1:14">
      <c r="A111" s="991">
        <v>0.7</v>
      </c>
      <c r="B111" s="1000">
        <v>1.9619</v>
      </c>
      <c r="C111" s="1000">
        <v>1.9619</v>
      </c>
      <c r="D111" s="1000">
        <v>1.8267</v>
      </c>
      <c r="E111" s="1000">
        <v>1.8267</v>
      </c>
      <c r="F111" s="1000">
        <v>1.8267</v>
      </c>
      <c r="G111" s="1000">
        <v>1.8267</v>
      </c>
      <c r="H111" s="1000">
        <v>1.8267</v>
      </c>
      <c r="I111" s="1000">
        <v>1.7690999999999999</v>
      </c>
      <c r="J111" s="1000">
        <v>1.7690999999999999</v>
      </c>
      <c r="K111" s="1000">
        <v>1.7690999999999999</v>
      </c>
      <c r="L111" s="1000">
        <v>1.7690999999999999</v>
      </c>
      <c r="M111" s="1000">
        <v>1.7690999999999999</v>
      </c>
    </row>
    <row r="112" spans="1:14">
      <c r="A112" s="991">
        <v>0.8</v>
      </c>
      <c r="B112" s="1000">
        <v>1.7165999999999999</v>
      </c>
      <c r="C112" s="1000">
        <v>1.7165999999999999</v>
      </c>
      <c r="D112" s="1000">
        <v>1.5984</v>
      </c>
      <c r="E112" s="1000">
        <v>1.5984</v>
      </c>
      <c r="F112" s="1000">
        <v>1.5984</v>
      </c>
      <c r="G112" s="1000">
        <v>1.5984</v>
      </c>
      <c r="H112" s="1000">
        <v>1.5984</v>
      </c>
      <c r="I112" s="1000">
        <v>1.548</v>
      </c>
      <c r="J112" s="1000">
        <v>1.548</v>
      </c>
      <c r="K112" s="1000">
        <v>1.548</v>
      </c>
      <c r="L112" s="1000">
        <v>1.548</v>
      </c>
      <c r="M112" s="1000">
        <v>1.548</v>
      </c>
    </row>
    <row r="113" spans="1:13">
      <c r="A113" s="991">
        <v>0.9</v>
      </c>
      <c r="B113" s="1000">
        <v>1.5259</v>
      </c>
      <c r="C113" s="1000">
        <v>1.5259</v>
      </c>
      <c r="D113" s="1000">
        <v>1.4208000000000001</v>
      </c>
      <c r="E113" s="1000">
        <v>1.4208000000000001</v>
      </c>
      <c r="F113" s="1000">
        <v>1.4208000000000001</v>
      </c>
      <c r="G113" s="1000">
        <v>1.4208000000000001</v>
      </c>
      <c r="H113" s="1000">
        <v>1.4208000000000001</v>
      </c>
      <c r="I113" s="1000">
        <v>1.3759999999999999</v>
      </c>
      <c r="J113" s="1000">
        <v>1.3759999999999999</v>
      </c>
      <c r="K113" s="1000">
        <v>1.3759999999999999</v>
      </c>
      <c r="L113" s="1000">
        <v>1.3759999999999999</v>
      </c>
      <c r="M113" s="1000">
        <v>1.3759999999999999</v>
      </c>
    </row>
    <row r="114" spans="1:13">
      <c r="A114" s="991">
        <v>1</v>
      </c>
      <c r="B114" s="1000">
        <v>1.3733</v>
      </c>
      <c r="C114" s="1000">
        <v>1.3733</v>
      </c>
      <c r="D114" s="1000">
        <v>1.2786999999999999</v>
      </c>
      <c r="E114" s="1000">
        <v>1.2786999999999999</v>
      </c>
      <c r="F114" s="1000">
        <v>1.2786999999999999</v>
      </c>
      <c r="G114" s="1000">
        <v>1.2786999999999999</v>
      </c>
      <c r="H114" s="1000">
        <v>1.2786999999999999</v>
      </c>
      <c r="I114" s="1000">
        <v>1.2383999999999999</v>
      </c>
      <c r="J114" s="1000">
        <v>1.2383999999999999</v>
      </c>
      <c r="K114" s="1000">
        <v>1.2383999999999999</v>
      </c>
      <c r="L114" s="1000">
        <v>1.2383999999999999</v>
      </c>
      <c r="M114" s="1000">
        <v>1.2383999999999999</v>
      </c>
    </row>
    <row r="115" spans="1:13">
      <c r="A115" s="991">
        <v>1.1000000000000001</v>
      </c>
      <c r="B115" s="1000">
        <v>1.3489</v>
      </c>
      <c r="C115" s="1000">
        <v>1.3489</v>
      </c>
      <c r="D115" s="1000">
        <v>1.2542</v>
      </c>
      <c r="E115" s="1000">
        <v>1.2542</v>
      </c>
      <c r="F115" s="1000">
        <v>1.2542</v>
      </c>
      <c r="G115" s="1000">
        <v>1.2542</v>
      </c>
      <c r="H115" s="1000">
        <v>1.2542</v>
      </c>
      <c r="I115" s="1000">
        <v>1.2050000000000001</v>
      </c>
      <c r="J115" s="1000">
        <v>1.2050000000000001</v>
      </c>
      <c r="K115" s="1000">
        <v>1.2050000000000001</v>
      </c>
      <c r="L115" s="1000">
        <v>1.2050000000000001</v>
      </c>
      <c r="M115" s="1000">
        <v>1.2050000000000001</v>
      </c>
    </row>
    <row r="116" spans="1:13">
      <c r="A116" s="991">
        <v>1.2</v>
      </c>
      <c r="B116" s="1000">
        <v>1.3255999999999999</v>
      </c>
      <c r="C116" s="1000">
        <v>1.3255999999999999</v>
      </c>
      <c r="D116" s="1000">
        <v>1.2305999999999999</v>
      </c>
      <c r="E116" s="1000">
        <v>1.2305999999999999</v>
      </c>
      <c r="F116" s="1000">
        <v>1.2305999999999999</v>
      </c>
      <c r="G116" s="1000">
        <v>1.2305999999999999</v>
      </c>
      <c r="H116" s="1000">
        <v>1.2305999999999999</v>
      </c>
      <c r="I116" s="1000">
        <v>1.1741999999999999</v>
      </c>
      <c r="J116" s="1000">
        <v>1.1741999999999999</v>
      </c>
      <c r="K116" s="1000">
        <v>1.1741999999999999</v>
      </c>
      <c r="L116" s="1000">
        <v>1.1741999999999999</v>
      </c>
      <c r="M116" s="1000">
        <v>1.1741999999999999</v>
      </c>
    </row>
    <row r="117" spans="1:13">
      <c r="A117" s="991">
        <v>1.3</v>
      </c>
      <c r="B117" s="1000">
        <v>1.3032999999999999</v>
      </c>
      <c r="C117" s="1000">
        <v>1.3032999999999999</v>
      </c>
      <c r="D117" s="1000">
        <v>1.2079</v>
      </c>
      <c r="E117" s="1000">
        <v>1.2079</v>
      </c>
      <c r="F117" s="1000">
        <v>1.2079</v>
      </c>
      <c r="G117" s="1000">
        <v>1.2079</v>
      </c>
      <c r="H117" s="1000">
        <v>1.2079</v>
      </c>
      <c r="I117" s="1000">
        <v>1.1459999999999999</v>
      </c>
      <c r="J117" s="1000">
        <v>1.1459999999999999</v>
      </c>
      <c r="K117" s="1000">
        <v>1.1459999999999999</v>
      </c>
      <c r="L117" s="1000">
        <v>1.1459999999999999</v>
      </c>
      <c r="M117" s="1000">
        <v>1.1459999999999999</v>
      </c>
    </row>
    <row r="118" spans="1:13">
      <c r="A118" s="991">
        <v>1.4</v>
      </c>
      <c r="B118" s="1000">
        <v>1.282</v>
      </c>
      <c r="C118" s="1000">
        <v>1.282</v>
      </c>
      <c r="D118" s="1000">
        <v>1.1861999999999999</v>
      </c>
      <c r="E118" s="1000">
        <v>1.1861999999999999</v>
      </c>
      <c r="F118" s="1000">
        <v>1.1861999999999999</v>
      </c>
      <c r="G118" s="1000">
        <v>1.1861999999999999</v>
      </c>
      <c r="H118" s="1000">
        <v>1.1861999999999999</v>
      </c>
      <c r="I118" s="1000">
        <v>1.1200000000000001</v>
      </c>
      <c r="J118" s="1000">
        <v>1.1200000000000001</v>
      </c>
      <c r="K118" s="1000">
        <v>1.1200000000000001</v>
      </c>
      <c r="L118" s="1000">
        <v>1.1200000000000001</v>
      </c>
      <c r="M118" s="1000">
        <v>1.1200000000000001</v>
      </c>
    </row>
    <row r="119" spans="1:13">
      <c r="A119" s="991">
        <v>1.5</v>
      </c>
      <c r="B119" s="1000">
        <v>1.2617</v>
      </c>
      <c r="C119" s="1000">
        <v>1.2617</v>
      </c>
      <c r="D119" s="1000">
        <v>1.1653</v>
      </c>
      <c r="E119" s="1000">
        <v>1.1653</v>
      </c>
      <c r="F119" s="1000">
        <v>1.1653</v>
      </c>
      <c r="G119" s="1000">
        <v>1.1653</v>
      </c>
      <c r="H119" s="1000">
        <v>1.1653</v>
      </c>
      <c r="I119" s="1000">
        <v>1.0961000000000001</v>
      </c>
      <c r="J119" s="1000">
        <v>1.0961000000000001</v>
      </c>
      <c r="K119" s="1000">
        <v>1.0961000000000001</v>
      </c>
      <c r="L119" s="1000">
        <v>1.0961000000000001</v>
      </c>
      <c r="M119" s="1000">
        <v>1.0961000000000001</v>
      </c>
    </row>
    <row r="120" spans="1:13">
      <c r="A120" s="991">
        <v>1.6</v>
      </c>
      <c r="B120" s="1000">
        <v>1.2423</v>
      </c>
      <c r="C120" s="1000">
        <v>1.2423</v>
      </c>
      <c r="D120" s="1000">
        <v>1.1453</v>
      </c>
      <c r="E120" s="1000">
        <v>1.1453</v>
      </c>
      <c r="F120" s="1000">
        <v>1.1453</v>
      </c>
      <c r="G120" s="1000">
        <v>1.1453</v>
      </c>
      <c r="H120" s="1000">
        <v>1.1453</v>
      </c>
      <c r="I120" s="1000">
        <v>1.0740000000000001</v>
      </c>
      <c r="J120" s="1000">
        <v>1.0740000000000001</v>
      </c>
      <c r="K120" s="1000">
        <v>1.0740000000000001</v>
      </c>
      <c r="L120" s="1000">
        <v>1.0740000000000001</v>
      </c>
      <c r="M120" s="1000">
        <v>1.0740000000000001</v>
      </c>
    </row>
    <row r="121" spans="1:13">
      <c r="A121" s="991">
        <v>1.7</v>
      </c>
      <c r="B121" s="1000">
        <v>1.2237</v>
      </c>
      <c r="C121" s="1000">
        <v>1.2237</v>
      </c>
      <c r="D121" s="1000">
        <v>1.1261000000000001</v>
      </c>
      <c r="E121" s="1000">
        <v>1.1261000000000001</v>
      </c>
      <c r="F121" s="1000">
        <v>1.1261000000000001</v>
      </c>
      <c r="G121" s="1000">
        <v>1.1261000000000001</v>
      </c>
      <c r="H121" s="1000">
        <v>1.1261000000000001</v>
      </c>
      <c r="I121" s="1000">
        <v>1.0535000000000001</v>
      </c>
      <c r="J121" s="1000">
        <v>1.0535000000000001</v>
      </c>
      <c r="K121" s="1000">
        <v>1.0535000000000001</v>
      </c>
      <c r="L121" s="1000">
        <v>1.0535000000000001</v>
      </c>
      <c r="M121" s="1000">
        <v>1.0535000000000001</v>
      </c>
    </row>
    <row r="122" spans="1:13">
      <c r="A122" s="991">
        <v>1.8</v>
      </c>
      <c r="B122" s="1000">
        <v>1.206</v>
      </c>
      <c r="C122" s="1000">
        <v>1.206</v>
      </c>
      <c r="D122" s="1000">
        <v>1.1076999999999999</v>
      </c>
      <c r="E122" s="1000">
        <v>1.1076999999999999</v>
      </c>
      <c r="F122" s="1000">
        <v>1.1076999999999999</v>
      </c>
      <c r="G122" s="1000">
        <v>1.1076999999999999</v>
      </c>
      <c r="H122" s="1000">
        <v>1.1076999999999999</v>
      </c>
      <c r="I122" s="1000">
        <v>1.0345</v>
      </c>
      <c r="J122" s="1000">
        <v>1.0345</v>
      </c>
      <c r="K122" s="1000">
        <v>1.0345</v>
      </c>
      <c r="L122" s="1000">
        <v>1.0345</v>
      </c>
      <c r="M122" s="1000">
        <v>1.0345</v>
      </c>
    </row>
    <row r="123" spans="1:13">
      <c r="A123" s="991">
        <v>1.9</v>
      </c>
      <c r="B123" s="1000">
        <v>1.1891</v>
      </c>
      <c r="C123" s="1000">
        <v>1.1891</v>
      </c>
      <c r="D123" s="1000">
        <v>1.0901000000000001</v>
      </c>
      <c r="E123" s="1000">
        <v>1.0901000000000001</v>
      </c>
      <c r="F123" s="1000">
        <v>1.0901000000000001</v>
      </c>
      <c r="G123" s="1000">
        <v>1.0901000000000001</v>
      </c>
      <c r="H123" s="1000">
        <v>1.0901000000000001</v>
      </c>
      <c r="I123" s="1000">
        <v>1.0166999999999999</v>
      </c>
      <c r="J123" s="1000">
        <v>1.0166999999999999</v>
      </c>
      <c r="K123" s="1000">
        <v>1.0166999999999999</v>
      </c>
      <c r="L123" s="1000">
        <v>1.0166999999999999</v>
      </c>
      <c r="M123" s="1000">
        <v>1.0166999999999999</v>
      </c>
    </row>
    <row r="124" spans="1:13">
      <c r="A124" s="991">
        <v>2</v>
      </c>
      <c r="B124" s="1000">
        <v>1.1729000000000001</v>
      </c>
      <c r="C124" s="1000">
        <v>1.1729000000000001</v>
      </c>
      <c r="D124" s="1000">
        <v>1.0732999999999999</v>
      </c>
      <c r="E124" s="1000">
        <v>1.0732999999999999</v>
      </c>
      <c r="F124" s="1000">
        <v>1.0732999999999999</v>
      </c>
      <c r="G124" s="1000">
        <v>1.0732999999999999</v>
      </c>
      <c r="H124" s="1000">
        <v>1.0732999999999999</v>
      </c>
      <c r="I124" s="1000">
        <v>1</v>
      </c>
      <c r="J124" s="1000">
        <v>1</v>
      </c>
      <c r="K124" s="1000">
        <v>1</v>
      </c>
      <c r="L124" s="1000">
        <v>1</v>
      </c>
      <c r="M124" s="1000">
        <v>1</v>
      </c>
    </row>
    <row r="125" spans="1:13">
      <c r="A125" s="1015">
        <v>2.1</v>
      </c>
      <c r="B125" s="1000">
        <v>1.1574</v>
      </c>
      <c r="C125" s="1000">
        <v>1.1574</v>
      </c>
      <c r="D125" s="1000">
        <v>1.0571999999999999</v>
      </c>
      <c r="E125" s="1000">
        <v>1.0571999999999999</v>
      </c>
      <c r="F125" s="1000">
        <v>1.0571999999999999</v>
      </c>
      <c r="G125" s="1000">
        <v>1.0571999999999999</v>
      </c>
      <c r="H125" s="1000">
        <v>1.0571999999999999</v>
      </c>
      <c r="I125" s="1000">
        <v>0.98409999999999997</v>
      </c>
      <c r="J125" s="1000">
        <v>0.98409999999999997</v>
      </c>
      <c r="K125" s="1000">
        <v>0.98409999999999997</v>
      </c>
      <c r="L125" s="1000">
        <v>0.98409999999999997</v>
      </c>
      <c r="M125" s="1000">
        <v>0.98409999999999997</v>
      </c>
    </row>
    <row r="126" spans="1:13">
      <c r="A126" s="1015">
        <v>2.2000000000000002</v>
      </c>
      <c r="B126" s="1000">
        <v>1.1426000000000001</v>
      </c>
      <c r="C126" s="1000">
        <v>1.1426000000000001</v>
      </c>
      <c r="D126" s="1000">
        <v>1.0419</v>
      </c>
      <c r="E126" s="1000">
        <v>1.0419</v>
      </c>
      <c r="F126" s="1000">
        <v>1.0419</v>
      </c>
      <c r="G126" s="1000">
        <v>1.0419</v>
      </c>
      <c r="H126" s="1000">
        <v>1.0419</v>
      </c>
      <c r="I126" s="1000">
        <v>0.96889999999999998</v>
      </c>
      <c r="J126" s="1000">
        <v>0.96889999999999998</v>
      </c>
      <c r="K126" s="1000">
        <v>0.96889999999999998</v>
      </c>
      <c r="L126" s="1000">
        <v>0.96889999999999998</v>
      </c>
      <c r="M126" s="1000">
        <v>0.96889999999999998</v>
      </c>
    </row>
    <row r="127" spans="1:13">
      <c r="A127" s="1015">
        <v>2.2999999999999998</v>
      </c>
      <c r="B127" s="1000">
        <v>1.1285000000000001</v>
      </c>
      <c r="C127" s="1000">
        <v>1.1285000000000001</v>
      </c>
      <c r="D127" s="1000">
        <v>1.0271999999999999</v>
      </c>
      <c r="E127" s="1000">
        <v>1.0271999999999999</v>
      </c>
      <c r="F127" s="1000">
        <v>1.0271999999999999</v>
      </c>
      <c r="G127" s="1000">
        <v>1.0271999999999999</v>
      </c>
      <c r="H127" s="1000">
        <v>1.0271999999999999</v>
      </c>
      <c r="I127" s="1000">
        <v>0.95440000000000003</v>
      </c>
      <c r="J127" s="1000">
        <v>0.95440000000000003</v>
      </c>
      <c r="K127" s="1000">
        <v>0.95440000000000003</v>
      </c>
      <c r="L127" s="1000">
        <v>0.95440000000000003</v>
      </c>
      <c r="M127" s="1000">
        <v>0.95440000000000003</v>
      </c>
    </row>
    <row r="128" spans="1:13">
      <c r="A128" s="1015">
        <v>2.4</v>
      </c>
      <c r="B128" s="1000">
        <v>1.1149</v>
      </c>
      <c r="C128" s="1000">
        <v>1.1149</v>
      </c>
      <c r="D128" s="1000">
        <v>1.0133000000000001</v>
      </c>
      <c r="E128" s="1000">
        <v>1.0133000000000001</v>
      </c>
      <c r="F128" s="1000">
        <v>1.0133000000000001</v>
      </c>
      <c r="G128" s="1000">
        <v>1.0133000000000001</v>
      </c>
      <c r="H128" s="1000">
        <v>1.0133000000000001</v>
      </c>
      <c r="I128" s="1000">
        <v>0.9405</v>
      </c>
      <c r="J128" s="1000">
        <v>0.9405</v>
      </c>
      <c r="K128" s="1000">
        <v>0.9405</v>
      </c>
      <c r="L128" s="1000">
        <v>0.9405</v>
      </c>
      <c r="M128" s="1000">
        <v>0.9405</v>
      </c>
    </row>
    <row r="129" spans="1:13">
      <c r="A129" s="1015">
        <v>2.5</v>
      </c>
      <c r="B129" s="1000">
        <v>1.1020000000000001</v>
      </c>
      <c r="C129" s="1000">
        <v>1.1020000000000001</v>
      </c>
      <c r="D129" s="1000">
        <v>1</v>
      </c>
      <c r="E129" s="1000">
        <v>1</v>
      </c>
      <c r="F129" s="1000">
        <v>1</v>
      </c>
      <c r="G129" s="1000">
        <v>1</v>
      </c>
      <c r="H129" s="1000">
        <v>1</v>
      </c>
      <c r="I129" s="1000">
        <v>0.92730000000000001</v>
      </c>
      <c r="J129" s="1000">
        <v>0.92730000000000001</v>
      </c>
      <c r="K129" s="1000">
        <v>0.92730000000000001</v>
      </c>
      <c r="L129" s="1000">
        <v>0.92730000000000001</v>
      </c>
      <c r="M129" s="1000">
        <v>0.92730000000000001</v>
      </c>
    </row>
    <row r="130" spans="1:13">
      <c r="A130" s="1015">
        <v>2.6</v>
      </c>
      <c r="B130" s="1000">
        <v>1.0895999999999999</v>
      </c>
      <c r="C130" s="1000">
        <v>1.0895999999999999</v>
      </c>
      <c r="D130" s="1000">
        <v>0.98740000000000006</v>
      </c>
      <c r="E130" s="1000">
        <v>0.98740000000000006</v>
      </c>
      <c r="F130" s="1000">
        <v>0.98740000000000006</v>
      </c>
      <c r="G130" s="1000">
        <v>0.98740000000000006</v>
      </c>
      <c r="H130" s="1000">
        <v>0.98740000000000006</v>
      </c>
      <c r="I130" s="1000">
        <v>0.91469999999999996</v>
      </c>
      <c r="J130" s="1000">
        <v>0.91469999999999996</v>
      </c>
      <c r="K130" s="1000">
        <v>0.91469999999999996</v>
      </c>
      <c r="L130" s="1000">
        <v>0.91469999999999996</v>
      </c>
      <c r="M130" s="1000">
        <v>0.91469999999999996</v>
      </c>
    </row>
    <row r="131" spans="1:13">
      <c r="A131" s="1015">
        <v>2.7</v>
      </c>
      <c r="B131" s="1000">
        <v>1.0778000000000001</v>
      </c>
      <c r="C131" s="1000">
        <v>1.0778000000000001</v>
      </c>
      <c r="D131" s="1000">
        <v>0.97540000000000004</v>
      </c>
      <c r="E131" s="1000">
        <v>0.97540000000000004</v>
      </c>
      <c r="F131" s="1000">
        <v>0.97540000000000004</v>
      </c>
      <c r="G131" s="1000">
        <v>0.97540000000000004</v>
      </c>
      <c r="H131" s="1000">
        <v>0.97540000000000004</v>
      </c>
      <c r="I131" s="1000">
        <v>0.90269999999999995</v>
      </c>
      <c r="J131" s="1000">
        <v>0.90269999999999995</v>
      </c>
      <c r="K131" s="1000">
        <v>0.90269999999999995</v>
      </c>
      <c r="L131" s="1000">
        <v>0.90269999999999995</v>
      </c>
      <c r="M131" s="1000">
        <v>0.90269999999999995</v>
      </c>
    </row>
    <row r="132" spans="1:13">
      <c r="A132" s="1015">
        <v>2.8</v>
      </c>
      <c r="B132" s="1000">
        <v>1.0665</v>
      </c>
      <c r="C132" s="1000">
        <v>1.0665</v>
      </c>
      <c r="D132" s="1000">
        <v>0.96399999999999997</v>
      </c>
      <c r="E132" s="1000">
        <v>0.96399999999999997</v>
      </c>
      <c r="F132" s="1000">
        <v>0.96399999999999997</v>
      </c>
      <c r="G132" s="1000">
        <v>0.96399999999999997</v>
      </c>
      <c r="H132" s="1000">
        <v>0.96399999999999997</v>
      </c>
      <c r="I132" s="1000">
        <v>0.89119999999999999</v>
      </c>
      <c r="J132" s="1000">
        <v>0.89119999999999999</v>
      </c>
      <c r="K132" s="1000">
        <v>0.89119999999999999</v>
      </c>
      <c r="L132" s="1000">
        <v>0.89119999999999999</v>
      </c>
      <c r="M132" s="1000">
        <v>0.89119999999999999</v>
      </c>
    </row>
    <row r="133" spans="1:13">
      <c r="A133" s="1015">
        <v>2.9</v>
      </c>
      <c r="B133" s="1000">
        <v>1.0556000000000001</v>
      </c>
      <c r="C133" s="1000">
        <v>1.0556000000000001</v>
      </c>
      <c r="D133" s="1000">
        <v>0.95330000000000004</v>
      </c>
      <c r="E133" s="1000">
        <v>0.95330000000000004</v>
      </c>
      <c r="F133" s="1000">
        <v>0.95330000000000004</v>
      </c>
      <c r="G133" s="1000">
        <v>0.95330000000000004</v>
      </c>
      <c r="H133" s="1000">
        <v>0.95330000000000004</v>
      </c>
      <c r="I133" s="1000">
        <v>0.88019999999999998</v>
      </c>
      <c r="J133" s="1000">
        <v>0.88019999999999998</v>
      </c>
      <c r="K133" s="1000">
        <v>0.88019999999999998</v>
      </c>
      <c r="L133" s="1000">
        <v>0.88019999999999998</v>
      </c>
      <c r="M133" s="1000">
        <v>0.88019999999999998</v>
      </c>
    </row>
    <row r="134" spans="1:13">
      <c r="A134" s="1015">
        <v>3</v>
      </c>
      <c r="B134" s="1000">
        <v>1.0452999999999999</v>
      </c>
      <c r="C134" s="1000">
        <v>1.0452999999999999</v>
      </c>
      <c r="D134" s="1000">
        <v>0.94299999999999995</v>
      </c>
      <c r="E134" s="1000">
        <v>0.94299999999999995</v>
      </c>
      <c r="F134" s="1000">
        <v>0.94299999999999995</v>
      </c>
      <c r="G134" s="1000">
        <v>0.94299999999999995</v>
      </c>
      <c r="H134" s="1000">
        <v>0.94299999999999995</v>
      </c>
      <c r="I134" s="1000">
        <v>0.86970000000000003</v>
      </c>
      <c r="J134" s="1000">
        <v>0.86970000000000003</v>
      </c>
      <c r="K134" s="1000">
        <v>0.86970000000000003</v>
      </c>
      <c r="L134" s="1000">
        <v>0.86970000000000003</v>
      </c>
      <c r="M134" s="1000">
        <v>0.86970000000000003</v>
      </c>
    </row>
    <row r="135" spans="1:13">
      <c r="A135" s="1015">
        <v>3.1</v>
      </c>
      <c r="B135" s="1000">
        <v>1.0354000000000001</v>
      </c>
      <c r="C135" s="1000">
        <v>1.0354000000000001</v>
      </c>
      <c r="D135" s="1000">
        <v>0.93330000000000002</v>
      </c>
      <c r="E135" s="1000">
        <v>0.93330000000000002</v>
      </c>
      <c r="F135" s="1000">
        <v>0.93330000000000002</v>
      </c>
      <c r="G135" s="1000">
        <v>0.93330000000000002</v>
      </c>
      <c r="H135" s="1000">
        <v>0.93330000000000002</v>
      </c>
      <c r="I135" s="1000">
        <v>0.85970000000000002</v>
      </c>
      <c r="J135" s="1000">
        <v>0.85970000000000002</v>
      </c>
      <c r="K135" s="1000">
        <v>0.85970000000000002</v>
      </c>
      <c r="L135" s="1000">
        <v>0.85970000000000002</v>
      </c>
      <c r="M135" s="1000">
        <v>0.85970000000000002</v>
      </c>
    </row>
    <row r="136" spans="1:13">
      <c r="A136" s="1015">
        <v>3.2</v>
      </c>
      <c r="B136" s="1000">
        <v>1.0259</v>
      </c>
      <c r="C136" s="1000">
        <v>1.0259</v>
      </c>
      <c r="D136" s="1000">
        <v>0.92410000000000003</v>
      </c>
      <c r="E136" s="1000">
        <v>0.92410000000000003</v>
      </c>
      <c r="F136" s="1000">
        <v>0.92410000000000003</v>
      </c>
      <c r="G136" s="1000">
        <v>0.92410000000000003</v>
      </c>
      <c r="H136" s="1000">
        <v>0.92410000000000003</v>
      </c>
      <c r="I136" s="1000">
        <v>0.85019999999999996</v>
      </c>
      <c r="J136" s="1000">
        <v>0.85019999999999996</v>
      </c>
      <c r="K136" s="1000">
        <v>0.85019999999999996</v>
      </c>
      <c r="L136" s="1000">
        <v>0.85019999999999996</v>
      </c>
      <c r="M136" s="1000">
        <v>0.85019999999999996</v>
      </c>
    </row>
    <row r="137" spans="1:13">
      <c r="A137" s="1015">
        <v>3.3</v>
      </c>
      <c r="B137" s="1000">
        <v>1.0168999999999999</v>
      </c>
      <c r="C137" s="1000">
        <v>1.0168999999999999</v>
      </c>
      <c r="D137" s="1000">
        <v>0.91539999999999999</v>
      </c>
      <c r="E137" s="1000">
        <v>0.91539999999999999</v>
      </c>
      <c r="F137" s="1000">
        <v>0.91539999999999999</v>
      </c>
      <c r="G137" s="1000">
        <v>0.91539999999999999</v>
      </c>
      <c r="H137" s="1000">
        <v>0.91539999999999999</v>
      </c>
      <c r="I137" s="1000">
        <v>0.84109999999999996</v>
      </c>
      <c r="J137" s="1000">
        <v>0.84109999999999996</v>
      </c>
      <c r="K137" s="1000">
        <v>0.84109999999999996</v>
      </c>
      <c r="L137" s="1000">
        <v>0.84109999999999996</v>
      </c>
      <c r="M137" s="1000">
        <v>0.84109999999999996</v>
      </c>
    </row>
    <row r="138" spans="1:13">
      <c r="A138" s="1015">
        <v>3.4</v>
      </c>
      <c r="B138" s="1000">
        <v>1.0082</v>
      </c>
      <c r="C138" s="1000">
        <v>1.0082</v>
      </c>
      <c r="D138" s="1000">
        <v>0.90710000000000002</v>
      </c>
      <c r="E138" s="1000">
        <v>0.90710000000000002</v>
      </c>
      <c r="F138" s="1000">
        <v>0.90710000000000002</v>
      </c>
      <c r="G138" s="1000">
        <v>0.90710000000000002</v>
      </c>
      <c r="H138" s="1000">
        <v>0.90710000000000002</v>
      </c>
      <c r="I138" s="1000">
        <v>0.83240000000000003</v>
      </c>
      <c r="J138" s="1000">
        <v>0.83240000000000003</v>
      </c>
      <c r="K138" s="1000">
        <v>0.83240000000000003</v>
      </c>
      <c r="L138" s="1000">
        <v>0.83240000000000003</v>
      </c>
      <c r="M138" s="1000">
        <v>0.83240000000000003</v>
      </c>
    </row>
    <row r="139" spans="1:13">
      <c r="A139" s="1015">
        <v>3.5</v>
      </c>
      <c r="B139" s="1000">
        <v>1</v>
      </c>
      <c r="C139" s="1000">
        <v>1</v>
      </c>
      <c r="D139" s="1000">
        <v>0.89929999999999999</v>
      </c>
      <c r="E139" s="1000">
        <v>0.89929999999999999</v>
      </c>
      <c r="F139" s="1000">
        <v>0.89929999999999999</v>
      </c>
      <c r="G139" s="1000">
        <v>0.89929999999999999</v>
      </c>
      <c r="H139" s="1000">
        <v>0.89929999999999999</v>
      </c>
      <c r="I139" s="1000">
        <v>0.82410000000000005</v>
      </c>
      <c r="J139" s="1000">
        <v>0.82410000000000005</v>
      </c>
      <c r="K139" s="1000">
        <v>0.82410000000000005</v>
      </c>
      <c r="L139" s="1000">
        <v>0.82410000000000005</v>
      </c>
      <c r="M139" s="1000">
        <v>0.82410000000000005</v>
      </c>
    </row>
    <row r="140" spans="1:13">
      <c r="A140" s="1015">
        <v>3.6</v>
      </c>
      <c r="B140" s="1000">
        <v>0.99219999999999997</v>
      </c>
      <c r="C140" s="1000">
        <v>0.99219999999999997</v>
      </c>
      <c r="D140" s="1000">
        <v>0.89190000000000003</v>
      </c>
      <c r="E140" s="1000">
        <v>0.89190000000000003</v>
      </c>
      <c r="F140" s="1000">
        <v>0.89190000000000003</v>
      </c>
      <c r="G140" s="1000">
        <v>0.89190000000000003</v>
      </c>
      <c r="H140" s="1000">
        <v>0.89190000000000003</v>
      </c>
      <c r="I140" s="1000">
        <v>0.81620000000000004</v>
      </c>
      <c r="J140" s="1000">
        <v>0.81620000000000004</v>
      </c>
      <c r="K140" s="1000">
        <v>0.81620000000000004</v>
      </c>
      <c r="L140" s="1000">
        <v>0.81620000000000004</v>
      </c>
      <c r="M140" s="1000">
        <v>0.81620000000000004</v>
      </c>
    </row>
    <row r="141" spans="1:13">
      <c r="A141" s="1015">
        <v>3.7</v>
      </c>
      <c r="B141" s="1000">
        <v>0.98480000000000001</v>
      </c>
      <c r="C141" s="1000">
        <v>0.98480000000000001</v>
      </c>
      <c r="D141" s="1000">
        <v>0.88480000000000003</v>
      </c>
      <c r="E141" s="1000">
        <v>0.88480000000000003</v>
      </c>
      <c r="F141" s="1000">
        <v>0.88480000000000003</v>
      </c>
      <c r="G141" s="1000">
        <v>0.88480000000000003</v>
      </c>
      <c r="H141" s="1000">
        <v>0.88480000000000003</v>
      </c>
      <c r="I141" s="1000">
        <v>0.80869999999999997</v>
      </c>
      <c r="J141" s="1000">
        <v>0.80869999999999997</v>
      </c>
      <c r="K141" s="1000">
        <v>0.80869999999999997</v>
      </c>
      <c r="L141" s="1000">
        <v>0.80869999999999997</v>
      </c>
      <c r="M141" s="1000">
        <v>0.80869999999999997</v>
      </c>
    </row>
    <row r="142" spans="1:13">
      <c r="A142" s="1015">
        <v>3.8</v>
      </c>
      <c r="B142" s="1000">
        <v>0.9778</v>
      </c>
      <c r="C142" s="1000">
        <v>0.9778</v>
      </c>
      <c r="D142" s="1000">
        <v>0.87809999999999999</v>
      </c>
      <c r="E142" s="1000">
        <v>0.87809999999999999</v>
      </c>
      <c r="F142" s="1000">
        <v>0.87809999999999999</v>
      </c>
      <c r="G142" s="1000">
        <v>0.87809999999999999</v>
      </c>
      <c r="H142" s="1000">
        <v>0.87809999999999999</v>
      </c>
      <c r="I142" s="1000">
        <v>0.80159999999999998</v>
      </c>
      <c r="J142" s="1000">
        <v>0.80159999999999998</v>
      </c>
      <c r="K142" s="1000">
        <v>0.80159999999999998</v>
      </c>
      <c r="L142" s="1000">
        <v>0.80159999999999998</v>
      </c>
      <c r="M142" s="1000">
        <v>0.80159999999999998</v>
      </c>
    </row>
    <row r="143" spans="1:13">
      <c r="A143" s="1015">
        <v>3.9</v>
      </c>
      <c r="B143" s="1000">
        <v>0.97119999999999995</v>
      </c>
      <c r="C143" s="1000">
        <v>0.97119999999999995</v>
      </c>
      <c r="D143" s="1000">
        <v>0.87180000000000002</v>
      </c>
      <c r="E143" s="1000">
        <v>0.87180000000000002</v>
      </c>
      <c r="F143" s="1000">
        <v>0.87180000000000002</v>
      </c>
      <c r="G143" s="1000">
        <v>0.87180000000000002</v>
      </c>
      <c r="H143" s="1000">
        <v>0.87180000000000002</v>
      </c>
      <c r="I143" s="1000">
        <v>0.79479999999999995</v>
      </c>
      <c r="J143" s="1000">
        <v>0.79479999999999995</v>
      </c>
      <c r="K143" s="1000">
        <v>0.79479999999999995</v>
      </c>
      <c r="L143" s="1000">
        <v>0.79479999999999995</v>
      </c>
      <c r="M143" s="1000">
        <v>0.79479999999999995</v>
      </c>
    </row>
    <row r="144" spans="1:13">
      <c r="A144" s="1015">
        <v>4</v>
      </c>
      <c r="B144" s="1000">
        <v>0.96499999999999997</v>
      </c>
      <c r="C144" s="1000">
        <v>0.96499999999999997</v>
      </c>
      <c r="D144" s="1000">
        <v>0.86580000000000001</v>
      </c>
      <c r="E144" s="1000">
        <v>0.86580000000000001</v>
      </c>
      <c r="F144" s="1000">
        <v>0.86580000000000001</v>
      </c>
      <c r="G144" s="1000">
        <v>0.86580000000000001</v>
      </c>
      <c r="H144" s="1000">
        <v>0.86580000000000001</v>
      </c>
      <c r="I144" s="1000">
        <v>0.7883</v>
      </c>
      <c r="J144" s="1000">
        <v>0.7883</v>
      </c>
      <c r="K144" s="1000">
        <v>0.7883</v>
      </c>
      <c r="L144" s="1000">
        <v>0.7883</v>
      </c>
      <c r="M144" s="1000">
        <v>0.7883</v>
      </c>
    </row>
    <row r="145" spans="1:13">
      <c r="A145" s="1015">
        <v>4.0999999999999996</v>
      </c>
      <c r="B145" s="1000">
        <v>0.95909999999999995</v>
      </c>
      <c r="C145" s="1000">
        <v>0.95909999999999995</v>
      </c>
      <c r="D145" s="1000">
        <v>0.86009999999999998</v>
      </c>
      <c r="E145" s="1000">
        <v>0.86009999999999998</v>
      </c>
      <c r="F145" s="1000">
        <v>0.86009999999999998</v>
      </c>
      <c r="G145" s="1000">
        <v>0.86009999999999998</v>
      </c>
      <c r="H145" s="1000">
        <v>0.86009999999999998</v>
      </c>
      <c r="I145" s="1000">
        <v>0.78200000000000003</v>
      </c>
      <c r="J145" s="1000">
        <v>0.78200000000000003</v>
      </c>
      <c r="K145" s="1000">
        <v>0.78200000000000003</v>
      </c>
      <c r="L145" s="1000">
        <v>0.78200000000000003</v>
      </c>
      <c r="M145" s="1000">
        <v>0.78200000000000003</v>
      </c>
    </row>
    <row r="146" spans="1:13">
      <c r="A146" s="1015">
        <v>4.2</v>
      </c>
      <c r="B146" s="1000">
        <v>0.95350000000000001</v>
      </c>
      <c r="C146" s="1000">
        <v>0.95350000000000001</v>
      </c>
      <c r="D146" s="1000">
        <v>0.85470000000000002</v>
      </c>
      <c r="E146" s="1000">
        <v>0.85470000000000002</v>
      </c>
      <c r="F146" s="1000">
        <v>0.85470000000000002</v>
      </c>
      <c r="G146" s="1000">
        <v>0.85470000000000002</v>
      </c>
      <c r="H146" s="1000">
        <v>0.85470000000000002</v>
      </c>
      <c r="I146" s="1000">
        <v>0.77600000000000002</v>
      </c>
      <c r="J146" s="1000">
        <v>0.77600000000000002</v>
      </c>
      <c r="K146" s="1000">
        <v>0.77600000000000002</v>
      </c>
      <c r="L146" s="1000">
        <v>0.77600000000000002</v>
      </c>
      <c r="M146" s="1000">
        <v>0.77600000000000002</v>
      </c>
    </row>
    <row r="147" spans="1:13">
      <c r="A147" s="1015">
        <v>4.3</v>
      </c>
      <c r="B147" s="1000">
        <v>0.94820000000000004</v>
      </c>
      <c r="C147" s="1000">
        <v>0.94820000000000004</v>
      </c>
      <c r="D147" s="1000">
        <v>0.84960000000000002</v>
      </c>
      <c r="E147" s="1000">
        <v>0.84960000000000002</v>
      </c>
      <c r="F147" s="1000">
        <v>0.84960000000000002</v>
      </c>
      <c r="G147" s="1000">
        <v>0.84960000000000002</v>
      </c>
      <c r="H147" s="1000">
        <v>0.84960000000000002</v>
      </c>
      <c r="I147" s="1000">
        <v>0.77029999999999998</v>
      </c>
      <c r="J147" s="1000">
        <v>0.77029999999999998</v>
      </c>
      <c r="K147" s="1000">
        <v>0.77029999999999998</v>
      </c>
      <c r="L147" s="1000">
        <v>0.77029999999999998</v>
      </c>
      <c r="M147" s="1000">
        <v>0.77029999999999998</v>
      </c>
    </row>
    <row r="148" spans="1:13">
      <c r="A148" s="1015">
        <v>4.4000000000000004</v>
      </c>
      <c r="B148" s="1000">
        <v>0.94320000000000004</v>
      </c>
      <c r="C148" s="1000">
        <v>0.94320000000000004</v>
      </c>
      <c r="D148" s="1000">
        <v>0.8448</v>
      </c>
      <c r="E148" s="1000">
        <v>0.8448</v>
      </c>
      <c r="F148" s="1000">
        <v>0.8448</v>
      </c>
      <c r="G148" s="1000">
        <v>0.8448</v>
      </c>
      <c r="H148" s="1000">
        <v>0.8448</v>
      </c>
      <c r="I148" s="1000">
        <v>0.76490000000000002</v>
      </c>
      <c r="J148" s="1000">
        <v>0.76490000000000002</v>
      </c>
      <c r="K148" s="1000">
        <v>0.76490000000000002</v>
      </c>
      <c r="L148" s="1000">
        <v>0.76490000000000002</v>
      </c>
      <c r="M148" s="1000">
        <v>0.76490000000000002</v>
      </c>
    </row>
    <row r="149" spans="1:13">
      <c r="A149" s="1015">
        <v>4.5</v>
      </c>
      <c r="B149" s="1000">
        <v>0.9385</v>
      </c>
      <c r="C149" s="1000">
        <v>0.9385</v>
      </c>
      <c r="D149" s="1000">
        <v>0.84019999999999995</v>
      </c>
      <c r="E149" s="1000">
        <v>0.84019999999999995</v>
      </c>
      <c r="F149" s="1000">
        <v>0.84019999999999995</v>
      </c>
      <c r="G149" s="1000">
        <v>0.84019999999999995</v>
      </c>
      <c r="H149" s="1000">
        <v>0.84019999999999995</v>
      </c>
      <c r="I149" s="1000">
        <v>0.75970000000000004</v>
      </c>
      <c r="J149" s="1000">
        <v>0.75970000000000004</v>
      </c>
      <c r="K149" s="1000">
        <v>0.75970000000000004</v>
      </c>
      <c r="L149" s="1000">
        <v>0.75970000000000004</v>
      </c>
      <c r="M149" s="1000">
        <v>0.75970000000000004</v>
      </c>
    </row>
    <row r="150" spans="1:13">
      <c r="A150" s="1015">
        <v>4.5999999999999996</v>
      </c>
      <c r="B150" s="1000">
        <v>0.93410000000000004</v>
      </c>
      <c r="C150" s="1000">
        <v>0.93410000000000004</v>
      </c>
      <c r="D150" s="1000">
        <v>0.83579999999999999</v>
      </c>
      <c r="E150" s="1000">
        <v>0.83579999999999999</v>
      </c>
      <c r="F150" s="1000">
        <v>0.83579999999999999</v>
      </c>
      <c r="G150" s="1000">
        <v>0.83579999999999999</v>
      </c>
      <c r="H150" s="1000">
        <v>0.83579999999999999</v>
      </c>
      <c r="I150" s="1000">
        <v>0.75470000000000004</v>
      </c>
      <c r="J150" s="1000">
        <v>0.75470000000000004</v>
      </c>
      <c r="K150" s="1000">
        <v>0.75470000000000004</v>
      </c>
      <c r="L150" s="1000">
        <v>0.75470000000000004</v>
      </c>
      <c r="M150" s="1000">
        <v>0.75470000000000004</v>
      </c>
    </row>
    <row r="151" spans="1:13">
      <c r="A151" s="1015">
        <v>4.7</v>
      </c>
      <c r="B151" s="1000">
        <v>0.92989999999999995</v>
      </c>
      <c r="C151" s="1000">
        <v>0.92989999999999995</v>
      </c>
      <c r="D151" s="1000">
        <v>0.83160000000000001</v>
      </c>
      <c r="E151" s="1000">
        <v>0.83160000000000001</v>
      </c>
      <c r="F151" s="1000">
        <v>0.83160000000000001</v>
      </c>
      <c r="G151" s="1000">
        <v>0.83160000000000001</v>
      </c>
      <c r="H151" s="1000">
        <v>0.83160000000000001</v>
      </c>
      <c r="I151" s="1000">
        <v>0.74990000000000001</v>
      </c>
      <c r="J151" s="1000">
        <v>0.74990000000000001</v>
      </c>
      <c r="K151" s="1000">
        <v>0.74990000000000001</v>
      </c>
      <c r="L151" s="1000">
        <v>0.74990000000000001</v>
      </c>
      <c r="M151" s="1000">
        <v>0.74990000000000001</v>
      </c>
    </row>
    <row r="152" spans="1:13">
      <c r="A152" s="1015">
        <v>4.8</v>
      </c>
      <c r="B152" s="1000">
        <v>0.92589999999999995</v>
      </c>
      <c r="C152" s="1000">
        <v>0.92589999999999995</v>
      </c>
      <c r="D152" s="1000">
        <v>0.82769999999999999</v>
      </c>
      <c r="E152" s="1000">
        <v>0.82769999999999999</v>
      </c>
      <c r="F152" s="1000">
        <v>0.82769999999999999</v>
      </c>
      <c r="G152" s="1000">
        <v>0.82769999999999999</v>
      </c>
      <c r="H152" s="1000">
        <v>0.82769999999999999</v>
      </c>
      <c r="I152" s="1000">
        <v>0.74529999999999996</v>
      </c>
      <c r="J152" s="1000">
        <v>0.74529999999999996</v>
      </c>
      <c r="K152" s="1000">
        <v>0.74529999999999996</v>
      </c>
      <c r="L152" s="1000">
        <v>0.74529999999999996</v>
      </c>
      <c r="M152" s="1000">
        <v>0.74529999999999996</v>
      </c>
    </row>
    <row r="153" spans="1:13">
      <c r="A153" s="1015">
        <v>4.9000000000000004</v>
      </c>
      <c r="B153" s="1000">
        <v>0.92210000000000003</v>
      </c>
      <c r="C153" s="1000">
        <v>0.92210000000000003</v>
      </c>
      <c r="D153" s="1000">
        <v>0.82389999999999997</v>
      </c>
      <c r="E153" s="1000">
        <v>0.82389999999999997</v>
      </c>
      <c r="F153" s="1000">
        <v>0.82389999999999997</v>
      </c>
      <c r="G153" s="1000">
        <v>0.82389999999999997</v>
      </c>
      <c r="H153" s="1000">
        <v>0.82389999999999997</v>
      </c>
      <c r="I153" s="1000">
        <v>0.7409</v>
      </c>
      <c r="J153" s="1000">
        <v>0.7409</v>
      </c>
      <c r="K153" s="1000">
        <v>0.7409</v>
      </c>
      <c r="L153" s="1000">
        <v>0.7409</v>
      </c>
      <c r="M153" s="1000">
        <v>0.7409</v>
      </c>
    </row>
    <row r="154" spans="1:13">
      <c r="A154" s="1015">
        <v>5</v>
      </c>
      <c r="B154" s="1000">
        <v>0.91849999999999998</v>
      </c>
      <c r="C154" s="1000">
        <v>0.91849999999999998</v>
      </c>
      <c r="D154" s="1000">
        <v>0.82030000000000003</v>
      </c>
      <c r="E154" s="1000">
        <v>0.82030000000000003</v>
      </c>
      <c r="F154" s="1000">
        <v>0.82030000000000003</v>
      </c>
      <c r="G154" s="1000">
        <v>0.82030000000000003</v>
      </c>
      <c r="H154" s="1000">
        <v>0.82030000000000003</v>
      </c>
      <c r="I154" s="1000">
        <v>0.73670000000000002</v>
      </c>
      <c r="J154" s="1000">
        <v>0.73670000000000002</v>
      </c>
      <c r="K154" s="1000">
        <v>0.73670000000000002</v>
      </c>
      <c r="L154" s="1000">
        <v>0.73670000000000002</v>
      </c>
      <c r="M154" s="1000">
        <v>0.73670000000000002</v>
      </c>
    </row>
    <row r="155" spans="1:13">
      <c r="A155" s="991">
        <v>5.0999999999999996</v>
      </c>
      <c r="B155" s="1000">
        <v>0.91510000000000002</v>
      </c>
      <c r="C155" s="1000">
        <v>0.91510000000000002</v>
      </c>
      <c r="D155" s="1000">
        <v>0.81689999999999996</v>
      </c>
      <c r="E155" s="1000">
        <v>0.81689999999999996</v>
      </c>
      <c r="F155" s="1000">
        <v>0.81689999999999996</v>
      </c>
      <c r="G155" s="1000">
        <v>0.81689999999999996</v>
      </c>
      <c r="H155" s="1000">
        <v>0.81689999999999996</v>
      </c>
      <c r="I155" s="1000">
        <v>0.73270000000000002</v>
      </c>
      <c r="J155" s="1000">
        <v>0.73270000000000002</v>
      </c>
      <c r="K155" s="1000">
        <v>0.73270000000000002</v>
      </c>
      <c r="L155" s="1000">
        <v>0.73270000000000002</v>
      </c>
      <c r="M155" s="1000">
        <v>0.73270000000000002</v>
      </c>
    </row>
    <row r="156" spans="1:13">
      <c r="A156" s="991">
        <v>5.2</v>
      </c>
      <c r="B156" s="1000">
        <v>0.91190000000000004</v>
      </c>
      <c r="C156" s="1000">
        <v>0.91190000000000004</v>
      </c>
      <c r="D156" s="1000">
        <v>0.81359999999999999</v>
      </c>
      <c r="E156" s="1000">
        <v>0.81359999999999999</v>
      </c>
      <c r="F156" s="1000">
        <v>0.81359999999999999</v>
      </c>
      <c r="G156" s="1000">
        <v>0.81359999999999999</v>
      </c>
      <c r="H156" s="1000">
        <v>0.81359999999999999</v>
      </c>
      <c r="I156" s="1000">
        <v>0.72889999999999999</v>
      </c>
      <c r="J156" s="1000">
        <v>0.72889999999999999</v>
      </c>
      <c r="K156" s="1000">
        <v>0.72889999999999999</v>
      </c>
      <c r="L156" s="1000">
        <v>0.72889999999999999</v>
      </c>
      <c r="M156" s="1000">
        <v>0.72889999999999999</v>
      </c>
    </row>
    <row r="157" spans="1:13">
      <c r="A157" s="991">
        <v>5.3</v>
      </c>
      <c r="B157" s="1000">
        <v>0.90880000000000005</v>
      </c>
      <c r="C157" s="1000">
        <v>0.90880000000000005</v>
      </c>
      <c r="D157" s="1000">
        <v>0.8105</v>
      </c>
      <c r="E157" s="1000">
        <v>0.8105</v>
      </c>
      <c r="F157" s="1000">
        <v>0.8105</v>
      </c>
      <c r="G157" s="1000">
        <v>0.8105</v>
      </c>
      <c r="H157" s="1000">
        <v>0.8105</v>
      </c>
      <c r="I157" s="1000">
        <v>0.72529999999999994</v>
      </c>
      <c r="J157" s="1000">
        <v>0.72529999999999994</v>
      </c>
      <c r="K157" s="1000">
        <v>0.72529999999999994</v>
      </c>
      <c r="L157" s="1000">
        <v>0.72529999999999994</v>
      </c>
      <c r="M157" s="1000">
        <v>0.72529999999999994</v>
      </c>
    </row>
    <row r="158" spans="1:13">
      <c r="A158" s="991">
        <v>5.4</v>
      </c>
      <c r="B158" s="1000">
        <v>0.90580000000000005</v>
      </c>
      <c r="C158" s="1000">
        <v>0.90580000000000005</v>
      </c>
      <c r="D158" s="1000">
        <v>0.8075</v>
      </c>
      <c r="E158" s="1000">
        <v>0.8075</v>
      </c>
      <c r="F158" s="1000">
        <v>0.8075</v>
      </c>
      <c r="G158" s="1000">
        <v>0.8075</v>
      </c>
      <c r="H158" s="1000">
        <v>0.8075</v>
      </c>
      <c r="I158" s="1000">
        <v>0.7218</v>
      </c>
      <c r="J158" s="1000">
        <v>0.7218</v>
      </c>
      <c r="K158" s="1000">
        <v>0.7218</v>
      </c>
      <c r="L158" s="1000">
        <v>0.7218</v>
      </c>
      <c r="M158" s="1000">
        <v>0.7218</v>
      </c>
    </row>
    <row r="159" spans="1:13">
      <c r="A159" s="991">
        <v>5.5</v>
      </c>
      <c r="B159" s="1000">
        <v>0.90290000000000004</v>
      </c>
      <c r="C159" s="1000">
        <v>0.90290000000000004</v>
      </c>
      <c r="D159" s="1000">
        <v>0.80469999999999997</v>
      </c>
      <c r="E159" s="1000">
        <v>0.80469999999999997</v>
      </c>
      <c r="F159" s="1000">
        <v>0.80469999999999997</v>
      </c>
      <c r="G159" s="1000">
        <v>0.80469999999999997</v>
      </c>
      <c r="H159" s="1000">
        <v>0.80469999999999997</v>
      </c>
      <c r="I159" s="1000">
        <v>0.71840000000000004</v>
      </c>
      <c r="J159" s="1000">
        <v>0.71840000000000004</v>
      </c>
      <c r="K159" s="1000">
        <v>0.71840000000000004</v>
      </c>
      <c r="L159" s="1000">
        <v>0.71840000000000004</v>
      </c>
      <c r="M159" s="1000">
        <v>0.71840000000000004</v>
      </c>
    </row>
    <row r="160" spans="1:13">
      <c r="A160" s="991">
        <v>5.6</v>
      </c>
      <c r="B160" s="1000">
        <v>0.90010000000000001</v>
      </c>
      <c r="C160" s="1000">
        <v>0.90010000000000001</v>
      </c>
      <c r="D160" s="1000">
        <v>0.80200000000000005</v>
      </c>
      <c r="E160" s="1000">
        <v>0.80200000000000005</v>
      </c>
      <c r="F160" s="1000">
        <v>0.80200000000000005</v>
      </c>
      <c r="G160" s="1000">
        <v>0.80200000000000005</v>
      </c>
      <c r="H160" s="1000">
        <v>0.80200000000000005</v>
      </c>
      <c r="I160" s="1000">
        <v>0.71509999999999996</v>
      </c>
      <c r="J160" s="1000">
        <v>0.71509999999999996</v>
      </c>
      <c r="K160" s="1000">
        <v>0.71509999999999996</v>
      </c>
      <c r="L160" s="1000">
        <v>0.71509999999999996</v>
      </c>
      <c r="M160" s="1000">
        <v>0.71509999999999996</v>
      </c>
    </row>
    <row r="161" spans="1:13">
      <c r="A161" s="1015">
        <v>5.7</v>
      </c>
      <c r="B161" s="1000">
        <v>0.89749999999999996</v>
      </c>
      <c r="C161" s="1000">
        <v>0.89749999999999996</v>
      </c>
      <c r="D161" s="1000">
        <v>0.79930000000000001</v>
      </c>
      <c r="E161" s="1000">
        <v>0.79930000000000001</v>
      </c>
      <c r="F161" s="1000">
        <v>0.79930000000000001</v>
      </c>
      <c r="G161" s="1000">
        <v>0.79930000000000001</v>
      </c>
      <c r="H161" s="1000">
        <v>0.79930000000000001</v>
      </c>
      <c r="I161" s="1000">
        <v>0.71189999999999998</v>
      </c>
      <c r="J161" s="1000">
        <v>0.71189999999999998</v>
      </c>
      <c r="K161" s="1000">
        <v>0.71189999999999998</v>
      </c>
      <c r="L161" s="1000">
        <v>0.71189999999999998</v>
      </c>
      <c r="M161" s="1000">
        <v>0.71189999999999998</v>
      </c>
    </row>
    <row r="162" spans="1:13">
      <c r="A162" s="991">
        <v>5.8</v>
      </c>
      <c r="B162" s="1000">
        <v>0.89500000000000002</v>
      </c>
      <c r="C162" s="1000">
        <v>0.89500000000000002</v>
      </c>
      <c r="D162" s="1000">
        <v>0.79679999999999995</v>
      </c>
      <c r="E162" s="1000">
        <v>0.79679999999999995</v>
      </c>
      <c r="F162" s="1000">
        <v>0.79679999999999995</v>
      </c>
      <c r="G162" s="1000">
        <v>0.79679999999999995</v>
      </c>
      <c r="H162" s="1000">
        <v>0.79679999999999995</v>
      </c>
      <c r="I162" s="1000">
        <v>0.70879999999999999</v>
      </c>
      <c r="J162" s="1000">
        <v>0.70879999999999999</v>
      </c>
      <c r="K162" s="1000">
        <v>0.70879999999999999</v>
      </c>
      <c r="L162" s="1000">
        <v>0.70879999999999999</v>
      </c>
      <c r="M162" s="1000">
        <v>0.70879999999999999</v>
      </c>
    </row>
    <row r="163" spans="1:13">
      <c r="A163" s="991">
        <v>5.9</v>
      </c>
      <c r="B163" s="1000">
        <v>0.89259999999999995</v>
      </c>
      <c r="C163" s="1000">
        <v>0.89259999999999995</v>
      </c>
      <c r="D163" s="1000">
        <v>0.7944</v>
      </c>
      <c r="E163" s="1000">
        <v>0.7944</v>
      </c>
      <c r="F163" s="1000">
        <v>0.7944</v>
      </c>
      <c r="G163" s="1000">
        <v>0.7944</v>
      </c>
      <c r="H163" s="1000">
        <v>0.7944</v>
      </c>
      <c r="I163" s="1000">
        <v>0.70579999999999998</v>
      </c>
      <c r="J163" s="1000">
        <v>0.70579999999999998</v>
      </c>
      <c r="K163" s="1000">
        <v>0.70579999999999998</v>
      </c>
      <c r="L163" s="1000">
        <v>0.70579999999999998</v>
      </c>
      <c r="M163" s="1000">
        <v>0.70579999999999998</v>
      </c>
    </row>
    <row r="164" spans="1:13">
      <c r="A164" s="991">
        <v>6</v>
      </c>
      <c r="B164" s="1000">
        <v>0.89029999999999998</v>
      </c>
      <c r="C164" s="1000">
        <v>0.89029999999999998</v>
      </c>
      <c r="D164" s="1000">
        <v>0.79200000000000004</v>
      </c>
      <c r="E164" s="1000">
        <v>0.79200000000000004</v>
      </c>
      <c r="F164" s="1000">
        <v>0.79200000000000004</v>
      </c>
      <c r="G164" s="1000">
        <v>0.79200000000000004</v>
      </c>
      <c r="H164" s="1000">
        <v>0.79200000000000004</v>
      </c>
      <c r="I164" s="1000">
        <v>0.70289999999999997</v>
      </c>
      <c r="J164" s="1000">
        <v>0.70289999999999997</v>
      </c>
      <c r="K164" s="1000">
        <v>0.70289999999999997</v>
      </c>
      <c r="L164" s="1000">
        <v>0.70289999999999997</v>
      </c>
      <c r="M164" s="1000">
        <v>0.70289999999999997</v>
      </c>
    </row>
    <row r="165" spans="1:13">
      <c r="A165" s="991">
        <v>6.1</v>
      </c>
      <c r="B165" s="1000">
        <v>0.8881</v>
      </c>
      <c r="C165" s="1000">
        <v>0.8881</v>
      </c>
      <c r="D165" s="1000">
        <v>0.78979999999999995</v>
      </c>
      <c r="E165" s="1000">
        <v>0.78979999999999995</v>
      </c>
      <c r="F165" s="1000">
        <v>0.78979999999999995</v>
      </c>
      <c r="G165" s="1000">
        <v>0.78979999999999995</v>
      </c>
      <c r="H165" s="1000">
        <v>0.78979999999999995</v>
      </c>
      <c r="I165" s="1000">
        <v>0.70009999999999994</v>
      </c>
      <c r="J165" s="1000">
        <v>0.70009999999999994</v>
      </c>
      <c r="K165" s="1000">
        <v>0.70009999999999994</v>
      </c>
      <c r="L165" s="1000">
        <v>0.70009999999999994</v>
      </c>
      <c r="M165" s="1000">
        <v>0.70009999999999994</v>
      </c>
    </row>
    <row r="166" spans="1:13">
      <c r="A166" s="991">
        <v>6.2</v>
      </c>
      <c r="B166" s="1000">
        <v>0.88600000000000001</v>
      </c>
      <c r="C166" s="1000">
        <v>0.88600000000000001</v>
      </c>
      <c r="D166" s="1000">
        <v>0.78759999999999997</v>
      </c>
      <c r="E166" s="1000">
        <v>0.78759999999999997</v>
      </c>
      <c r="F166" s="1000">
        <v>0.78759999999999997</v>
      </c>
      <c r="G166" s="1000">
        <v>0.78759999999999997</v>
      </c>
      <c r="H166" s="1000">
        <v>0.78759999999999997</v>
      </c>
      <c r="I166" s="1000">
        <v>0.69740000000000002</v>
      </c>
      <c r="J166" s="1000">
        <v>0.69740000000000002</v>
      </c>
      <c r="K166" s="1000">
        <v>0.69740000000000002</v>
      </c>
      <c r="L166" s="1000">
        <v>0.69740000000000002</v>
      </c>
      <c r="M166" s="1000">
        <v>0.69740000000000002</v>
      </c>
    </row>
    <row r="167" spans="1:13">
      <c r="A167" s="991">
        <v>6.3</v>
      </c>
      <c r="B167" s="1000">
        <v>0.88390000000000002</v>
      </c>
      <c r="C167" s="1000">
        <v>0.88390000000000002</v>
      </c>
      <c r="D167" s="1000">
        <v>0.78549999999999998</v>
      </c>
      <c r="E167" s="1000">
        <v>0.78549999999999998</v>
      </c>
      <c r="F167" s="1000">
        <v>0.78549999999999998</v>
      </c>
      <c r="G167" s="1000">
        <v>0.78549999999999998</v>
      </c>
      <c r="H167" s="1000">
        <v>0.78549999999999998</v>
      </c>
      <c r="I167" s="1000">
        <v>0.69479999999999997</v>
      </c>
      <c r="J167" s="1000">
        <v>0.69479999999999997</v>
      </c>
      <c r="K167" s="1000">
        <v>0.69479999999999997</v>
      </c>
      <c r="L167" s="1000">
        <v>0.69479999999999997</v>
      </c>
      <c r="M167" s="1000">
        <v>0.69479999999999997</v>
      </c>
    </row>
    <row r="168" spans="1:13">
      <c r="A168" s="991">
        <v>6.4</v>
      </c>
      <c r="B168" s="1000">
        <v>0.88190000000000002</v>
      </c>
      <c r="C168" s="1000">
        <v>0.88190000000000002</v>
      </c>
      <c r="D168" s="1000">
        <v>0.78339999999999999</v>
      </c>
      <c r="E168" s="1000">
        <v>0.78339999999999999</v>
      </c>
      <c r="F168" s="1000">
        <v>0.78339999999999999</v>
      </c>
      <c r="G168" s="1000">
        <v>0.78339999999999999</v>
      </c>
      <c r="H168" s="1000">
        <v>0.78339999999999999</v>
      </c>
      <c r="I168" s="1000">
        <v>0.69230000000000003</v>
      </c>
      <c r="J168" s="1000">
        <v>0.69230000000000003</v>
      </c>
      <c r="K168" s="1000">
        <v>0.69230000000000003</v>
      </c>
      <c r="L168" s="1000">
        <v>0.69230000000000003</v>
      </c>
      <c r="M168" s="1000">
        <v>0.69230000000000003</v>
      </c>
    </row>
    <row r="169" spans="1:13">
      <c r="A169" s="991">
        <v>6.5</v>
      </c>
      <c r="B169" s="1000">
        <v>0.88</v>
      </c>
      <c r="C169" s="1000">
        <v>0.88</v>
      </c>
      <c r="D169" s="1000">
        <v>0.78139999999999998</v>
      </c>
      <c r="E169" s="1000">
        <v>0.78139999999999998</v>
      </c>
      <c r="F169" s="1000">
        <v>0.78139999999999998</v>
      </c>
      <c r="G169" s="1000">
        <v>0.78139999999999998</v>
      </c>
      <c r="H169" s="1000">
        <v>0.78139999999999998</v>
      </c>
      <c r="I169" s="1000">
        <v>0.68989999999999996</v>
      </c>
      <c r="J169" s="1000">
        <v>0.68989999999999996</v>
      </c>
      <c r="K169" s="1000">
        <v>0.68989999999999996</v>
      </c>
      <c r="L169" s="1000">
        <v>0.68989999999999996</v>
      </c>
      <c r="M169" s="1000">
        <v>0.68989999999999996</v>
      </c>
    </row>
    <row r="170" spans="1:13">
      <c r="A170" s="991">
        <v>6.6</v>
      </c>
      <c r="B170" s="1000">
        <v>0.87809999999999999</v>
      </c>
      <c r="C170" s="1000">
        <v>0.87809999999999999</v>
      </c>
      <c r="D170" s="1000">
        <v>0.77949999999999997</v>
      </c>
      <c r="E170" s="1000">
        <v>0.77949999999999997</v>
      </c>
      <c r="F170" s="1000">
        <v>0.77949999999999997</v>
      </c>
      <c r="G170" s="1000">
        <v>0.77949999999999997</v>
      </c>
      <c r="H170" s="1000">
        <v>0.77949999999999997</v>
      </c>
      <c r="I170" s="1000">
        <v>0.68759999999999999</v>
      </c>
      <c r="J170" s="1000">
        <v>0.68759999999999999</v>
      </c>
      <c r="K170" s="1000">
        <v>0.68759999999999999</v>
      </c>
      <c r="L170" s="1000">
        <v>0.68759999999999999</v>
      </c>
      <c r="M170" s="1000">
        <v>0.68759999999999999</v>
      </c>
    </row>
    <row r="171" spans="1:13">
      <c r="A171" s="991">
        <v>6.7</v>
      </c>
      <c r="B171" s="1000">
        <v>0.87629999999999997</v>
      </c>
      <c r="C171" s="1000">
        <v>0.87629999999999997</v>
      </c>
      <c r="D171" s="1000">
        <v>0.77759999999999996</v>
      </c>
      <c r="E171" s="1000">
        <v>0.77759999999999996</v>
      </c>
      <c r="F171" s="1000">
        <v>0.77759999999999996</v>
      </c>
      <c r="G171" s="1000">
        <v>0.77759999999999996</v>
      </c>
      <c r="H171" s="1000">
        <v>0.77759999999999996</v>
      </c>
      <c r="I171" s="1000">
        <v>0.68530000000000002</v>
      </c>
      <c r="J171" s="1000">
        <v>0.68530000000000002</v>
      </c>
      <c r="K171" s="1000">
        <v>0.68530000000000002</v>
      </c>
      <c r="L171" s="1000">
        <v>0.68530000000000002</v>
      </c>
      <c r="M171" s="1000">
        <v>0.68530000000000002</v>
      </c>
    </row>
    <row r="172" spans="1:13">
      <c r="A172" s="991">
        <v>6.8</v>
      </c>
      <c r="B172" s="1000">
        <v>0.87450000000000006</v>
      </c>
      <c r="C172" s="1000">
        <v>0.87450000000000006</v>
      </c>
      <c r="D172" s="1000">
        <v>0.77569999999999995</v>
      </c>
      <c r="E172" s="1000">
        <v>0.77569999999999995</v>
      </c>
      <c r="F172" s="1000">
        <v>0.77569999999999995</v>
      </c>
      <c r="G172" s="1000">
        <v>0.77569999999999995</v>
      </c>
      <c r="H172" s="1000">
        <v>0.77569999999999995</v>
      </c>
      <c r="I172" s="1000">
        <v>0.68310000000000004</v>
      </c>
      <c r="J172" s="1000">
        <v>0.68310000000000004</v>
      </c>
      <c r="K172" s="1000">
        <v>0.68310000000000004</v>
      </c>
      <c r="L172" s="1000">
        <v>0.68310000000000004</v>
      </c>
      <c r="M172" s="1000">
        <v>0.68310000000000004</v>
      </c>
    </row>
    <row r="173" spans="1:13">
      <c r="A173" s="991">
        <v>6.9</v>
      </c>
      <c r="B173" s="1000">
        <v>0.87280000000000002</v>
      </c>
      <c r="C173" s="1000">
        <v>0.87280000000000002</v>
      </c>
      <c r="D173" s="1000">
        <v>0.77390000000000003</v>
      </c>
      <c r="E173" s="1000">
        <v>0.77390000000000003</v>
      </c>
      <c r="F173" s="1000">
        <v>0.77390000000000003</v>
      </c>
      <c r="G173" s="1000">
        <v>0.77390000000000003</v>
      </c>
      <c r="H173" s="1000">
        <v>0.77390000000000003</v>
      </c>
      <c r="I173" s="1000">
        <v>0.68089999999999995</v>
      </c>
      <c r="J173" s="1000">
        <v>0.68089999999999995</v>
      </c>
      <c r="K173" s="1000">
        <v>0.68089999999999995</v>
      </c>
      <c r="L173" s="1000">
        <v>0.68089999999999995</v>
      </c>
      <c r="M173" s="1000">
        <v>0.68089999999999995</v>
      </c>
    </row>
    <row r="174" spans="1:13">
      <c r="A174" s="991">
        <v>7</v>
      </c>
      <c r="B174" s="1000">
        <v>0.87109999999999999</v>
      </c>
      <c r="C174" s="1000">
        <v>0.87109999999999999</v>
      </c>
      <c r="D174" s="1000">
        <v>0.77210000000000001</v>
      </c>
      <c r="E174" s="1000">
        <v>0.77210000000000001</v>
      </c>
      <c r="F174" s="1000">
        <v>0.77210000000000001</v>
      </c>
      <c r="G174" s="1000">
        <v>0.77210000000000001</v>
      </c>
      <c r="H174" s="1000">
        <v>0.77210000000000001</v>
      </c>
      <c r="I174" s="1000">
        <v>0.67879999999999996</v>
      </c>
      <c r="J174" s="1000">
        <v>0.67879999999999996</v>
      </c>
      <c r="K174" s="1000">
        <v>0.67879999999999996</v>
      </c>
      <c r="L174" s="1000">
        <v>0.67879999999999996</v>
      </c>
      <c r="M174" s="1000">
        <v>0.67879999999999996</v>
      </c>
    </row>
    <row r="175" spans="1:13">
      <c r="A175" s="991">
        <v>7.1</v>
      </c>
      <c r="B175" s="1000">
        <v>0.86939999999999995</v>
      </c>
      <c r="C175" s="1000">
        <v>0.86939999999999995</v>
      </c>
      <c r="D175" s="1000">
        <v>0.77039999999999997</v>
      </c>
      <c r="E175" s="1000">
        <v>0.77039999999999997</v>
      </c>
      <c r="F175" s="1000">
        <v>0.77039999999999997</v>
      </c>
      <c r="G175" s="1000">
        <v>0.77039999999999997</v>
      </c>
      <c r="H175" s="1000">
        <v>0.77039999999999997</v>
      </c>
      <c r="I175" s="1000">
        <v>0.67669999999999997</v>
      </c>
      <c r="J175" s="1000">
        <v>0.67669999999999997</v>
      </c>
      <c r="K175" s="1000">
        <v>0.67669999999999997</v>
      </c>
      <c r="L175" s="1000">
        <v>0.67669999999999997</v>
      </c>
      <c r="M175" s="1000">
        <v>0.67669999999999997</v>
      </c>
    </row>
    <row r="176" spans="1:13">
      <c r="A176" s="991">
        <v>7.2</v>
      </c>
      <c r="B176" s="1000">
        <v>0.86770000000000003</v>
      </c>
      <c r="C176" s="1000">
        <v>0.86770000000000003</v>
      </c>
      <c r="D176" s="1000">
        <v>0.76870000000000005</v>
      </c>
      <c r="E176" s="1000">
        <v>0.76870000000000005</v>
      </c>
      <c r="F176" s="1000">
        <v>0.76870000000000005</v>
      </c>
      <c r="G176" s="1000">
        <v>0.76870000000000005</v>
      </c>
      <c r="H176" s="1000">
        <v>0.76870000000000005</v>
      </c>
      <c r="I176" s="1000">
        <v>0.67469999999999997</v>
      </c>
      <c r="J176" s="1000">
        <v>0.67469999999999997</v>
      </c>
      <c r="K176" s="1000">
        <v>0.67469999999999997</v>
      </c>
      <c r="L176" s="1000">
        <v>0.67469999999999997</v>
      </c>
      <c r="M176" s="1000">
        <v>0.67469999999999997</v>
      </c>
    </row>
    <row r="177" spans="1:13">
      <c r="A177" s="991">
        <v>7.3</v>
      </c>
      <c r="B177" s="1000">
        <v>0.86609999999999998</v>
      </c>
      <c r="C177" s="1000">
        <v>0.86609999999999998</v>
      </c>
      <c r="D177" s="1000">
        <v>0.76700000000000002</v>
      </c>
      <c r="E177" s="1000">
        <v>0.76700000000000002</v>
      </c>
      <c r="F177" s="1000">
        <v>0.76700000000000002</v>
      </c>
      <c r="G177" s="1000">
        <v>0.76700000000000002</v>
      </c>
      <c r="H177" s="1000">
        <v>0.76700000000000002</v>
      </c>
      <c r="I177" s="1000">
        <v>0.67269999999999996</v>
      </c>
      <c r="J177" s="1000">
        <v>0.67269999999999996</v>
      </c>
      <c r="K177" s="1000">
        <v>0.67269999999999996</v>
      </c>
      <c r="L177" s="1000">
        <v>0.67269999999999996</v>
      </c>
      <c r="M177" s="1000">
        <v>0.67269999999999996</v>
      </c>
    </row>
    <row r="178" spans="1:13">
      <c r="A178" s="991">
        <v>7.4</v>
      </c>
      <c r="B178" s="1000">
        <v>0.86450000000000005</v>
      </c>
      <c r="C178" s="1000">
        <v>0.86450000000000005</v>
      </c>
      <c r="D178" s="1000">
        <v>0.76529999999999998</v>
      </c>
      <c r="E178" s="1000">
        <v>0.76529999999999998</v>
      </c>
      <c r="F178" s="1000">
        <v>0.76529999999999998</v>
      </c>
      <c r="G178" s="1000">
        <v>0.76529999999999998</v>
      </c>
      <c r="H178" s="1000">
        <v>0.76529999999999998</v>
      </c>
      <c r="I178" s="1000">
        <v>0.67079999999999995</v>
      </c>
      <c r="J178" s="1000">
        <v>0.67079999999999995</v>
      </c>
      <c r="K178" s="1000">
        <v>0.67079999999999995</v>
      </c>
      <c r="L178" s="1000">
        <v>0.67079999999999995</v>
      </c>
      <c r="M178" s="1000">
        <v>0.67079999999999995</v>
      </c>
    </row>
    <row r="179" spans="1:13">
      <c r="A179" s="991">
        <v>7.5</v>
      </c>
      <c r="B179" s="1000">
        <v>0.86299999999999999</v>
      </c>
      <c r="C179" s="1000">
        <v>0.86299999999999999</v>
      </c>
      <c r="D179" s="1000">
        <v>0.76359999999999995</v>
      </c>
      <c r="E179" s="1000">
        <v>0.76359999999999995</v>
      </c>
      <c r="F179" s="1000">
        <v>0.76359999999999995</v>
      </c>
      <c r="G179" s="1000">
        <v>0.76359999999999995</v>
      </c>
      <c r="H179" s="1000">
        <v>0.76359999999999995</v>
      </c>
      <c r="I179" s="1000">
        <v>0.66890000000000005</v>
      </c>
      <c r="J179" s="1000">
        <v>0.66890000000000005</v>
      </c>
      <c r="K179" s="1000">
        <v>0.66890000000000005</v>
      </c>
      <c r="L179" s="1000">
        <v>0.66890000000000005</v>
      </c>
      <c r="M179" s="1000">
        <v>0.66890000000000005</v>
      </c>
    </row>
    <row r="180" spans="1:13">
      <c r="A180" s="991">
        <v>7.6</v>
      </c>
      <c r="B180" s="1000">
        <v>0.86150000000000004</v>
      </c>
      <c r="C180" s="1000">
        <v>0.86150000000000004</v>
      </c>
      <c r="D180" s="1000">
        <v>0.76200000000000001</v>
      </c>
      <c r="E180" s="1000">
        <v>0.76200000000000001</v>
      </c>
      <c r="F180" s="1000">
        <v>0.76200000000000001</v>
      </c>
      <c r="G180" s="1000">
        <v>0.76200000000000001</v>
      </c>
      <c r="H180" s="1000">
        <v>0.76200000000000001</v>
      </c>
      <c r="I180" s="1000">
        <v>0.66700000000000004</v>
      </c>
      <c r="J180" s="1000">
        <v>0.66700000000000004</v>
      </c>
      <c r="K180" s="1000">
        <v>0.66700000000000004</v>
      </c>
      <c r="L180" s="1000">
        <v>0.66700000000000004</v>
      </c>
      <c r="M180" s="1000">
        <v>0.66700000000000004</v>
      </c>
    </row>
    <row r="181" spans="1:13">
      <c r="A181" s="991">
        <v>7.7</v>
      </c>
      <c r="B181" s="1000">
        <v>0.86</v>
      </c>
      <c r="C181" s="1000">
        <v>0.86</v>
      </c>
      <c r="D181" s="1000">
        <v>0.76039999999999996</v>
      </c>
      <c r="E181" s="1000">
        <v>0.76039999999999996</v>
      </c>
      <c r="F181" s="1000">
        <v>0.76039999999999996</v>
      </c>
      <c r="G181" s="1000">
        <v>0.76039999999999996</v>
      </c>
      <c r="H181" s="1000">
        <v>0.76039999999999996</v>
      </c>
      <c r="I181" s="1000">
        <v>0.66510000000000002</v>
      </c>
      <c r="J181" s="1000">
        <v>0.66510000000000002</v>
      </c>
      <c r="K181" s="1000">
        <v>0.66510000000000002</v>
      </c>
      <c r="L181" s="1000">
        <v>0.66510000000000002</v>
      </c>
      <c r="M181" s="1000">
        <v>0.66510000000000002</v>
      </c>
    </row>
    <row r="182" spans="1:13">
      <c r="A182" s="991">
        <v>7.8</v>
      </c>
      <c r="B182" s="1000">
        <v>0.85850000000000004</v>
      </c>
      <c r="C182" s="1000">
        <v>0.85850000000000004</v>
      </c>
      <c r="D182" s="1000">
        <v>0.75880000000000003</v>
      </c>
      <c r="E182" s="1000">
        <v>0.75880000000000003</v>
      </c>
      <c r="F182" s="1000">
        <v>0.75880000000000003</v>
      </c>
      <c r="G182" s="1000">
        <v>0.75880000000000003</v>
      </c>
      <c r="H182" s="1000">
        <v>0.75880000000000003</v>
      </c>
      <c r="I182" s="1000">
        <v>0.6633</v>
      </c>
      <c r="J182" s="1000">
        <v>0.6633</v>
      </c>
      <c r="K182" s="1000">
        <v>0.6633</v>
      </c>
      <c r="L182" s="1000">
        <v>0.6633</v>
      </c>
      <c r="M182" s="1000">
        <v>0.6633</v>
      </c>
    </row>
    <row r="183" spans="1:13">
      <c r="A183" s="991">
        <v>7.9</v>
      </c>
      <c r="B183" s="1000">
        <v>0.85699999999999998</v>
      </c>
      <c r="C183" s="1000">
        <v>0.85699999999999998</v>
      </c>
      <c r="D183" s="1000">
        <v>0.75719999999999998</v>
      </c>
      <c r="E183" s="1000">
        <v>0.75719999999999998</v>
      </c>
      <c r="F183" s="1000">
        <v>0.75719999999999998</v>
      </c>
      <c r="G183" s="1000">
        <v>0.75719999999999998</v>
      </c>
      <c r="H183" s="1000">
        <v>0.75719999999999998</v>
      </c>
      <c r="I183" s="1000">
        <v>0.66149999999999998</v>
      </c>
      <c r="J183" s="1000">
        <v>0.66149999999999998</v>
      </c>
      <c r="K183" s="1000">
        <v>0.66149999999999998</v>
      </c>
      <c r="L183" s="1000">
        <v>0.66149999999999998</v>
      </c>
      <c r="M183" s="1000">
        <v>0.66149999999999998</v>
      </c>
    </row>
    <row r="184" spans="1:13">
      <c r="A184" s="991">
        <v>8</v>
      </c>
      <c r="B184" s="1000">
        <v>0.85550000000000004</v>
      </c>
      <c r="C184" s="1000">
        <v>0.85550000000000004</v>
      </c>
      <c r="D184" s="1000">
        <v>0.75570000000000004</v>
      </c>
      <c r="E184" s="1000">
        <v>0.75570000000000004</v>
      </c>
      <c r="F184" s="1000">
        <v>0.75570000000000004</v>
      </c>
      <c r="G184" s="1000">
        <v>0.75570000000000004</v>
      </c>
      <c r="H184" s="1000">
        <v>0.75570000000000004</v>
      </c>
      <c r="I184" s="1000">
        <v>0.65969999999999995</v>
      </c>
      <c r="J184" s="1000">
        <v>0.65969999999999995</v>
      </c>
      <c r="K184" s="1000">
        <v>0.65969999999999995</v>
      </c>
      <c r="L184" s="1000">
        <v>0.65969999999999995</v>
      </c>
      <c r="M184" s="1000">
        <v>0.65969999999999995</v>
      </c>
    </row>
    <row r="185" spans="1:13">
      <c r="A185" s="991">
        <v>8.1</v>
      </c>
      <c r="B185" s="1000">
        <v>0.85399999999999998</v>
      </c>
      <c r="C185" s="1000">
        <v>0.85399999999999998</v>
      </c>
      <c r="D185" s="1000">
        <v>0.75419999999999998</v>
      </c>
      <c r="E185" s="1000">
        <v>0.75419999999999998</v>
      </c>
      <c r="F185" s="1000">
        <v>0.75419999999999998</v>
      </c>
      <c r="G185" s="1000">
        <v>0.75419999999999998</v>
      </c>
      <c r="H185" s="1000">
        <v>0.75419999999999998</v>
      </c>
      <c r="I185" s="1000">
        <v>0.65800000000000003</v>
      </c>
      <c r="J185" s="1000">
        <v>0.65800000000000003</v>
      </c>
      <c r="K185" s="1000">
        <v>0.65800000000000003</v>
      </c>
      <c r="L185" s="1000">
        <v>0.65800000000000003</v>
      </c>
      <c r="M185" s="1000">
        <v>0.65800000000000003</v>
      </c>
    </row>
    <row r="186" spans="1:13">
      <c r="A186" s="991">
        <v>8.1999999999999993</v>
      </c>
      <c r="B186" s="1000">
        <v>0.85250000000000004</v>
      </c>
      <c r="C186" s="1000">
        <v>0.85250000000000004</v>
      </c>
      <c r="D186" s="1000">
        <v>0.75270000000000004</v>
      </c>
      <c r="E186" s="1000">
        <v>0.75270000000000004</v>
      </c>
      <c r="F186" s="1000">
        <v>0.75270000000000004</v>
      </c>
      <c r="G186" s="1000">
        <v>0.75270000000000004</v>
      </c>
      <c r="H186" s="1000">
        <v>0.75270000000000004</v>
      </c>
      <c r="I186" s="1000">
        <v>0.65629999999999999</v>
      </c>
      <c r="J186" s="1000">
        <v>0.65629999999999999</v>
      </c>
      <c r="K186" s="1000">
        <v>0.65629999999999999</v>
      </c>
      <c r="L186" s="1000">
        <v>0.65629999999999999</v>
      </c>
      <c r="M186" s="1000">
        <v>0.65629999999999999</v>
      </c>
    </row>
    <row r="187" spans="1:13">
      <c r="A187" s="991">
        <v>8.3000000000000007</v>
      </c>
      <c r="B187" s="1000">
        <v>0.85109999999999997</v>
      </c>
      <c r="C187" s="1000">
        <v>0.85109999999999997</v>
      </c>
      <c r="D187" s="1000">
        <v>0.75119999999999998</v>
      </c>
      <c r="E187" s="1000">
        <v>0.75119999999999998</v>
      </c>
      <c r="F187" s="1000">
        <v>0.75119999999999998</v>
      </c>
      <c r="G187" s="1000">
        <v>0.75119999999999998</v>
      </c>
      <c r="H187" s="1000">
        <v>0.75119999999999998</v>
      </c>
      <c r="I187" s="1000">
        <v>0.65459999999999996</v>
      </c>
      <c r="J187" s="1000">
        <v>0.65459999999999996</v>
      </c>
      <c r="K187" s="1000">
        <v>0.65459999999999996</v>
      </c>
      <c r="L187" s="1000">
        <v>0.65459999999999996</v>
      </c>
      <c r="M187" s="1000">
        <v>0.65459999999999996</v>
      </c>
    </row>
    <row r="188" spans="1:13">
      <c r="A188" s="991">
        <v>8.4</v>
      </c>
      <c r="B188" s="1000">
        <v>0.84970000000000001</v>
      </c>
      <c r="C188" s="1000">
        <v>0.84970000000000001</v>
      </c>
      <c r="D188" s="1000">
        <v>0.74970000000000003</v>
      </c>
      <c r="E188" s="1000">
        <v>0.74970000000000003</v>
      </c>
      <c r="F188" s="1000">
        <v>0.74970000000000003</v>
      </c>
      <c r="G188" s="1000">
        <v>0.74970000000000003</v>
      </c>
      <c r="H188" s="1000">
        <v>0.74970000000000003</v>
      </c>
      <c r="I188" s="1000">
        <v>0.65300000000000002</v>
      </c>
      <c r="J188" s="1000">
        <v>0.65300000000000002</v>
      </c>
      <c r="K188" s="1000">
        <v>0.65300000000000002</v>
      </c>
      <c r="L188" s="1000">
        <v>0.65300000000000002</v>
      </c>
      <c r="M188" s="1000">
        <v>0.65300000000000002</v>
      </c>
    </row>
    <row r="189" spans="1:13">
      <c r="A189" s="991">
        <v>8.5</v>
      </c>
      <c r="B189" s="1000">
        <v>0.84830000000000005</v>
      </c>
      <c r="C189" s="1000">
        <v>0.84830000000000005</v>
      </c>
      <c r="D189" s="1000">
        <v>0.74819999999999998</v>
      </c>
      <c r="E189" s="1000">
        <v>0.74819999999999998</v>
      </c>
      <c r="F189" s="1000">
        <v>0.74819999999999998</v>
      </c>
      <c r="G189" s="1000">
        <v>0.74819999999999998</v>
      </c>
      <c r="H189" s="1000">
        <v>0.74819999999999998</v>
      </c>
      <c r="I189" s="1000">
        <v>0.65139999999999998</v>
      </c>
      <c r="J189" s="1000">
        <v>0.65139999999999998</v>
      </c>
      <c r="K189" s="1000">
        <v>0.65139999999999998</v>
      </c>
      <c r="L189" s="1000">
        <v>0.65139999999999998</v>
      </c>
      <c r="M189" s="1000">
        <v>0.65139999999999998</v>
      </c>
    </row>
    <row r="190" spans="1:13">
      <c r="A190" s="991">
        <v>8.6</v>
      </c>
      <c r="B190" s="1000">
        <v>0.84689999999999999</v>
      </c>
      <c r="C190" s="1000">
        <v>0.84689999999999999</v>
      </c>
      <c r="D190" s="1000">
        <v>0.74670000000000003</v>
      </c>
      <c r="E190" s="1000">
        <v>0.74670000000000003</v>
      </c>
      <c r="F190" s="1000">
        <v>0.74670000000000003</v>
      </c>
      <c r="G190" s="1000">
        <v>0.74670000000000003</v>
      </c>
      <c r="H190" s="1000">
        <v>0.74670000000000003</v>
      </c>
      <c r="I190" s="1000">
        <v>0.64980000000000004</v>
      </c>
      <c r="J190" s="1000">
        <v>0.64980000000000004</v>
      </c>
      <c r="K190" s="1000">
        <v>0.64980000000000004</v>
      </c>
      <c r="L190" s="1000">
        <v>0.64980000000000004</v>
      </c>
      <c r="M190" s="1000">
        <v>0.64980000000000004</v>
      </c>
    </row>
    <row r="191" spans="1:13">
      <c r="A191" s="991">
        <v>8.6999999999999993</v>
      </c>
      <c r="B191" s="1000">
        <v>0.84550000000000003</v>
      </c>
      <c r="C191" s="1000">
        <v>0.84550000000000003</v>
      </c>
      <c r="D191" s="1000">
        <v>0.74519999999999997</v>
      </c>
      <c r="E191" s="1000">
        <v>0.74519999999999997</v>
      </c>
      <c r="F191" s="1000">
        <v>0.74519999999999997</v>
      </c>
      <c r="G191" s="1000">
        <v>0.74519999999999997</v>
      </c>
      <c r="H191" s="1000">
        <v>0.74519999999999997</v>
      </c>
      <c r="I191" s="1000">
        <v>0.6482</v>
      </c>
      <c r="J191" s="1000">
        <v>0.6482</v>
      </c>
      <c r="K191" s="1000">
        <v>0.6482</v>
      </c>
      <c r="L191" s="1000">
        <v>0.6482</v>
      </c>
      <c r="M191" s="1000">
        <v>0.6482</v>
      </c>
    </row>
    <row r="192" spans="1:13">
      <c r="A192" s="991">
        <v>8.8000000000000007</v>
      </c>
      <c r="B192" s="1000">
        <v>0.84409999999999996</v>
      </c>
      <c r="C192" s="1000">
        <v>0.84409999999999996</v>
      </c>
      <c r="D192" s="1000">
        <v>0.74370000000000003</v>
      </c>
      <c r="E192" s="1000">
        <v>0.74370000000000003</v>
      </c>
      <c r="F192" s="1000">
        <v>0.74370000000000003</v>
      </c>
      <c r="G192" s="1000">
        <v>0.74370000000000003</v>
      </c>
      <c r="H192" s="1000">
        <v>0.74370000000000003</v>
      </c>
      <c r="I192" s="1000">
        <v>0.64659999999999995</v>
      </c>
      <c r="J192" s="1000">
        <v>0.64659999999999995</v>
      </c>
      <c r="K192" s="1000">
        <v>0.64659999999999995</v>
      </c>
      <c r="L192" s="1000">
        <v>0.64659999999999995</v>
      </c>
      <c r="M192" s="1000">
        <v>0.64659999999999995</v>
      </c>
    </row>
    <row r="193" spans="1:13">
      <c r="A193" s="991">
        <v>8.9</v>
      </c>
      <c r="B193" s="1000">
        <v>0.84279999999999999</v>
      </c>
      <c r="C193" s="1000">
        <v>0.84279999999999999</v>
      </c>
      <c r="D193" s="1000">
        <v>0.74219999999999997</v>
      </c>
      <c r="E193" s="1000">
        <v>0.74219999999999997</v>
      </c>
      <c r="F193" s="1000">
        <v>0.74219999999999997</v>
      </c>
      <c r="G193" s="1000">
        <v>0.74219999999999997</v>
      </c>
      <c r="H193" s="1000">
        <v>0.74219999999999997</v>
      </c>
      <c r="I193" s="1000">
        <v>0.64500000000000002</v>
      </c>
      <c r="J193" s="1000">
        <v>0.64500000000000002</v>
      </c>
      <c r="K193" s="1000">
        <v>0.64500000000000002</v>
      </c>
      <c r="L193" s="1000">
        <v>0.64500000000000002</v>
      </c>
      <c r="M193" s="1000">
        <v>0.64500000000000002</v>
      </c>
    </row>
    <row r="194" spans="1:13">
      <c r="A194" s="1015">
        <v>9</v>
      </c>
      <c r="B194" s="1000">
        <v>0.84150000000000003</v>
      </c>
      <c r="C194" s="1000">
        <v>0.84150000000000003</v>
      </c>
      <c r="D194" s="1000">
        <v>0.74070000000000003</v>
      </c>
      <c r="E194" s="1000">
        <v>0.74070000000000003</v>
      </c>
      <c r="F194" s="1000">
        <v>0.74070000000000003</v>
      </c>
      <c r="G194" s="1000">
        <v>0.74070000000000003</v>
      </c>
      <c r="H194" s="1000">
        <v>0.74070000000000003</v>
      </c>
      <c r="I194" s="1000">
        <v>0.64349999999999996</v>
      </c>
      <c r="J194" s="1000">
        <v>0.64349999999999996</v>
      </c>
      <c r="K194" s="1000">
        <v>0.64349999999999996</v>
      </c>
      <c r="L194" s="1000">
        <v>0.64349999999999996</v>
      </c>
      <c r="M194" s="1000">
        <v>0.64349999999999996</v>
      </c>
    </row>
    <row r="195" spans="1:13">
      <c r="A195" s="1015">
        <v>9.1</v>
      </c>
      <c r="B195" s="1000">
        <v>0.84019999999999995</v>
      </c>
      <c r="C195" s="1000">
        <v>0.84019999999999995</v>
      </c>
      <c r="D195" s="1000">
        <v>0.73919999999999997</v>
      </c>
      <c r="E195" s="1000">
        <v>0.73919999999999997</v>
      </c>
      <c r="F195" s="1000">
        <v>0.73919999999999997</v>
      </c>
      <c r="G195" s="1000">
        <v>0.73919999999999997</v>
      </c>
      <c r="H195" s="1000">
        <v>0.73919999999999997</v>
      </c>
      <c r="I195" s="1000">
        <v>0.64200000000000002</v>
      </c>
      <c r="J195" s="1000">
        <v>0.64200000000000002</v>
      </c>
      <c r="K195" s="1000">
        <v>0.64200000000000002</v>
      </c>
      <c r="L195" s="1000">
        <v>0.64200000000000002</v>
      </c>
      <c r="M195" s="1000">
        <v>0.64200000000000002</v>
      </c>
    </row>
    <row r="196" spans="1:13">
      <c r="A196" s="1015">
        <v>9.1999999999999993</v>
      </c>
      <c r="B196" s="1000">
        <v>0.83889999999999998</v>
      </c>
      <c r="C196" s="1000">
        <v>0.83889999999999998</v>
      </c>
      <c r="D196" s="1000">
        <v>0.73770000000000002</v>
      </c>
      <c r="E196" s="1000">
        <v>0.73770000000000002</v>
      </c>
      <c r="F196" s="1000">
        <v>0.73770000000000002</v>
      </c>
      <c r="G196" s="1000">
        <v>0.73770000000000002</v>
      </c>
      <c r="H196" s="1000">
        <v>0.73770000000000002</v>
      </c>
      <c r="I196" s="1000">
        <v>0.64059999999999995</v>
      </c>
      <c r="J196" s="1000">
        <v>0.64059999999999995</v>
      </c>
      <c r="K196" s="1000">
        <v>0.64059999999999995</v>
      </c>
      <c r="L196" s="1000">
        <v>0.64059999999999995</v>
      </c>
      <c r="M196" s="1000">
        <v>0.64059999999999995</v>
      </c>
    </row>
    <row r="197" spans="1:13">
      <c r="A197" s="1015">
        <v>9.3000000000000007</v>
      </c>
      <c r="B197" s="1000">
        <v>0.83760000000000001</v>
      </c>
      <c r="C197" s="1000">
        <v>0.83760000000000001</v>
      </c>
      <c r="D197" s="1000">
        <v>0.73629999999999995</v>
      </c>
      <c r="E197" s="1000">
        <v>0.73629999999999995</v>
      </c>
      <c r="F197" s="1000">
        <v>0.73629999999999995</v>
      </c>
      <c r="G197" s="1000">
        <v>0.73629999999999995</v>
      </c>
      <c r="H197" s="1000">
        <v>0.73629999999999995</v>
      </c>
      <c r="I197" s="1000">
        <v>0.63919999999999999</v>
      </c>
      <c r="J197" s="1000">
        <v>0.63919999999999999</v>
      </c>
      <c r="K197" s="1000">
        <v>0.63919999999999999</v>
      </c>
      <c r="L197" s="1000">
        <v>0.63919999999999999</v>
      </c>
      <c r="M197" s="1000">
        <v>0.63919999999999999</v>
      </c>
    </row>
    <row r="198" spans="1:13">
      <c r="A198" s="1015">
        <v>9.4</v>
      </c>
      <c r="B198" s="1000">
        <v>0.83630000000000004</v>
      </c>
      <c r="C198" s="1000">
        <v>0.83630000000000004</v>
      </c>
      <c r="D198" s="1000">
        <v>0.7349</v>
      </c>
      <c r="E198" s="1000">
        <v>0.7349</v>
      </c>
      <c r="F198" s="1000">
        <v>0.7349</v>
      </c>
      <c r="G198" s="1000">
        <v>0.7349</v>
      </c>
      <c r="H198" s="1000">
        <v>0.7349</v>
      </c>
      <c r="I198" s="1000">
        <v>0.63780000000000003</v>
      </c>
      <c r="J198" s="1000">
        <v>0.63780000000000003</v>
      </c>
      <c r="K198" s="1000">
        <v>0.63780000000000003</v>
      </c>
      <c r="L198" s="1000">
        <v>0.63780000000000003</v>
      </c>
      <c r="M198" s="1000">
        <v>0.63780000000000003</v>
      </c>
    </row>
    <row r="199" spans="1:13">
      <c r="A199" s="1015">
        <v>9.5</v>
      </c>
      <c r="B199" s="1000">
        <v>0.83499999999999996</v>
      </c>
      <c r="C199" s="1000">
        <v>0.83499999999999996</v>
      </c>
      <c r="D199" s="1000">
        <v>0.73350000000000004</v>
      </c>
      <c r="E199" s="1000">
        <v>0.73350000000000004</v>
      </c>
      <c r="F199" s="1000">
        <v>0.73350000000000004</v>
      </c>
      <c r="G199" s="1000">
        <v>0.73350000000000004</v>
      </c>
      <c r="H199" s="1000">
        <v>0.73350000000000004</v>
      </c>
      <c r="I199" s="1000">
        <v>0.63639999999999997</v>
      </c>
      <c r="J199" s="1000">
        <v>0.63639999999999997</v>
      </c>
      <c r="K199" s="1000">
        <v>0.63639999999999997</v>
      </c>
      <c r="L199" s="1000">
        <v>0.63639999999999997</v>
      </c>
      <c r="M199" s="1000">
        <v>0.63639999999999997</v>
      </c>
    </row>
    <row r="200" spans="1:13">
      <c r="A200" s="1015">
        <v>9.6</v>
      </c>
      <c r="B200" s="1000">
        <v>0.83379999999999999</v>
      </c>
      <c r="C200" s="1000">
        <v>0.83379999999999999</v>
      </c>
      <c r="D200" s="1000">
        <v>0.73209999999999997</v>
      </c>
      <c r="E200" s="1000">
        <v>0.73209999999999997</v>
      </c>
      <c r="F200" s="1000">
        <v>0.73209999999999997</v>
      </c>
      <c r="G200" s="1000">
        <v>0.73209999999999997</v>
      </c>
      <c r="H200" s="1000">
        <v>0.73209999999999997</v>
      </c>
      <c r="I200" s="1000">
        <v>0.63500000000000001</v>
      </c>
      <c r="J200" s="1000">
        <v>0.63500000000000001</v>
      </c>
      <c r="K200" s="1000">
        <v>0.63500000000000001</v>
      </c>
      <c r="L200" s="1000">
        <v>0.63500000000000001</v>
      </c>
      <c r="M200" s="1000">
        <v>0.63500000000000001</v>
      </c>
    </row>
    <row r="201" spans="1:13">
      <c r="A201" s="1015">
        <v>9.6999999999999993</v>
      </c>
      <c r="B201" s="1000">
        <v>0.83260000000000001</v>
      </c>
      <c r="C201" s="1000">
        <v>0.83260000000000001</v>
      </c>
      <c r="D201" s="1000">
        <v>0.73070000000000002</v>
      </c>
      <c r="E201" s="1000">
        <v>0.73070000000000002</v>
      </c>
      <c r="F201" s="1000">
        <v>0.73070000000000002</v>
      </c>
      <c r="G201" s="1000">
        <v>0.73070000000000002</v>
      </c>
      <c r="H201" s="1000">
        <v>0.73070000000000002</v>
      </c>
      <c r="I201" s="1000">
        <v>0.63360000000000005</v>
      </c>
      <c r="J201" s="1000">
        <v>0.63360000000000005</v>
      </c>
      <c r="K201" s="1000">
        <v>0.63360000000000005</v>
      </c>
      <c r="L201" s="1000">
        <v>0.63360000000000005</v>
      </c>
      <c r="M201" s="1000">
        <v>0.63360000000000005</v>
      </c>
    </row>
    <row r="202" spans="1:13">
      <c r="A202" s="1015">
        <v>9.8000000000000007</v>
      </c>
      <c r="B202" s="1000">
        <v>0.83140000000000003</v>
      </c>
      <c r="C202" s="1000">
        <v>0.83140000000000003</v>
      </c>
      <c r="D202" s="1000">
        <v>0.72929999999999995</v>
      </c>
      <c r="E202" s="1000">
        <v>0.72929999999999995</v>
      </c>
      <c r="F202" s="1000">
        <v>0.72929999999999995</v>
      </c>
      <c r="G202" s="1000">
        <v>0.72929999999999995</v>
      </c>
      <c r="H202" s="1000">
        <v>0.72929999999999995</v>
      </c>
      <c r="I202" s="1000">
        <v>0.63219999999999998</v>
      </c>
      <c r="J202" s="1000">
        <v>0.63219999999999998</v>
      </c>
      <c r="K202" s="1000">
        <v>0.63219999999999998</v>
      </c>
      <c r="L202" s="1000">
        <v>0.63219999999999998</v>
      </c>
      <c r="M202" s="1000">
        <v>0.63219999999999998</v>
      </c>
    </row>
    <row r="203" spans="1:13">
      <c r="A203" s="1015">
        <v>9.9</v>
      </c>
      <c r="B203" s="1000">
        <v>0.83020000000000005</v>
      </c>
      <c r="C203" s="1000">
        <v>0.83020000000000005</v>
      </c>
      <c r="D203" s="1000">
        <v>0.72799999999999998</v>
      </c>
      <c r="E203" s="1000">
        <v>0.72799999999999998</v>
      </c>
      <c r="F203" s="1000">
        <v>0.72799999999999998</v>
      </c>
      <c r="G203" s="1000">
        <v>0.72799999999999998</v>
      </c>
      <c r="H203" s="1000">
        <v>0.72799999999999998</v>
      </c>
      <c r="I203" s="1000">
        <v>0.63080000000000003</v>
      </c>
      <c r="J203" s="1000">
        <v>0.63080000000000003</v>
      </c>
      <c r="K203" s="1000">
        <v>0.63080000000000003</v>
      </c>
      <c r="L203" s="1000">
        <v>0.63080000000000003</v>
      </c>
      <c r="M203" s="1000">
        <v>0.63080000000000003</v>
      </c>
    </row>
    <row r="204" spans="1:13">
      <c r="A204" s="1015">
        <v>10</v>
      </c>
      <c r="B204" s="1000">
        <v>0.82899999999999996</v>
      </c>
      <c r="C204" s="1000">
        <v>0.82899999999999996</v>
      </c>
      <c r="D204" s="1000">
        <v>0.72670000000000001</v>
      </c>
      <c r="E204" s="1000">
        <v>0.72670000000000001</v>
      </c>
      <c r="F204" s="1000">
        <v>0.72670000000000001</v>
      </c>
      <c r="G204" s="1000">
        <v>0.72670000000000001</v>
      </c>
      <c r="H204" s="1000">
        <v>0.72670000000000001</v>
      </c>
      <c r="I204" s="1000">
        <v>0.62939999999999996</v>
      </c>
      <c r="J204" s="1000">
        <v>0.62939999999999996</v>
      </c>
      <c r="K204" s="1000">
        <v>0.62939999999999996</v>
      </c>
      <c r="L204" s="1000">
        <v>0.62939999999999996</v>
      </c>
      <c r="M204" s="1000">
        <v>0.62939999999999996</v>
      </c>
    </row>
    <row r="205" spans="1:13" ht="14.25">
      <c r="A205" s="988" t="s">
        <v>1099</v>
      </c>
      <c r="B205" s="989"/>
      <c r="C205" s="989"/>
      <c r="D205" s="989"/>
      <c r="E205" s="989"/>
      <c r="F205" s="989"/>
      <c r="G205" s="989"/>
      <c r="H205" s="989"/>
      <c r="I205" s="989"/>
      <c r="J205" s="989"/>
      <c r="K205" s="989"/>
      <c r="L205" s="989"/>
      <c r="M205" s="989"/>
    </row>
    <row r="206" spans="1:13">
      <c r="A206" s="991" t="s">
        <v>1100</v>
      </c>
      <c r="B206" s="992" t="s">
        <v>1101</v>
      </c>
      <c r="C206" s="992" t="s">
        <v>1102</v>
      </c>
      <c r="D206" s="992" t="s">
        <v>1103</v>
      </c>
      <c r="E206" s="992" t="s">
        <v>1104</v>
      </c>
      <c r="F206" s="992" t="s">
        <v>1105</v>
      </c>
      <c r="G206" s="992" t="s">
        <v>1106</v>
      </c>
      <c r="H206" s="993" t="s">
        <v>1107</v>
      </c>
      <c r="I206" s="993" t="s">
        <v>1108</v>
      </c>
      <c r="J206" s="994" t="s">
        <v>1109</v>
      </c>
      <c r="K206" s="994" t="s">
        <v>1110</v>
      </c>
      <c r="L206" s="994" t="s">
        <v>1111</v>
      </c>
      <c r="M206" s="994" t="s">
        <v>1112</v>
      </c>
    </row>
    <row r="207" spans="1:13">
      <c r="A207" s="991">
        <v>0.1</v>
      </c>
      <c r="B207" s="1000">
        <v>12.172000000000001</v>
      </c>
      <c r="C207" s="1000">
        <v>12.172000000000001</v>
      </c>
      <c r="D207" s="1000">
        <v>12.375999999999999</v>
      </c>
      <c r="E207" s="1000">
        <v>12.375999999999999</v>
      </c>
      <c r="F207" s="1000">
        <v>12.375999999999999</v>
      </c>
      <c r="G207" s="1000">
        <v>12.375999999999999</v>
      </c>
      <c r="H207" s="1000">
        <v>12.375999999999999</v>
      </c>
      <c r="I207" s="1000">
        <v>11.071999999999999</v>
      </c>
      <c r="J207" s="1000">
        <v>11.071999999999999</v>
      </c>
      <c r="K207" s="1000">
        <v>11.071999999999999</v>
      </c>
      <c r="L207" s="1000">
        <v>11.071999999999999</v>
      </c>
      <c r="M207" s="1000">
        <v>11.071999999999999</v>
      </c>
    </row>
    <row r="208" spans="1:13">
      <c r="A208" s="991">
        <v>0.2</v>
      </c>
      <c r="B208" s="1000">
        <v>6.0860000000000003</v>
      </c>
      <c r="C208" s="1000">
        <v>6.0860000000000003</v>
      </c>
      <c r="D208" s="1000">
        <v>6.1879999999999997</v>
      </c>
      <c r="E208" s="1000">
        <v>6.1879999999999997</v>
      </c>
      <c r="F208" s="1000">
        <v>6.1879999999999997</v>
      </c>
      <c r="G208" s="1000">
        <v>6.1879999999999997</v>
      </c>
      <c r="H208" s="1000">
        <v>6.1879999999999997</v>
      </c>
      <c r="I208" s="1000">
        <v>5.5359999999999996</v>
      </c>
      <c r="J208" s="1000">
        <v>5.5359999999999996</v>
      </c>
      <c r="K208" s="1000">
        <v>5.5359999999999996</v>
      </c>
      <c r="L208" s="1000">
        <v>5.5359999999999996</v>
      </c>
      <c r="M208" s="1000">
        <v>5.5359999999999996</v>
      </c>
    </row>
    <row r="209" spans="1:13">
      <c r="A209" s="991">
        <v>0.3</v>
      </c>
      <c r="B209" s="1000">
        <v>4.0572999999999997</v>
      </c>
      <c r="C209" s="1000">
        <v>4.0572999999999997</v>
      </c>
      <c r="D209" s="1000">
        <v>4.1253000000000002</v>
      </c>
      <c r="E209" s="1000">
        <v>4.1253000000000002</v>
      </c>
      <c r="F209" s="1000">
        <v>4.1253000000000002</v>
      </c>
      <c r="G209" s="1000">
        <v>4.1253000000000002</v>
      </c>
      <c r="H209" s="1000">
        <v>4.1253000000000002</v>
      </c>
      <c r="I209" s="1000">
        <v>3.6907000000000001</v>
      </c>
      <c r="J209" s="1000">
        <v>3.6907000000000001</v>
      </c>
      <c r="K209" s="1000">
        <v>3.6907000000000001</v>
      </c>
      <c r="L209" s="1000">
        <v>3.6907000000000001</v>
      </c>
      <c r="M209" s="1000">
        <v>3.6907000000000001</v>
      </c>
    </row>
    <row r="210" spans="1:13">
      <c r="A210" s="991">
        <v>0.4</v>
      </c>
      <c r="B210" s="1000">
        <v>3.0430000000000001</v>
      </c>
      <c r="C210" s="1000">
        <v>3.0430000000000001</v>
      </c>
      <c r="D210" s="1000">
        <v>3.0939999999999999</v>
      </c>
      <c r="E210" s="1000">
        <v>3.0939999999999999</v>
      </c>
      <c r="F210" s="1000">
        <v>3.0939999999999999</v>
      </c>
      <c r="G210" s="1000">
        <v>3.0939999999999999</v>
      </c>
      <c r="H210" s="1000">
        <v>3.0939999999999999</v>
      </c>
      <c r="I210" s="1000">
        <v>2.7679999999999998</v>
      </c>
      <c r="J210" s="1000">
        <v>2.7679999999999998</v>
      </c>
      <c r="K210" s="1000">
        <v>2.7679999999999998</v>
      </c>
      <c r="L210" s="1000">
        <v>2.7679999999999998</v>
      </c>
      <c r="M210" s="1000">
        <v>2.7679999999999998</v>
      </c>
    </row>
    <row r="211" spans="1:13">
      <c r="A211" s="991">
        <v>0.5</v>
      </c>
      <c r="B211" s="1000">
        <v>2.4344000000000001</v>
      </c>
      <c r="C211" s="1000">
        <v>2.4344000000000001</v>
      </c>
      <c r="D211" s="1000">
        <v>2.4752000000000001</v>
      </c>
      <c r="E211" s="1000">
        <v>2.4752000000000001</v>
      </c>
      <c r="F211" s="1000">
        <v>2.4752000000000001</v>
      </c>
      <c r="G211" s="1000">
        <v>2.4752000000000001</v>
      </c>
      <c r="H211" s="1000">
        <v>2.4752000000000001</v>
      </c>
      <c r="I211" s="1000">
        <v>2.2143999999999999</v>
      </c>
      <c r="J211" s="1000">
        <v>2.2143999999999999</v>
      </c>
      <c r="K211" s="1000">
        <v>2.2143999999999999</v>
      </c>
      <c r="L211" s="1000">
        <v>2.2143999999999999</v>
      </c>
      <c r="M211" s="1000">
        <v>2.2143999999999999</v>
      </c>
    </row>
    <row r="212" spans="1:13">
      <c r="A212" s="991">
        <v>0.6</v>
      </c>
      <c r="B212" s="1000">
        <v>2.0287000000000002</v>
      </c>
      <c r="C212" s="1000">
        <v>2.0287000000000002</v>
      </c>
      <c r="D212" s="1000">
        <v>2.0627</v>
      </c>
      <c r="E212" s="1000">
        <v>2.0627</v>
      </c>
      <c r="F212" s="1000">
        <v>2.0627</v>
      </c>
      <c r="G212" s="1000">
        <v>2.0627</v>
      </c>
      <c r="H212" s="1000">
        <v>2.0627</v>
      </c>
      <c r="I212" s="1000">
        <v>1.8452999999999999</v>
      </c>
      <c r="J212" s="1000">
        <v>1.8452999999999999</v>
      </c>
      <c r="K212" s="1000">
        <v>1.8452999999999999</v>
      </c>
      <c r="L212" s="1000">
        <v>1.8452999999999999</v>
      </c>
      <c r="M212" s="1000">
        <v>1.8452999999999999</v>
      </c>
    </row>
    <row r="213" spans="1:13">
      <c r="A213" s="991">
        <v>0.7</v>
      </c>
      <c r="B213" s="1000">
        <v>1.7388999999999999</v>
      </c>
      <c r="C213" s="1000">
        <v>1.7388999999999999</v>
      </c>
      <c r="D213" s="1000">
        <v>1.768</v>
      </c>
      <c r="E213" s="1000">
        <v>1.768</v>
      </c>
      <c r="F213" s="1000">
        <v>1.768</v>
      </c>
      <c r="G213" s="1000">
        <v>1.768</v>
      </c>
      <c r="H213" s="1000">
        <v>1.768</v>
      </c>
      <c r="I213" s="1000">
        <v>1.5817000000000001</v>
      </c>
      <c r="J213" s="1000">
        <v>1.5817000000000001</v>
      </c>
      <c r="K213" s="1000">
        <v>1.5817000000000001</v>
      </c>
      <c r="L213" s="1000">
        <v>1.5817000000000001</v>
      </c>
      <c r="M213" s="1000">
        <v>1.5817000000000001</v>
      </c>
    </row>
    <row r="214" spans="1:13">
      <c r="A214" s="991">
        <v>0.8</v>
      </c>
      <c r="B214" s="1000">
        <v>1.5215000000000001</v>
      </c>
      <c r="C214" s="1000">
        <v>1.5215000000000001</v>
      </c>
      <c r="D214" s="1000">
        <v>1.5469999999999999</v>
      </c>
      <c r="E214" s="1000">
        <v>1.5469999999999999</v>
      </c>
      <c r="F214" s="1000">
        <v>1.5469999999999999</v>
      </c>
      <c r="G214" s="1000">
        <v>1.5469999999999999</v>
      </c>
      <c r="H214" s="1000">
        <v>1.5469999999999999</v>
      </c>
      <c r="I214" s="1000">
        <v>1.3839999999999999</v>
      </c>
      <c r="J214" s="1000">
        <v>1.3839999999999999</v>
      </c>
      <c r="K214" s="1000">
        <v>1.3839999999999999</v>
      </c>
      <c r="L214" s="1000">
        <v>1.3839999999999999</v>
      </c>
      <c r="M214" s="1000">
        <v>1.3839999999999999</v>
      </c>
    </row>
    <row r="215" spans="1:13">
      <c r="A215" s="991">
        <v>0.9</v>
      </c>
      <c r="B215" s="1000">
        <v>1.3524</v>
      </c>
      <c r="C215" s="1000">
        <v>1.3524</v>
      </c>
      <c r="D215" s="1000">
        <v>1.3751</v>
      </c>
      <c r="E215" s="1000">
        <v>1.3751</v>
      </c>
      <c r="F215" s="1000">
        <v>1.3751</v>
      </c>
      <c r="G215" s="1000">
        <v>1.3751</v>
      </c>
      <c r="H215" s="1000">
        <v>1.3751</v>
      </c>
      <c r="I215" s="1000">
        <v>1.2302</v>
      </c>
      <c r="J215" s="1000">
        <v>1.2302</v>
      </c>
      <c r="K215" s="1000">
        <v>1.2302</v>
      </c>
      <c r="L215" s="1000">
        <v>1.2302</v>
      </c>
      <c r="M215" s="1000">
        <v>1.2302</v>
      </c>
    </row>
    <row r="216" spans="1:13">
      <c r="A216" s="991">
        <v>1</v>
      </c>
      <c r="B216" s="1000">
        <v>1.2172000000000001</v>
      </c>
      <c r="C216" s="1000">
        <v>1.2172000000000001</v>
      </c>
      <c r="D216" s="1000">
        <v>1.2376</v>
      </c>
      <c r="E216" s="1000">
        <v>1.2376</v>
      </c>
      <c r="F216" s="1000">
        <v>1.2376</v>
      </c>
      <c r="G216" s="1000">
        <v>1.2376</v>
      </c>
      <c r="H216" s="1000">
        <v>1.2376</v>
      </c>
      <c r="I216" s="1000">
        <v>1.1072</v>
      </c>
      <c r="J216" s="1000">
        <v>1.1072</v>
      </c>
      <c r="K216" s="1000">
        <v>1.1072</v>
      </c>
      <c r="L216" s="1000">
        <v>1.1072</v>
      </c>
      <c r="M216" s="1000">
        <v>1.1072</v>
      </c>
    </row>
    <row r="217" spans="1:13">
      <c r="A217" s="991">
        <v>1.1000000000000001</v>
      </c>
      <c r="B217" s="1000">
        <v>1.198</v>
      </c>
      <c r="C217" s="1000">
        <v>1.198</v>
      </c>
      <c r="D217" s="1000">
        <v>1.2156</v>
      </c>
      <c r="E217" s="1000">
        <v>1.2156</v>
      </c>
      <c r="F217" s="1000">
        <v>1.2156</v>
      </c>
      <c r="G217" s="1000">
        <v>1.2156</v>
      </c>
      <c r="H217" s="1000">
        <v>1.2156</v>
      </c>
      <c r="I217" s="1000">
        <v>1.0829</v>
      </c>
      <c r="J217" s="1000">
        <v>1.0829</v>
      </c>
      <c r="K217" s="1000">
        <v>1.0829</v>
      </c>
      <c r="L217" s="1000">
        <v>1.0829</v>
      </c>
      <c r="M217" s="1000">
        <v>1.0829</v>
      </c>
    </row>
    <row r="218" spans="1:13">
      <c r="A218" s="991">
        <v>1.2</v>
      </c>
      <c r="B218" s="1000">
        <v>1.1795</v>
      </c>
      <c r="C218" s="1000">
        <v>1.1795</v>
      </c>
      <c r="D218" s="1000">
        <v>1.1947000000000001</v>
      </c>
      <c r="E218" s="1000">
        <v>1.1947000000000001</v>
      </c>
      <c r="F218" s="1000">
        <v>1.1947000000000001</v>
      </c>
      <c r="G218" s="1000">
        <v>1.1947000000000001</v>
      </c>
      <c r="H218" s="1000">
        <v>1.1947000000000001</v>
      </c>
      <c r="I218" s="1000">
        <v>1.0601</v>
      </c>
      <c r="J218" s="1000">
        <v>1.0601</v>
      </c>
      <c r="K218" s="1000">
        <v>1.0601</v>
      </c>
      <c r="L218" s="1000">
        <v>1.0601</v>
      </c>
      <c r="M218" s="1000">
        <v>1.0601</v>
      </c>
    </row>
    <row r="219" spans="1:13">
      <c r="A219" s="991">
        <v>1.3</v>
      </c>
      <c r="B219" s="1000">
        <v>1.1617999999999999</v>
      </c>
      <c r="C219" s="1000">
        <v>1.1617999999999999</v>
      </c>
      <c r="D219" s="1000">
        <v>1.1748000000000001</v>
      </c>
      <c r="E219" s="1000">
        <v>1.1748000000000001</v>
      </c>
      <c r="F219" s="1000">
        <v>1.1748000000000001</v>
      </c>
      <c r="G219" s="1000">
        <v>1.1748000000000001</v>
      </c>
      <c r="H219" s="1000">
        <v>1.1748000000000001</v>
      </c>
      <c r="I219" s="1000">
        <v>1.0387999999999999</v>
      </c>
      <c r="J219" s="1000">
        <v>1.0387999999999999</v>
      </c>
      <c r="K219" s="1000">
        <v>1.0387999999999999</v>
      </c>
      <c r="L219" s="1000">
        <v>1.0387999999999999</v>
      </c>
      <c r="M219" s="1000">
        <v>1.0387999999999999</v>
      </c>
    </row>
    <row r="220" spans="1:13">
      <c r="A220" s="991">
        <v>1.4</v>
      </c>
      <c r="B220" s="1000">
        <v>1.1448</v>
      </c>
      <c r="C220" s="1000">
        <v>1.1448</v>
      </c>
      <c r="D220" s="1000">
        <v>1.1557999999999999</v>
      </c>
      <c r="E220" s="1000">
        <v>1.1557999999999999</v>
      </c>
      <c r="F220" s="1000">
        <v>1.1557999999999999</v>
      </c>
      <c r="G220" s="1000">
        <v>1.1557999999999999</v>
      </c>
      <c r="H220" s="1000">
        <v>1.1557999999999999</v>
      </c>
      <c r="I220" s="1000">
        <v>1.0187999999999999</v>
      </c>
      <c r="J220" s="1000">
        <v>1.0187999999999999</v>
      </c>
      <c r="K220" s="1000">
        <v>1.0187999999999999</v>
      </c>
      <c r="L220" s="1000">
        <v>1.0187999999999999</v>
      </c>
      <c r="M220" s="1000">
        <v>1.0187999999999999</v>
      </c>
    </row>
    <row r="221" spans="1:13">
      <c r="A221" s="991">
        <v>1.5</v>
      </c>
      <c r="B221" s="1000">
        <v>1.1285000000000001</v>
      </c>
      <c r="C221" s="1000">
        <v>1.1285000000000001</v>
      </c>
      <c r="D221" s="1000">
        <v>1.1377999999999999</v>
      </c>
      <c r="E221" s="1000">
        <v>1.1377999999999999</v>
      </c>
      <c r="F221" s="1000">
        <v>1.1377999999999999</v>
      </c>
      <c r="G221" s="1000">
        <v>1.1377999999999999</v>
      </c>
      <c r="H221" s="1000">
        <v>1.1377999999999999</v>
      </c>
      <c r="I221" s="1000">
        <v>1</v>
      </c>
      <c r="J221" s="1000">
        <v>1</v>
      </c>
      <c r="K221" s="1000">
        <v>1</v>
      </c>
      <c r="L221" s="1000">
        <v>1</v>
      </c>
      <c r="M221" s="1000">
        <v>1</v>
      </c>
    </row>
    <row r="222" spans="1:13">
      <c r="A222" s="991">
        <v>1.6</v>
      </c>
      <c r="B222" s="1000">
        <v>1.1129</v>
      </c>
      <c r="C222" s="1000">
        <v>1.1129</v>
      </c>
      <c r="D222" s="1000">
        <v>1.1206</v>
      </c>
      <c r="E222" s="1000">
        <v>1.1206</v>
      </c>
      <c r="F222" s="1000">
        <v>1.1206</v>
      </c>
      <c r="G222" s="1000">
        <v>1.1206</v>
      </c>
      <c r="H222" s="1000">
        <v>1.1206</v>
      </c>
      <c r="I222" s="1000">
        <v>0.98240000000000005</v>
      </c>
      <c r="J222" s="1000">
        <v>0.98240000000000005</v>
      </c>
      <c r="K222" s="1000">
        <v>0.98240000000000005</v>
      </c>
      <c r="L222" s="1000">
        <v>0.98240000000000005</v>
      </c>
      <c r="M222" s="1000">
        <v>0.98240000000000005</v>
      </c>
    </row>
    <row r="223" spans="1:13">
      <c r="A223" s="991">
        <v>1.7</v>
      </c>
      <c r="B223" s="1000">
        <v>1.0980000000000001</v>
      </c>
      <c r="C223" s="1000">
        <v>1.0980000000000001</v>
      </c>
      <c r="D223" s="1000">
        <v>1.1043000000000001</v>
      </c>
      <c r="E223" s="1000">
        <v>1.1043000000000001</v>
      </c>
      <c r="F223" s="1000">
        <v>1.1043000000000001</v>
      </c>
      <c r="G223" s="1000">
        <v>1.1043000000000001</v>
      </c>
      <c r="H223" s="1000">
        <v>1.1043000000000001</v>
      </c>
      <c r="I223" s="1000">
        <v>0.96579999999999999</v>
      </c>
      <c r="J223" s="1000">
        <v>0.96579999999999999</v>
      </c>
      <c r="K223" s="1000">
        <v>0.96579999999999999</v>
      </c>
      <c r="L223" s="1000">
        <v>0.96579999999999999</v>
      </c>
      <c r="M223" s="1000">
        <v>0.96579999999999999</v>
      </c>
    </row>
    <row r="224" spans="1:13">
      <c r="A224" s="991">
        <v>1.8</v>
      </c>
      <c r="B224" s="1000">
        <v>1.0835999999999999</v>
      </c>
      <c r="C224" s="1000">
        <v>1.0835999999999999</v>
      </c>
      <c r="D224" s="1000">
        <v>1.0888</v>
      </c>
      <c r="E224" s="1000">
        <v>1.0888</v>
      </c>
      <c r="F224" s="1000">
        <v>1.0888</v>
      </c>
      <c r="G224" s="1000">
        <v>1.0888</v>
      </c>
      <c r="H224" s="1000">
        <v>1.0888</v>
      </c>
      <c r="I224" s="1000">
        <v>0.95030000000000003</v>
      </c>
      <c r="J224" s="1000">
        <v>0.95030000000000003</v>
      </c>
      <c r="K224" s="1000">
        <v>0.95030000000000003</v>
      </c>
      <c r="L224" s="1000">
        <v>0.95030000000000003</v>
      </c>
      <c r="M224" s="1000">
        <v>0.95030000000000003</v>
      </c>
    </row>
    <row r="225" spans="1:13">
      <c r="A225" s="991">
        <v>1.9</v>
      </c>
      <c r="B225" s="1000">
        <v>1.0698000000000001</v>
      </c>
      <c r="C225" s="1000">
        <v>1.0698000000000001</v>
      </c>
      <c r="D225" s="1000">
        <v>1.0741000000000001</v>
      </c>
      <c r="E225" s="1000">
        <v>1.0741000000000001</v>
      </c>
      <c r="F225" s="1000">
        <v>1.0741000000000001</v>
      </c>
      <c r="G225" s="1000">
        <v>1.0741000000000001</v>
      </c>
      <c r="H225" s="1000">
        <v>1.0741000000000001</v>
      </c>
      <c r="I225" s="1000">
        <v>0.93610000000000004</v>
      </c>
      <c r="J225" s="1000">
        <v>0.93610000000000004</v>
      </c>
      <c r="K225" s="1000">
        <v>0.93610000000000004</v>
      </c>
      <c r="L225" s="1000">
        <v>0.93610000000000004</v>
      </c>
      <c r="M225" s="1000">
        <v>0.93610000000000004</v>
      </c>
    </row>
    <row r="226" spans="1:13">
      <c r="A226" s="991">
        <v>2</v>
      </c>
      <c r="B226" s="1000">
        <v>1.0568</v>
      </c>
      <c r="C226" s="1000">
        <v>1.0568</v>
      </c>
      <c r="D226" s="1000">
        <v>1.0601</v>
      </c>
      <c r="E226" s="1000">
        <v>1.0601</v>
      </c>
      <c r="F226" s="1000">
        <v>1.0601</v>
      </c>
      <c r="G226" s="1000">
        <v>1.0601</v>
      </c>
      <c r="H226" s="1000">
        <v>1.0601</v>
      </c>
      <c r="I226" s="1000">
        <v>0.9224</v>
      </c>
      <c r="J226" s="1000">
        <v>0.9224</v>
      </c>
      <c r="K226" s="1000">
        <v>0.9224</v>
      </c>
      <c r="L226" s="1000">
        <v>0.9224</v>
      </c>
      <c r="M226" s="1000">
        <v>0.9224</v>
      </c>
    </row>
    <row r="227" spans="1:13">
      <c r="A227" s="1015">
        <v>2.1</v>
      </c>
      <c r="B227" s="1000">
        <v>1.0443</v>
      </c>
      <c r="C227" s="1000">
        <v>1.0443</v>
      </c>
      <c r="D227" s="1000">
        <v>1.0468</v>
      </c>
      <c r="E227" s="1000">
        <v>1.0468</v>
      </c>
      <c r="F227" s="1000">
        <v>1.0468</v>
      </c>
      <c r="G227" s="1000">
        <v>1.0468</v>
      </c>
      <c r="H227" s="1000">
        <v>1.0468</v>
      </c>
      <c r="I227" s="1000">
        <v>0.90959999999999996</v>
      </c>
      <c r="J227" s="1000">
        <v>0.90959999999999996</v>
      </c>
      <c r="K227" s="1000">
        <v>0.90959999999999996</v>
      </c>
      <c r="L227" s="1000">
        <v>0.90959999999999996</v>
      </c>
      <c r="M227" s="1000">
        <v>0.90959999999999996</v>
      </c>
    </row>
    <row r="228" spans="1:13">
      <c r="A228" s="1015">
        <v>2.2000000000000002</v>
      </c>
      <c r="B228" s="1000">
        <v>1.0325</v>
      </c>
      <c r="C228" s="1000">
        <v>1.0325</v>
      </c>
      <c r="D228" s="1000">
        <v>1.0342</v>
      </c>
      <c r="E228" s="1000">
        <v>1.0342</v>
      </c>
      <c r="F228" s="1000">
        <v>1.0342</v>
      </c>
      <c r="G228" s="1000">
        <v>1.0342</v>
      </c>
      <c r="H228" s="1000">
        <v>1.0342</v>
      </c>
      <c r="I228" s="1000">
        <v>0.89749999999999996</v>
      </c>
      <c r="J228" s="1000">
        <v>0.89749999999999996</v>
      </c>
      <c r="K228" s="1000">
        <v>0.89749999999999996</v>
      </c>
      <c r="L228" s="1000">
        <v>0.89749999999999996</v>
      </c>
      <c r="M228" s="1000">
        <v>0.89749999999999996</v>
      </c>
    </row>
    <row r="229" spans="1:13">
      <c r="A229" s="1015">
        <v>2.2999999999999998</v>
      </c>
      <c r="B229" s="1000">
        <v>1.0209999999999999</v>
      </c>
      <c r="C229" s="1000">
        <v>1.0209999999999999</v>
      </c>
      <c r="D229" s="1000">
        <v>1.0222</v>
      </c>
      <c r="E229" s="1000">
        <v>1.0222</v>
      </c>
      <c r="F229" s="1000">
        <v>1.0222</v>
      </c>
      <c r="G229" s="1000">
        <v>1.0222</v>
      </c>
      <c r="H229" s="1000">
        <v>1.0222</v>
      </c>
      <c r="I229" s="1000">
        <v>0.88619999999999999</v>
      </c>
      <c r="J229" s="1000">
        <v>0.88619999999999999</v>
      </c>
      <c r="K229" s="1000">
        <v>0.88619999999999999</v>
      </c>
      <c r="L229" s="1000">
        <v>0.88619999999999999</v>
      </c>
      <c r="M229" s="1000">
        <v>0.88619999999999999</v>
      </c>
    </row>
    <row r="230" spans="1:13">
      <c r="A230" s="1015">
        <v>2.4</v>
      </c>
      <c r="B230" s="1000">
        <v>1.0102</v>
      </c>
      <c r="C230" s="1000">
        <v>1.0102</v>
      </c>
      <c r="D230" s="1000">
        <v>1.0107999999999999</v>
      </c>
      <c r="E230" s="1000">
        <v>1.0107999999999999</v>
      </c>
      <c r="F230" s="1000">
        <v>1.0107999999999999</v>
      </c>
      <c r="G230" s="1000">
        <v>1.0107999999999999</v>
      </c>
      <c r="H230" s="1000">
        <v>1.0107999999999999</v>
      </c>
      <c r="I230" s="1000">
        <v>0.87529999999999997</v>
      </c>
      <c r="J230" s="1000">
        <v>0.87529999999999997</v>
      </c>
      <c r="K230" s="1000">
        <v>0.87529999999999997</v>
      </c>
      <c r="L230" s="1000">
        <v>0.87529999999999997</v>
      </c>
      <c r="M230" s="1000">
        <v>0.87529999999999997</v>
      </c>
    </row>
    <row r="231" spans="1:13">
      <c r="A231" s="1015">
        <v>2.5</v>
      </c>
      <c r="B231" s="1000">
        <v>1</v>
      </c>
      <c r="C231" s="1000">
        <v>1</v>
      </c>
      <c r="D231" s="1000">
        <v>1</v>
      </c>
      <c r="E231" s="1000">
        <v>1</v>
      </c>
      <c r="F231" s="1000">
        <v>1</v>
      </c>
      <c r="G231" s="1000">
        <v>1</v>
      </c>
      <c r="H231" s="1000">
        <v>1</v>
      </c>
      <c r="I231" s="1000">
        <v>0.86509999999999998</v>
      </c>
      <c r="J231" s="1000">
        <v>0.86509999999999998</v>
      </c>
      <c r="K231" s="1000">
        <v>0.86509999999999998</v>
      </c>
      <c r="L231" s="1000">
        <v>0.86509999999999998</v>
      </c>
      <c r="M231" s="1000">
        <v>0.86509999999999998</v>
      </c>
    </row>
    <row r="232" spans="1:13">
      <c r="A232" s="1015">
        <v>2.6</v>
      </c>
      <c r="B232" s="1000">
        <v>0.99029999999999996</v>
      </c>
      <c r="C232" s="1000">
        <v>0.99029999999999996</v>
      </c>
      <c r="D232" s="1000">
        <v>0.98970000000000002</v>
      </c>
      <c r="E232" s="1000">
        <v>0.98970000000000002</v>
      </c>
      <c r="F232" s="1000">
        <v>0.98970000000000002</v>
      </c>
      <c r="G232" s="1000">
        <v>0.98970000000000002</v>
      </c>
      <c r="H232" s="1000">
        <v>0.98970000000000002</v>
      </c>
      <c r="I232" s="1000">
        <v>0.85529999999999995</v>
      </c>
      <c r="J232" s="1000">
        <v>0.85529999999999995</v>
      </c>
      <c r="K232" s="1000">
        <v>0.85529999999999995</v>
      </c>
      <c r="L232" s="1000">
        <v>0.85529999999999995</v>
      </c>
      <c r="M232" s="1000">
        <v>0.85529999999999995</v>
      </c>
    </row>
    <row r="233" spans="1:13">
      <c r="A233" s="1015">
        <v>2.7</v>
      </c>
      <c r="B233" s="1000">
        <v>0.98109999999999997</v>
      </c>
      <c r="C233" s="1000">
        <v>0.98109999999999997</v>
      </c>
      <c r="D233" s="1000">
        <v>0.97989999999999999</v>
      </c>
      <c r="E233" s="1000">
        <v>0.97989999999999999</v>
      </c>
      <c r="F233" s="1000">
        <v>0.97989999999999999</v>
      </c>
      <c r="G233" s="1000">
        <v>0.97989999999999999</v>
      </c>
      <c r="H233" s="1000">
        <v>0.97989999999999999</v>
      </c>
      <c r="I233" s="1000">
        <v>0.84599999999999997</v>
      </c>
      <c r="J233" s="1000">
        <v>0.84599999999999997</v>
      </c>
      <c r="K233" s="1000">
        <v>0.84599999999999997</v>
      </c>
      <c r="L233" s="1000">
        <v>0.84599999999999997</v>
      </c>
      <c r="M233" s="1000">
        <v>0.84599999999999997</v>
      </c>
    </row>
    <row r="234" spans="1:13">
      <c r="A234" s="1015">
        <v>2.8</v>
      </c>
      <c r="B234" s="1000">
        <v>0.97240000000000004</v>
      </c>
      <c r="C234" s="1000">
        <v>0.97240000000000004</v>
      </c>
      <c r="D234" s="1000">
        <v>0.97060000000000002</v>
      </c>
      <c r="E234" s="1000">
        <v>0.97060000000000002</v>
      </c>
      <c r="F234" s="1000">
        <v>0.97060000000000002</v>
      </c>
      <c r="G234" s="1000">
        <v>0.97060000000000002</v>
      </c>
      <c r="H234" s="1000">
        <v>0.97060000000000002</v>
      </c>
      <c r="I234" s="1000">
        <v>0.83709999999999996</v>
      </c>
      <c r="J234" s="1000">
        <v>0.83709999999999996</v>
      </c>
      <c r="K234" s="1000">
        <v>0.83709999999999996</v>
      </c>
      <c r="L234" s="1000">
        <v>0.83709999999999996</v>
      </c>
      <c r="M234" s="1000">
        <v>0.83709999999999996</v>
      </c>
    </row>
    <row r="235" spans="1:13">
      <c r="A235" s="1015">
        <v>2.9</v>
      </c>
      <c r="B235" s="1000">
        <v>0.96419999999999995</v>
      </c>
      <c r="C235" s="1000">
        <v>0.96419999999999995</v>
      </c>
      <c r="D235" s="1000">
        <v>0.96179999999999999</v>
      </c>
      <c r="E235" s="1000">
        <v>0.96179999999999999</v>
      </c>
      <c r="F235" s="1000">
        <v>0.96179999999999999</v>
      </c>
      <c r="G235" s="1000">
        <v>0.96179999999999999</v>
      </c>
      <c r="H235" s="1000">
        <v>0.96179999999999999</v>
      </c>
      <c r="I235" s="1000">
        <v>0.82850000000000001</v>
      </c>
      <c r="J235" s="1000">
        <v>0.82850000000000001</v>
      </c>
      <c r="K235" s="1000">
        <v>0.82850000000000001</v>
      </c>
      <c r="L235" s="1000">
        <v>0.82850000000000001</v>
      </c>
      <c r="M235" s="1000">
        <v>0.82850000000000001</v>
      </c>
    </row>
    <row r="236" spans="1:13">
      <c r="A236" s="1015">
        <v>3</v>
      </c>
      <c r="B236" s="1000">
        <v>0.95640000000000003</v>
      </c>
      <c r="C236" s="1000">
        <v>0.95640000000000003</v>
      </c>
      <c r="D236" s="1000">
        <v>0.95340000000000003</v>
      </c>
      <c r="E236" s="1000">
        <v>0.95340000000000003</v>
      </c>
      <c r="F236" s="1000">
        <v>0.95340000000000003</v>
      </c>
      <c r="G236" s="1000">
        <v>0.95340000000000003</v>
      </c>
      <c r="H236" s="1000">
        <v>0.95340000000000003</v>
      </c>
      <c r="I236" s="1000">
        <v>0.82040000000000002</v>
      </c>
      <c r="J236" s="1000">
        <v>0.82040000000000002</v>
      </c>
      <c r="K236" s="1000">
        <v>0.82040000000000002</v>
      </c>
      <c r="L236" s="1000">
        <v>0.82040000000000002</v>
      </c>
      <c r="M236" s="1000">
        <v>0.82040000000000002</v>
      </c>
    </row>
    <row r="237" spans="1:13">
      <c r="A237" s="1015">
        <v>3.1</v>
      </c>
      <c r="B237" s="1000">
        <v>0.94899999999999995</v>
      </c>
      <c r="C237" s="1000">
        <v>0.94899999999999995</v>
      </c>
      <c r="D237" s="1000">
        <v>0.94550000000000001</v>
      </c>
      <c r="E237" s="1000">
        <v>0.94550000000000001</v>
      </c>
      <c r="F237" s="1000">
        <v>0.94550000000000001</v>
      </c>
      <c r="G237" s="1000">
        <v>0.94550000000000001</v>
      </c>
      <c r="H237" s="1000">
        <v>0.94550000000000001</v>
      </c>
      <c r="I237" s="1000">
        <v>0.81259999999999999</v>
      </c>
      <c r="J237" s="1000">
        <v>0.81259999999999999</v>
      </c>
      <c r="K237" s="1000">
        <v>0.81259999999999999</v>
      </c>
      <c r="L237" s="1000">
        <v>0.81259999999999999</v>
      </c>
      <c r="M237" s="1000">
        <v>0.81259999999999999</v>
      </c>
    </row>
    <row r="238" spans="1:13">
      <c r="A238" s="1015">
        <v>3.2</v>
      </c>
      <c r="B238" s="1000">
        <v>0.94199999999999995</v>
      </c>
      <c r="C238" s="1000">
        <v>0.94199999999999995</v>
      </c>
      <c r="D238" s="1000">
        <v>0.93789999999999996</v>
      </c>
      <c r="E238" s="1000">
        <v>0.93789999999999996</v>
      </c>
      <c r="F238" s="1000">
        <v>0.93789999999999996</v>
      </c>
      <c r="G238" s="1000">
        <v>0.93789999999999996</v>
      </c>
      <c r="H238" s="1000">
        <v>0.93789999999999996</v>
      </c>
      <c r="I238" s="1000">
        <v>0.80530000000000002</v>
      </c>
      <c r="J238" s="1000">
        <v>0.80530000000000002</v>
      </c>
      <c r="K238" s="1000">
        <v>0.80530000000000002</v>
      </c>
      <c r="L238" s="1000">
        <v>0.80530000000000002</v>
      </c>
      <c r="M238" s="1000">
        <v>0.80530000000000002</v>
      </c>
    </row>
    <row r="239" spans="1:13">
      <c r="A239" s="1015">
        <v>3.3</v>
      </c>
      <c r="B239" s="1000">
        <v>0.93540000000000001</v>
      </c>
      <c r="C239" s="1000">
        <v>0.93540000000000001</v>
      </c>
      <c r="D239" s="1000">
        <v>0.93069999999999997</v>
      </c>
      <c r="E239" s="1000">
        <v>0.93069999999999997</v>
      </c>
      <c r="F239" s="1000">
        <v>0.93069999999999997</v>
      </c>
      <c r="G239" s="1000">
        <v>0.93069999999999997</v>
      </c>
      <c r="H239" s="1000">
        <v>0.93069999999999997</v>
      </c>
      <c r="I239" s="1000">
        <v>0.79820000000000002</v>
      </c>
      <c r="J239" s="1000">
        <v>0.79820000000000002</v>
      </c>
      <c r="K239" s="1000">
        <v>0.79820000000000002</v>
      </c>
      <c r="L239" s="1000">
        <v>0.79820000000000002</v>
      </c>
      <c r="M239" s="1000">
        <v>0.79820000000000002</v>
      </c>
    </row>
    <row r="240" spans="1:13">
      <c r="A240" s="1015">
        <v>3.4</v>
      </c>
      <c r="B240" s="1000">
        <v>0.92920000000000003</v>
      </c>
      <c r="C240" s="1000">
        <v>0.92920000000000003</v>
      </c>
      <c r="D240" s="1000">
        <v>0.92390000000000005</v>
      </c>
      <c r="E240" s="1000">
        <v>0.92390000000000005</v>
      </c>
      <c r="F240" s="1000">
        <v>0.92390000000000005</v>
      </c>
      <c r="G240" s="1000">
        <v>0.92390000000000005</v>
      </c>
      <c r="H240" s="1000">
        <v>0.92390000000000005</v>
      </c>
      <c r="I240" s="1000">
        <v>0.79139999999999999</v>
      </c>
      <c r="J240" s="1000">
        <v>0.79139999999999999</v>
      </c>
      <c r="K240" s="1000">
        <v>0.79139999999999999</v>
      </c>
      <c r="L240" s="1000">
        <v>0.79139999999999999</v>
      </c>
      <c r="M240" s="1000">
        <v>0.79139999999999999</v>
      </c>
    </row>
    <row r="241" spans="1:13">
      <c r="A241" s="1015">
        <v>3.5</v>
      </c>
      <c r="B241" s="1000">
        <v>0.9234</v>
      </c>
      <c r="C241" s="1000">
        <v>0.9234</v>
      </c>
      <c r="D241" s="1000">
        <v>0.91749999999999998</v>
      </c>
      <c r="E241" s="1000">
        <v>0.91749999999999998</v>
      </c>
      <c r="F241" s="1000">
        <v>0.91749999999999998</v>
      </c>
      <c r="G241" s="1000">
        <v>0.91749999999999998</v>
      </c>
      <c r="H241" s="1000">
        <v>0.91749999999999998</v>
      </c>
      <c r="I241" s="1000">
        <v>0.78490000000000004</v>
      </c>
      <c r="J241" s="1000">
        <v>0.78490000000000004</v>
      </c>
      <c r="K241" s="1000">
        <v>0.78490000000000004</v>
      </c>
      <c r="L241" s="1000">
        <v>0.78490000000000004</v>
      </c>
      <c r="M241" s="1000">
        <v>0.78490000000000004</v>
      </c>
    </row>
    <row r="242" spans="1:13">
      <c r="A242" s="1015">
        <v>3.6</v>
      </c>
      <c r="B242" s="1000">
        <v>0.91790000000000005</v>
      </c>
      <c r="C242" s="1000">
        <v>0.91790000000000005</v>
      </c>
      <c r="D242" s="1000">
        <v>0.91139999999999999</v>
      </c>
      <c r="E242" s="1000">
        <v>0.91139999999999999</v>
      </c>
      <c r="F242" s="1000">
        <v>0.91139999999999999</v>
      </c>
      <c r="G242" s="1000">
        <v>0.91139999999999999</v>
      </c>
      <c r="H242" s="1000">
        <v>0.91139999999999999</v>
      </c>
      <c r="I242" s="1000">
        <v>0.77880000000000005</v>
      </c>
      <c r="J242" s="1000">
        <v>0.77880000000000005</v>
      </c>
      <c r="K242" s="1000">
        <v>0.77880000000000005</v>
      </c>
      <c r="L242" s="1000">
        <v>0.77880000000000005</v>
      </c>
      <c r="M242" s="1000">
        <v>0.77880000000000005</v>
      </c>
    </row>
    <row r="243" spans="1:13">
      <c r="A243" s="1015">
        <v>3.7</v>
      </c>
      <c r="B243" s="1000">
        <v>0.91269999999999996</v>
      </c>
      <c r="C243" s="1000">
        <v>0.91269999999999996</v>
      </c>
      <c r="D243" s="1000">
        <v>0.90559999999999996</v>
      </c>
      <c r="E243" s="1000">
        <v>0.90559999999999996</v>
      </c>
      <c r="F243" s="1000">
        <v>0.90559999999999996</v>
      </c>
      <c r="G243" s="1000">
        <v>0.90559999999999996</v>
      </c>
      <c r="H243" s="1000">
        <v>0.90559999999999996</v>
      </c>
      <c r="I243" s="1000">
        <v>0.77300000000000002</v>
      </c>
      <c r="J243" s="1000">
        <v>0.77300000000000002</v>
      </c>
      <c r="K243" s="1000">
        <v>0.77300000000000002</v>
      </c>
      <c r="L243" s="1000">
        <v>0.77300000000000002</v>
      </c>
      <c r="M243" s="1000">
        <v>0.77300000000000002</v>
      </c>
    </row>
    <row r="244" spans="1:13">
      <c r="A244" s="1015">
        <v>3.8</v>
      </c>
      <c r="B244" s="1000">
        <v>0.90780000000000005</v>
      </c>
      <c r="C244" s="1000">
        <v>0.90780000000000005</v>
      </c>
      <c r="D244" s="1000">
        <v>0.90010000000000001</v>
      </c>
      <c r="E244" s="1000">
        <v>0.90010000000000001</v>
      </c>
      <c r="F244" s="1000">
        <v>0.90010000000000001</v>
      </c>
      <c r="G244" s="1000">
        <v>0.90010000000000001</v>
      </c>
      <c r="H244" s="1000">
        <v>0.90010000000000001</v>
      </c>
      <c r="I244" s="1000">
        <v>0.76739999999999997</v>
      </c>
      <c r="J244" s="1000">
        <v>0.76739999999999997</v>
      </c>
      <c r="K244" s="1000">
        <v>0.76739999999999997</v>
      </c>
      <c r="L244" s="1000">
        <v>0.76739999999999997</v>
      </c>
      <c r="M244" s="1000">
        <v>0.76739999999999997</v>
      </c>
    </row>
    <row r="245" spans="1:13">
      <c r="A245" s="1015">
        <v>3.9</v>
      </c>
      <c r="B245" s="1000">
        <v>0.9032</v>
      </c>
      <c r="C245" s="1000">
        <v>0.9032</v>
      </c>
      <c r="D245" s="1000">
        <v>0.89490000000000003</v>
      </c>
      <c r="E245" s="1000">
        <v>0.89490000000000003</v>
      </c>
      <c r="F245" s="1000">
        <v>0.89490000000000003</v>
      </c>
      <c r="G245" s="1000">
        <v>0.89490000000000003</v>
      </c>
      <c r="H245" s="1000">
        <v>0.89490000000000003</v>
      </c>
      <c r="I245" s="1000">
        <v>0.7621</v>
      </c>
      <c r="J245" s="1000">
        <v>0.7621</v>
      </c>
      <c r="K245" s="1000">
        <v>0.7621</v>
      </c>
      <c r="L245" s="1000">
        <v>0.7621</v>
      </c>
      <c r="M245" s="1000">
        <v>0.7621</v>
      </c>
    </row>
    <row r="246" spans="1:13">
      <c r="A246" s="1015">
        <v>4</v>
      </c>
      <c r="B246" s="1000">
        <v>0.89890000000000003</v>
      </c>
      <c r="C246" s="1000">
        <v>0.89890000000000003</v>
      </c>
      <c r="D246" s="1000">
        <v>0.89</v>
      </c>
      <c r="E246" s="1000">
        <v>0.89</v>
      </c>
      <c r="F246" s="1000">
        <v>0.89</v>
      </c>
      <c r="G246" s="1000">
        <v>0.89</v>
      </c>
      <c r="H246" s="1000">
        <v>0.89</v>
      </c>
      <c r="I246" s="1000">
        <v>0.7571</v>
      </c>
      <c r="J246" s="1000">
        <v>0.7571</v>
      </c>
      <c r="K246" s="1000">
        <v>0.7571</v>
      </c>
      <c r="L246" s="1000">
        <v>0.7571</v>
      </c>
      <c r="M246" s="1000">
        <v>0.7571</v>
      </c>
    </row>
    <row r="247" spans="1:13">
      <c r="A247" s="1015">
        <v>4.0999999999999996</v>
      </c>
      <c r="B247" s="1000">
        <v>0.89480000000000004</v>
      </c>
      <c r="C247" s="1000">
        <v>0.89480000000000004</v>
      </c>
      <c r="D247" s="1000">
        <v>0.88539999999999996</v>
      </c>
      <c r="E247" s="1000">
        <v>0.88539999999999996</v>
      </c>
      <c r="F247" s="1000">
        <v>0.88539999999999996</v>
      </c>
      <c r="G247" s="1000">
        <v>0.88539999999999996</v>
      </c>
      <c r="H247" s="1000">
        <v>0.88539999999999996</v>
      </c>
      <c r="I247" s="1000">
        <v>0.75229999999999997</v>
      </c>
      <c r="J247" s="1000">
        <v>0.75229999999999997</v>
      </c>
      <c r="K247" s="1000">
        <v>0.75229999999999997</v>
      </c>
      <c r="L247" s="1000">
        <v>0.75229999999999997</v>
      </c>
      <c r="M247" s="1000">
        <v>0.75229999999999997</v>
      </c>
    </row>
    <row r="248" spans="1:13">
      <c r="A248" s="1015">
        <v>4.2</v>
      </c>
      <c r="B248" s="1000">
        <v>0.89100000000000001</v>
      </c>
      <c r="C248" s="1000">
        <v>0.89100000000000001</v>
      </c>
      <c r="D248" s="1000">
        <v>0.88109999999999999</v>
      </c>
      <c r="E248" s="1000">
        <v>0.88109999999999999</v>
      </c>
      <c r="F248" s="1000">
        <v>0.88109999999999999</v>
      </c>
      <c r="G248" s="1000">
        <v>0.88109999999999999</v>
      </c>
      <c r="H248" s="1000">
        <v>0.88109999999999999</v>
      </c>
      <c r="I248" s="1000">
        <v>0.74780000000000002</v>
      </c>
      <c r="J248" s="1000">
        <v>0.74780000000000002</v>
      </c>
      <c r="K248" s="1000">
        <v>0.74780000000000002</v>
      </c>
      <c r="L248" s="1000">
        <v>0.74780000000000002</v>
      </c>
      <c r="M248" s="1000">
        <v>0.74780000000000002</v>
      </c>
    </row>
    <row r="249" spans="1:13">
      <c r="A249" s="1015">
        <v>4.3</v>
      </c>
      <c r="B249" s="1000">
        <v>0.88739999999999997</v>
      </c>
      <c r="C249" s="1000">
        <v>0.88739999999999997</v>
      </c>
      <c r="D249" s="1000">
        <v>0.877</v>
      </c>
      <c r="E249" s="1000">
        <v>0.877</v>
      </c>
      <c r="F249" s="1000">
        <v>0.877</v>
      </c>
      <c r="G249" s="1000">
        <v>0.877</v>
      </c>
      <c r="H249" s="1000">
        <v>0.877</v>
      </c>
      <c r="I249" s="1000">
        <v>0.74329999999999996</v>
      </c>
      <c r="J249" s="1000">
        <v>0.74329999999999996</v>
      </c>
      <c r="K249" s="1000">
        <v>0.74329999999999996</v>
      </c>
      <c r="L249" s="1000">
        <v>0.74329999999999996</v>
      </c>
      <c r="M249" s="1000">
        <v>0.74329999999999996</v>
      </c>
    </row>
    <row r="250" spans="1:13">
      <c r="A250" s="1015">
        <v>4.4000000000000004</v>
      </c>
      <c r="B250" s="1000">
        <v>0.88400000000000001</v>
      </c>
      <c r="C250" s="1000">
        <v>0.88400000000000001</v>
      </c>
      <c r="D250" s="1000">
        <v>0.87309999999999999</v>
      </c>
      <c r="E250" s="1000">
        <v>0.87309999999999999</v>
      </c>
      <c r="F250" s="1000">
        <v>0.87309999999999999</v>
      </c>
      <c r="G250" s="1000">
        <v>0.87309999999999999</v>
      </c>
      <c r="H250" s="1000">
        <v>0.87309999999999999</v>
      </c>
      <c r="I250" s="1000">
        <v>0.73909999999999998</v>
      </c>
      <c r="J250" s="1000">
        <v>0.73909999999999998</v>
      </c>
      <c r="K250" s="1000">
        <v>0.73909999999999998</v>
      </c>
      <c r="L250" s="1000">
        <v>0.73909999999999998</v>
      </c>
      <c r="M250" s="1000">
        <v>0.73909999999999998</v>
      </c>
    </row>
    <row r="251" spans="1:13">
      <c r="A251" s="1015">
        <v>4.5</v>
      </c>
      <c r="B251" s="1000">
        <v>0.88080000000000003</v>
      </c>
      <c r="C251" s="1000">
        <v>0.88080000000000003</v>
      </c>
      <c r="D251" s="1000">
        <v>0.86939999999999995</v>
      </c>
      <c r="E251" s="1000">
        <v>0.86939999999999995</v>
      </c>
      <c r="F251" s="1000">
        <v>0.86939999999999995</v>
      </c>
      <c r="G251" s="1000">
        <v>0.86939999999999995</v>
      </c>
      <c r="H251" s="1000">
        <v>0.86939999999999995</v>
      </c>
      <c r="I251" s="1000">
        <v>0.73499999999999999</v>
      </c>
      <c r="J251" s="1000">
        <v>0.73499999999999999</v>
      </c>
      <c r="K251" s="1000">
        <v>0.73499999999999999</v>
      </c>
      <c r="L251" s="1000">
        <v>0.73499999999999999</v>
      </c>
      <c r="M251" s="1000">
        <v>0.73499999999999999</v>
      </c>
    </row>
    <row r="252" spans="1:13">
      <c r="A252" s="1015">
        <v>4.5999999999999996</v>
      </c>
      <c r="B252" s="1000">
        <v>0.87780000000000002</v>
      </c>
      <c r="C252" s="1000">
        <v>0.87780000000000002</v>
      </c>
      <c r="D252" s="1000">
        <v>0.8659</v>
      </c>
      <c r="E252" s="1000">
        <v>0.8659</v>
      </c>
      <c r="F252" s="1000">
        <v>0.8659</v>
      </c>
      <c r="G252" s="1000">
        <v>0.8659</v>
      </c>
      <c r="H252" s="1000">
        <v>0.8659</v>
      </c>
      <c r="I252" s="1000">
        <v>0.73109999999999997</v>
      </c>
      <c r="J252" s="1000">
        <v>0.73109999999999997</v>
      </c>
      <c r="K252" s="1000">
        <v>0.73109999999999997</v>
      </c>
      <c r="L252" s="1000">
        <v>0.73109999999999997</v>
      </c>
      <c r="M252" s="1000">
        <v>0.73109999999999997</v>
      </c>
    </row>
    <row r="253" spans="1:13">
      <c r="A253" s="1015">
        <v>4.7</v>
      </c>
      <c r="B253" s="1000">
        <v>0.875</v>
      </c>
      <c r="C253" s="1000">
        <v>0.875</v>
      </c>
      <c r="D253" s="1000">
        <v>0.86260000000000003</v>
      </c>
      <c r="E253" s="1000">
        <v>0.86260000000000003</v>
      </c>
      <c r="F253" s="1000">
        <v>0.86260000000000003</v>
      </c>
      <c r="G253" s="1000">
        <v>0.86260000000000003</v>
      </c>
      <c r="H253" s="1000">
        <v>0.86260000000000003</v>
      </c>
      <c r="I253" s="1000">
        <v>0.72750000000000004</v>
      </c>
      <c r="J253" s="1000">
        <v>0.72750000000000004</v>
      </c>
      <c r="K253" s="1000">
        <v>0.72750000000000004</v>
      </c>
      <c r="L253" s="1000">
        <v>0.72750000000000004</v>
      </c>
      <c r="M253" s="1000">
        <v>0.72750000000000004</v>
      </c>
    </row>
    <row r="254" spans="1:13">
      <c r="A254" s="1015">
        <v>4.8</v>
      </c>
      <c r="B254" s="1000">
        <v>0.87229999999999996</v>
      </c>
      <c r="C254" s="1000">
        <v>0.87229999999999996</v>
      </c>
      <c r="D254" s="1000">
        <v>0.85950000000000004</v>
      </c>
      <c r="E254" s="1000">
        <v>0.85950000000000004</v>
      </c>
      <c r="F254" s="1000">
        <v>0.85950000000000004</v>
      </c>
      <c r="G254" s="1000">
        <v>0.85950000000000004</v>
      </c>
      <c r="H254" s="1000">
        <v>0.85950000000000004</v>
      </c>
      <c r="I254" s="1000">
        <v>0.72399999999999998</v>
      </c>
      <c r="J254" s="1000">
        <v>0.72399999999999998</v>
      </c>
      <c r="K254" s="1000">
        <v>0.72399999999999998</v>
      </c>
      <c r="L254" s="1000">
        <v>0.72399999999999998</v>
      </c>
      <c r="M254" s="1000">
        <v>0.72399999999999998</v>
      </c>
    </row>
    <row r="255" spans="1:13">
      <c r="A255" s="1015">
        <v>4.9000000000000004</v>
      </c>
      <c r="B255" s="1000">
        <v>0.86980000000000002</v>
      </c>
      <c r="C255" s="1000">
        <v>0.86980000000000002</v>
      </c>
      <c r="D255" s="1000">
        <v>0.85660000000000003</v>
      </c>
      <c r="E255" s="1000">
        <v>0.85660000000000003</v>
      </c>
      <c r="F255" s="1000">
        <v>0.85660000000000003</v>
      </c>
      <c r="G255" s="1000">
        <v>0.85660000000000003</v>
      </c>
      <c r="H255" s="1000">
        <v>0.85660000000000003</v>
      </c>
      <c r="I255" s="1000">
        <v>0.7208</v>
      </c>
      <c r="J255" s="1000">
        <v>0.7208</v>
      </c>
      <c r="K255" s="1000">
        <v>0.7208</v>
      </c>
      <c r="L255" s="1000">
        <v>0.7208</v>
      </c>
      <c r="M255" s="1000">
        <v>0.7208</v>
      </c>
    </row>
    <row r="256" spans="1:13">
      <c r="A256" s="1015">
        <v>5</v>
      </c>
      <c r="B256" s="1000">
        <v>0.86739999999999995</v>
      </c>
      <c r="C256" s="1000">
        <v>0.86739999999999995</v>
      </c>
      <c r="D256" s="1000">
        <v>0.8538</v>
      </c>
      <c r="E256" s="1000">
        <v>0.8538</v>
      </c>
      <c r="F256" s="1000">
        <v>0.8538</v>
      </c>
      <c r="G256" s="1000">
        <v>0.8538</v>
      </c>
      <c r="H256" s="1000">
        <v>0.8538</v>
      </c>
      <c r="I256" s="1000">
        <v>0.71760000000000002</v>
      </c>
      <c r="J256" s="1000">
        <v>0.71760000000000002</v>
      </c>
      <c r="K256" s="1000">
        <v>0.71760000000000002</v>
      </c>
      <c r="L256" s="1000">
        <v>0.71760000000000002</v>
      </c>
      <c r="M256" s="1000">
        <v>0.71760000000000002</v>
      </c>
    </row>
    <row r="257" spans="1:13">
      <c r="A257" s="991">
        <v>5.0999999999999996</v>
      </c>
      <c r="B257" s="1000">
        <v>0.86519999999999997</v>
      </c>
      <c r="C257" s="1000">
        <v>0.86519999999999997</v>
      </c>
      <c r="D257" s="1000">
        <v>0.85109999999999997</v>
      </c>
      <c r="E257" s="1000">
        <v>0.85109999999999997</v>
      </c>
      <c r="F257" s="1000">
        <v>0.85109999999999997</v>
      </c>
      <c r="G257" s="1000">
        <v>0.85109999999999997</v>
      </c>
      <c r="H257" s="1000">
        <v>0.85109999999999997</v>
      </c>
      <c r="I257" s="1000">
        <v>0.7147</v>
      </c>
      <c r="J257" s="1000">
        <v>0.7147</v>
      </c>
      <c r="K257" s="1000">
        <v>0.7147</v>
      </c>
      <c r="L257" s="1000">
        <v>0.7147</v>
      </c>
      <c r="M257" s="1000">
        <v>0.7147</v>
      </c>
    </row>
    <row r="258" spans="1:13">
      <c r="A258" s="991">
        <v>5.2</v>
      </c>
      <c r="B258" s="1000">
        <v>0.86309999999999998</v>
      </c>
      <c r="C258" s="1000">
        <v>0.86309999999999998</v>
      </c>
      <c r="D258" s="1000">
        <v>0.84860000000000002</v>
      </c>
      <c r="E258" s="1000">
        <v>0.84860000000000002</v>
      </c>
      <c r="F258" s="1000">
        <v>0.84860000000000002</v>
      </c>
      <c r="G258" s="1000">
        <v>0.84860000000000002</v>
      </c>
      <c r="H258" s="1000">
        <v>0.84860000000000002</v>
      </c>
      <c r="I258" s="1000">
        <v>0.71189999999999998</v>
      </c>
      <c r="J258" s="1000">
        <v>0.71189999999999998</v>
      </c>
      <c r="K258" s="1000">
        <v>0.71189999999999998</v>
      </c>
      <c r="L258" s="1000">
        <v>0.71189999999999998</v>
      </c>
      <c r="M258" s="1000">
        <v>0.71189999999999998</v>
      </c>
    </row>
    <row r="259" spans="1:13">
      <c r="A259" s="991">
        <v>5.3</v>
      </c>
      <c r="B259" s="1000">
        <v>0.86119999999999997</v>
      </c>
      <c r="C259" s="1000">
        <v>0.86119999999999997</v>
      </c>
      <c r="D259" s="1000">
        <v>0.84619999999999995</v>
      </c>
      <c r="E259" s="1000">
        <v>0.84619999999999995</v>
      </c>
      <c r="F259" s="1000">
        <v>0.84619999999999995</v>
      </c>
      <c r="G259" s="1000">
        <v>0.84619999999999995</v>
      </c>
      <c r="H259" s="1000">
        <v>0.84619999999999995</v>
      </c>
      <c r="I259" s="1000">
        <v>0.70909999999999995</v>
      </c>
      <c r="J259" s="1000">
        <v>0.70909999999999995</v>
      </c>
      <c r="K259" s="1000">
        <v>0.70909999999999995</v>
      </c>
      <c r="L259" s="1000">
        <v>0.70909999999999995</v>
      </c>
      <c r="M259" s="1000">
        <v>0.70909999999999995</v>
      </c>
    </row>
    <row r="260" spans="1:13">
      <c r="A260" s="991">
        <v>5.4</v>
      </c>
      <c r="B260" s="1000">
        <v>0.85940000000000005</v>
      </c>
      <c r="C260" s="1000">
        <v>0.85940000000000005</v>
      </c>
      <c r="D260" s="1000">
        <v>0.84389999999999998</v>
      </c>
      <c r="E260" s="1000">
        <v>0.84389999999999998</v>
      </c>
      <c r="F260" s="1000">
        <v>0.84389999999999998</v>
      </c>
      <c r="G260" s="1000">
        <v>0.84389999999999998</v>
      </c>
      <c r="H260" s="1000">
        <v>0.84389999999999998</v>
      </c>
      <c r="I260" s="1000">
        <v>0.70650000000000002</v>
      </c>
      <c r="J260" s="1000">
        <v>0.70650000000000002</v>
      </c>
      <c r="K260" s="1000">
        <v>0.70650000000000002</v>
      </c>
      <c r="L260" s="1000">
        <v>0.70650000000000002</v>
      </c>
      <c r="M260" s="1000">
        <v>0.70650000000000002</v>
      </c>
    </row>
    <row r="261" spans="1:13">
      <c r="A261" s="991">
        <v>5.5</v>
      </c>
      <c r="B261" s="1000">
        <v>0.85770000000000002</v>
      </c>
      <c r="C261" s="1000">
        <v>0.85770000000000002</v>
      </c>
      <c r="D261" s="1000">
        <v>0.84179999999999999</v>
      </c>
      <c r="E261" s="1000">
        <v>0.84179999999999999</v>
      </c>
      <c r="F261" s="1000">
        <v>0.84179999999999999</v>
      </c>
      <c r="G261" s="1000">
        <v>0.84179999999999999</v>
      </c>
      <c r="H261" s="1000">
        <v>0.84179999999999999</v>
      </c>
      <c r="I261" s="1000">
        <v>0.70399999999999996</v>
      </c>
      <c r="J261" s="1000">
        <v>0.70399999999999996</v>
      </c>
      <c r="K261" s="1000">
        <v>0.70399999999999996</v>
      </c>
      <c r="L261" s="1000">
        <v>0.70399999999999996</v>
      </c>
      <c r="M261" s="1000">
        <v>0.70399999999999996</v>
      </c>
    </row>
    <row r="262" spans="1:13">
      <c r="A262" s="991">
        <v>5.6</v>
      </c>
      <c r="B262" s="1000">
        <v>0.85599999999999998</v>
      </c>
      <c r="C262" s="1000">
        <v>0.85599999999999998</v>
      </c>
      <c r="D262" s="1000">
        <v>0.83979999999999999</v>
      </c>
      <c r="E262" s="1000">
        <v>0.83979999999999999</v>
      </c>
      <c r="F262" s="1000">
        <v>0.83979999999999999</v>
      </c>
      <c r="G262" s="1000">
        <v>0.83979999999999999</v>
      </c>
      <c r="H262" s="1000">
        <v>0.83979999999999999</v>
      </c>
      <c r="I262" s="1000">
        <v>0.7016</v>
      </c>
      <c r="J262" s="1000">
        <v>0.7016</v>
      </c>
      <c r="K262" s="1000">
        <v>0.7016</v>
      </c>
      <c r="L262" s="1000">
        <v>0.7016</v>
      </c>
      <c r="M262" s="1000">
        <v>0.7016</v>
      </c>
    </row>
    <row r="263" spans="1:13">
      <c r="A263" s="1015">
        <v>5.7</v>
      </c>
      <c r="B263" s="1000">
        <v>0.85440000000000005</v>
      </c>
      <c r="C263" s="1000">
        <v>0.85440000000000005</v>
      </c>
      <c r="D263" s="1000">
        <v>0.83789999999999998</v>
      </c>
      <c r="E263" s="1000">
        <v>0.83789999999999998</v>
      </c>
      <c r="F263" s="1000">
        <v>0.83789999999999998</v>
      </c>
      <c r="G263" s="1000">
        <v>0.83789999999999998</v>
      </c>
      <c r="H263" s="1000">
        <v>0.83789999999999998</v>
      </c>
      <c r="I263" s="1000">
        <v>0.69940000000000002</v>
      </c>
      <c r="J263" s="1000">
        <v>0.69940000000000002</v>
      </c>
      <c r="K263" s="1000">
        <v>0.69940000000000002</v>
      </c>
      <c r="L263" s="1000">
        <v>0.69940000000000002</v>
      </c>
      <c r="M263" s="1000">
        <v>0.69940000000000002</v>
      </c>
    </row>
    <row r="264" spans="1:13">
      <c r="A264" s="991">
        <v>5.8</v>
      </c>
      <c r="B264" s="1000">
        <v>0.85289999999999999</v>
      </c>
      <c r="C264" s="1000">
        <v>0.85289999999999999</v>
      </c>
      <c r="D264" s="1000">
        <v>0.83599999999999997</v>
      </c>
      <c r="E264" s="1000">
        <v>0.83599999999999997</v>
      </c>
      <c r="F264" s="1000">
        <v>0.83599999999999997</v>
      </c>
      <c r="G264" s="1000">
        <v>0.83599999999999997</v>
      </c>
      <c r="H264" s="1000">
        <v>0.83599999999999997</v>
      </c>
      <c r="I264" s="1000">
        <v>0.69720000000000004</v>
      </c>
      <c r="J264" s="1000">
        <v>0.69720000000000004</v>
      </c>
      <c r="K264" s="1000">
        <v>0.69720000000000004</v>
      </c>
      <c r="L264" s="1000">
        <v>0.69720000000000004</v>
      </c>
      <c r="M264" s="1000">
        <v>0.69720000000000004</v>
      </c>
    </row>
    <row r="265" spans="1:13">
      <c r="A265" s="991">
        <v>5.9</v>
      </c>
      <c r="B265" s="1000">
        <v>0.85150000000000003</v>
      </c>
      <c r="C265" s="1000">
        <v>0.85150000000000003</v>
      </c>
      <c r="D265" s="1000">
        <v>0.83430000000000004</v>
      </c>
      <c r="E265" s="1000">
        <v>0.83430000000000004</v>
      </c>
      <c r="F265" s="1000">
        <v>0.83430000000000004</v>
      </c>
      <c r="G265" s="1000">
        <v>0.83430000000000004</v>
      </c>
      <c r="H265" s="1000">
        <v>0.83430000000000004</v>
      </c>
      <c r="I265" s="1000">
        <v>0.69520000000000004</v>
      </c>
      <c r="J265" s="1000">
        <v>0.69520000000000004</v>
      </c>
      <c r="K265" s="1000">
        <v>0.69520000000000004</v>
      </c>
      <c r="L265" s="1000">
        <v>0.69520000000000004</v>
      </c>
      <c r="M265" s="1000">
        <v>0.69520000000000004</v>
      </c>
    </row>
    <row r="266" spans="1:13">
      <c r="A266" s="991">
        <v>6</v>
      </c>
      <c r="B266" s="1000">
        <v>0.85019999999999996</v>
      </c>
      <c r="C266" s="1000">
        <v>0.85019999999999996</v>
      </c>
      <c r="D266" s="1000">
        <v>0.8327</v>
      </c>
      <c r="E266" s="1000">
        <v>0.8327</v>
      </c>
      <c r="F266" s="1000">
        <v>0.8327</v>
      </c>
      <c r="G266" s="1000">
        <v>0.8327</v>
      </c>
      <c r="H266" s="1000">
        <v>0.8327</v>
      </c>
      <c r="I266" s="1000">
        <v>0.69320000000000004</v>
      </c>
      <c r="J266" s="1000">
        <v>0.69320000000000004</v>
      </c>
      <c r="K266" s="1000">
        <v>0.69320000000000004</v>
      </c>
      <c r="L266" s="1000">
        <v>0.69320000000000004</v>
      </c>
      <c r="M266" s="1000">
        <v>0.69320000000000004</v>
      </c>
    </row>
    <row r="267" spans="1:13">
      <c r="A267" s="991">
        <v>6.1</v>
      </c>
      <c r="B267" s="1000">
        <v>0.84899999999999998</v>
      </c>
      <c r="C267" s="1000">
        <v>0.84899999999999998</v>
      </c>
      <c r="D267" s="1000">
        <v>0.83109999999999995</v>
      </c>
      <c r="E267" s="1000">
        <v>0.83109999999999995</v>
      </c>
      <c r="F267" s="1000">
        <v>0.83109999999999995</v>
      </c>
      <c r="G267" s="1000">
        <v>0.83109999999999995</v>
      </c>
      <c r="H267" s="1000">
        <v>0.83109999999999995</v>
      </c>
      <c r="I267" s="1000">
        <v>0.69130000000000003</v>
      </c>
      <c r="J267" s="1000">
        <v>0.69130000000000003</v>
      </c>
      <c r="K267" s="1000">
        <v>0.69130000000000003</v>
      </c>
      <c r="L267" s="1000">
        <v>0.69130000000000003</v>
      </c>
      <c r="M267" s="1000">
        <v>0.69130000000000003</v>
      </c>
    </row>
    <row r="268" spans="1:13">
      <c r="A268" s="991">
        <v>6.2</v>
      </c>
      <c r="B268" s="1000">
        <v>0.8478</v>
      </c>
      <c r="C268" s="1000">
        <v>0.8478</v>
      </c>
      <c r="D268" s="1000">
        <v>0.8296</v>
      </c>
      <c r="E268" s="1000">
        <v>0.8296</v>
      </c>
      <c r="F268" s="1000">
        <v>0.8296</v>
      </c>
      <c r="G268" s="1000">
        <v>0.8296</v>
      </c>
      <c r="H268" s="1000">
        <v>0.8296</v>
      </c>
      <c r="I268" s="1000">
        <v>0.68940000000000001</v>
      </c>
      <c r="J268" s="1000">
        <v>0.68940000000000001</v>
      </c>
      <c r="K268" s="1000">
        <v>0.68940000000000001</v>
      </c>
      <c r="L268" s="1000">
        <v>0.68940000000000001</v>
      </c>
      <c r="M268" s="1000">
        <v>0.68940000000000001</v>
      </c>
    </row>
    <row r="269" spans="1:13">
      <c r="A269" s="991">
        <v>6.3</v>
      </c>
      <c r="B269" s="1000">
        <v>0.84670000000000001</v>
      </c>
      <c r="C269" s="1000">
        <v>0.84670000000000001</v>
      </c>
      <c r="D269" s="1000">
        <v>0.82820000000000005</v>
      </c>
      <c r="E269" s="1000">
        <v>0.82820000000000005</v>
      </c>
      <c r="F269" s="1000">
        <v>0.82820000000000005</v>
      </c>
      <c r="G269" s="1000">
        <v>0.82820000000000005</v>
      </c>
      <c r="H269" s="1000">
        <v>0.82820000000000005</v>
      </c>
      <c r="I269" s="1000">
        <v>0.68769999999999998</v>
      </c>
      <c r="J269" s="1000">
        <v>0.68769999999999998</v>
      </c>
      <c r="K269" s="1000">
        <v>0.68769999999999998</v>
      </c>
      <c r="L269" s="1000">
        <v>0.68769999999999998</v>
      </c>
      <c r="M269" s="1000">
        <v>0.68769999999999998</v>
      </c>
    </row>
    <row r="270" spans="1:13">
      <c r="A270" s="991">
        <v>6.4</v>
      </c>
      <c r="B270" s="1000">
        <v>0.84570000000000001</v>
      </c>
      <c r="C270" s="1000">
        <v>0.84570000000000001</v>
      </c>
      <c r="D270" s="1000">
        <v>0.82689999999999997</v>
      </c>
      <c r="E270" s="1000">
        <v>0.82689999999999997</v>
      </c>
      <c r="F270" s="1000">
        <v>0.82689999999999997</v>
      </c>
      <c r="G270" s="1000">
        <v>0.82689999999999997</v>
      </c>
      <c r="H270" s="1000">
        <v>0.82689999999999997</v>
      </c>
      <c r="I270" s="1000">
        <v>0.68610000000000004</v>
      </c>
      <c r="J270" s="1000">
        <v>0.68610000000000004</v>
      </c>
      <c r="K270" s="1000">
        <v>0.68610000000000004</v>
      </c>
      <c r="L270" s="1000">
        <v>0.68610000000000004</v>
      </c>
      <c r="M270" s="1000">
        <v>0.68610000000000004</v>
      </c>
    </row>
    <row r="271" spans="1:13">
      <c r="A271" s="991">
        <v>6.5</v>
      </c>
      <c r="B271" s="1000">
        <v>0.84470000000000001</v>
      </c>
      <c r="C271" s="1000">
        <v>0.84470000000000001</v>
      </c>
      <c r="D271" s="1000">
        <v>0.82569999999999999</v>
      </c>
      <c r="E271" s="1000">
        <v>0.82569999999999999</v>
      </c>
      <c r="F271" s="1000">
        <v>0.82569999999999999</v>
      </c>
      <c r="G271" s="1000">
        <v>0.82569999999999999</v>
      </c>
      <c r="H271" s="1000">
        <v>0.82569999999999999</v>
      </c>
      <c r="I271" s="1000">
        <v>0.68440000000000001</v>
      </c>
      <c r="J271" s="1000">
        <v>0.68440000000000001</v>
      </c>
      <c r="K271" s="1000">
        <v>0.68440000000000001</v>
      </c>
      <c r="L271" s="1000">
        <v>0.68440000000000001</v>
      </c>
      <c r="M271" s="1000">
        <v>0.68440000000000001</v>
      </c>
    </row>
    <row r="272" spans="1:13">
      <c r="A272" s="991">
        <v>6.6</v>
      </c>
      <c r="B272" s="1000">
        <v>0.84370000000000001</v>
      </c>
      <c r="C272" s="1000">
        <v>0.84370000000000001</v>
      </c>
      <c r="D272" s="1000">
        <v>0.82450000000000001</v>
      </c>
      <c r="E272" s="1000">
        <v>0.82450000000000001</v>
      </c>
      <c r="F272" s="1000">
        <v>0.82450000000000001</v>
      </c>
      <c r="G272" s="1000">
        <v>0.82450000000000001</v>
      </c>
      <c r="H272" s="1000">
        <v>0.82450000000000001</v>
      </c>
      <c r="I272" s="1000">
        <v>0.68289999999999995</v>
      </c>
      <c r="J272" s="1000">
        <v>0.68289999999999995</v>
      </c>
      <c r="K272" s="1000">
        <v>0.68289999999999995</v>
      </c>
      <c r="L272" s="1000">
        <v>0.68289999999999995</v>
      </c>
      <c r="M272" s="1000">
        <v>0.68289999999999995</v>
      </c>
    </row>
    <row r="273" spans="1:13">
      <c r="A273" s="991">
        <v>6.7</v>
      </c>
      <c r="B273" s="1000">
        <v>0.8427</v>
      </c>
      <c r="C273" s="1000">
        <v>0.8427</v>
      </c>
      <c r="D273" s="1000">
        <v>0.82330000000000003</v>
      </c>
      <c r="E273" s="1000">
        <v>0.82330000000000003</v>
      </c>
      <c r="F273" s="1000">
        <v>0.82330000000000003</v>
      </c>
      <c r="G273" s="1000">
        <v>0.82330000000000003</v>
      </c>
      <c r="H273" s="1000">
        <v>0.82330000000000003</v>
      </c>
      <c r="I273" s="1000">
        <v>0.68130000000000002</v>
      </c>
      <c r="J273" s="1000">
        <v>0.68130000000000002</v>
      </c>
      <c r="K273" s="1000">
        <v>0.68130000000000002</v>
      </c>
      <c r="L273" s="1000">
        <v>0.68130000000000002</v>
      </c>
      <c r="M273" s="1000">
        <v>0.68130000000000002</v>
      </c>
    </row>
    <row r="274" spans="1:13">
      <c r="A274" s="991">
        <v>6.8</v>
      </c>
      <c r="B274" s="1000">
        <v>0.84179999999999999</v>
      </c>
      <c r="C274" s="1000">
        <v>0.84179999999999999</v>
      </c>
      <c r="D274" s="1000">
        <v>0.82210000000000005</v>
      </c>
      <c r="E274" s="1000">
        <v>0.82210000000000005</v>
      </c>
      <c r="F274" s="1000">
        <v>0.82210000000000005</v>
      </c>
      <c r="G274" s="1000">
        <v>0.82210000000000005</v>
      </c>
      <c r="H274" s="1000">
        <v>0.82210000000000005</v>
      </c>
      <c r="I274" s="1000">
        <v>0.67979999999999996</v>
      </c>
      <c r="J274" s="1000">
        <v>0.67979999999999996</v>
      </c>
      <c r="K274" s="1000">
        <v>0.67979999999999996</v>
      </c>
      <c r="L274" s="1000">
        <v>0.67979999999999996</v>
      </c>
      <c r="M274" s="1000">
        <v>0.67979999999999996</v>
      </c>
    </row>
    <row r="275" spans="1:13">
      <c r="A275" s="991">
        <v>6.9</v>
      </c>
      <c r="B275" s="1000">
        <v>0.84089999999999998</v>
      </c>
      <c r="C275" s="1000">
        <v>0.84089999999999998</v>
      </c>
      <c r="D275" s="1000">
        <v>0.82099999999999995</v>
      </c>
      <c r="E275" s="1000">
        <v>0.82099999999999995</v>
      </c>
      <c r="F275" s="1000">
        <v>0.82099999999999995</v>
      </c>
      <c r="G275" s="1000">
        <v>0.82099999999999995</v>
      </c>
      <c r="H275" s="1000">
        <v>0.82099999999999995</v>
      </c>
      <c r="I275" s="1000">
        <v>0.67849999999999999</v>
      </c>
      <c r="J275" s="1000">
        <v>0.67849999999999999</v>
      </c>
      <c r="K275" s="1000">
        <v>0.67849999999999999</v>
      </c>
      <c r="L275" s="1000">
        <v>0.67849999999999999</v>
      </c>
      <c r="M275" s="1000">
        <v>0.67849999999999999</v>
      </c>
    </row>
    <row r="276" spans="1:13">
      <c r="A276" s="991">
        <v>7</v>
      </c>
      <c r="B276" s="1000">
        <v>0.84009999999999996</v>
      </c>
      <c r="C276" s="1000">
        <v>0.84009999999999996</v>
      </c>
      <c r="D276" s="1000">
        <v>0.81989999999999996</v>
      </c>
      <c r="E276" s="1000">
        <v>0.81989999999999996</v>
      </c>
      <c r="F276" s="1000">
        <v>0.81989999999999996</v>
      </c>
      <c r="G276" s="1000">
        <v>0.81989999999999996</v>
      </c>
      <c r="H276" s="1000">
        <v>0.81989999999999996</v>
      </c>
      <c r="I276" s="1000">
        <v>0.67720000000000002</v>
      </c>
      <c r="J276" s="1000">
        <v>0.67720000000000002</v>
      </c>
      <c r="K276" s="1000">
        <v>0.67720000000000002</v>
      </c>
      <c r="L276" s="1000">
        <v>0.67720000000000002</v>
      </c>
      <c r="M276" s="1000">
        <v>0.67720000000000002</v>
      </c>
    </row>
    <row r="277" spans="1:13">
      <c r="A277" s="991">
        <v>7.1</v>
      </c>
      <c r="B277" s="1000">
        <v>0.83930000000000005</v>
      </c>
      <c r="C277" s="1000">
        <v>0.83930000000000005</v>
      </c>
      <c r="D277" s="1000">
        <v>0.81889999999999996</v>
      </c>
      <c r="E277" s="1000">
        <v>0.81889999999999996</v>
      </c>
      <c r="F277" s="1000">
        <v>0.81889999999999996</v>
      </c>
      <c r="G277" s="1000">
        <v>0.81889999999999996</v>
      </c>
      <c r="H277" s="1000">
        <v>0.81889999999999996</v>
      </c>
      <c r="I277" s="1000">
        <v>0.67589999999999995</v>
      </c>
      <c r="J277" s="1000">
        <v>0.67589999999999995</v>
      </c>
      <c r="K277" s="1000">
        <v>0.67589999999999995</v>
      </c>
      <c r="L277" s="1000">
        <v>0.67589999999999995</v>
      </c>
      <c r="M277" s="1000">
        <v>0.67589999999999995</v>
      </c>
    </row>
    <row r="278" spans="1:13">
      <c r="A278" s="991">
        <v>7.2</v>
      </c>
      <c r="B278" s="1000">
        <v>0.83850000000000002</v>
      </c>
      <c r="C278" s="1000">
        <v>0.83850000000000002</v>
      </c>
      <c r="D278" s="1000">
        <v>0.81789999999999996</v>
      </c>
      <c r="E278" s="1000">
        <v>0.81789999999999996</v>
      </c>
      <c r="F278" s="1000">
        <v>0.81789999999999996</v>
      </c>
      <c r="G278" s="1000">
        <v>0.81789999999999996</v>
      </c>
      <c r="H278" s="1000">
        <v>0.81789999999999996</v>
      </c>
      <c r="I278" s="1000">
        <v>0.67459999999999998</v>
      </c>
      <c r="J278" s="1000">
        <v>0.67459999999999998</v>
      </c>
      <c r="K278" s="1000">
        <v>0.67459999999999998</v>
      </c>
      <c r="L278" s="1000">
        <v>0.67459999999999998</v>
      </c>
      <c r="M278" s="1000">
        <v>0.67459999999999998</v>
      </c>
    </row>
    <row r="279" spans="1:13">
      <c r="A279" s="991">
        <v>7.3</v>
      </c>
      <c r="B279" s="1000">
        <v>0.8377</v>
      </c>
      <c r="C279" s="1000">
        <v>0.8377</v>
      </c>
      <c r="D279" s="1000">
        <v>0.81689999999999996</v>
      </c>
      <c r="E279" s="1000">
        <v>0.81689999999999996</v>
      </c>
      <c r="F279" s="1000">
        <v>0.81689999999999996</v>
      </c>
      <c r="G279" s="1000">
        <v>0.81689999999999996</v>
      </c>
      <c r="H279" s="1000">
        <v>0.81689999999999996</v>
      </c>
      <c r="I279" s="1000">
        <v>0.6734</v>
      </c>
      <c r="J279" s="1000">
        <v>0.6734</v>
      </c>
      <c r="K279" s="1000">
        <v>0.6734</v>
      </c>
      <c r="L279" s="1000">
        <v>0.6734</v>
      </c>
      <c r="M279" s="1000">
        <v>0.6734</v>
      </c>
    </row>
    <row r="280" spans="1:13">
      <c r="A280" s="991">
        <v>7.4</v>
      </c>
      <c r="B280" s="1000">
        <v>0.83699999999999997</v>
      </c>
      <c r="C280" s="1000">
        <v>0.83699999999999997</v>
      </c>
      <c r="D280" s="1000">
        <v>0.81599999999999995</v>
      </c>
      <c r="E280" s="1000">
        <v>0.81599999999999995</v>
      </c>
      <c r="F280" s="1000">
        <v>0.81599999999999995</v>
      </c>
      <c r="G280" s="1000">
        <v>0.81599999999999995</v>
      </c>
      <c r="H280" s="1000">
        <v>0.81599999999999995</v>
      </c>
      <c r="I280" s="1000">
        <v>0.67210000000000003</v>
      </c>
      <c r="J280" s="1000">
        <v>0.67210000000000003</v>
      </c>
      <c r="K280" s="1000">
        <v>0.67210000000000003</v>
      </c>
      <c r="L280" s="1000">
        <v>0.67210000000000003</v>
      </c>
      <c r="M280" s="1000">
        <v>0.67210000000000003</v>
      </c>
    </row>
    <row r="281" spans="1:13">
      <c r="A281" s="991">
        <v>7.5</v>
      </c>
      <c r="B281" s="1000">
        <v>0.83630000000000004</v>
      </c>
      <c r="C281" s="1000">
        <v>0.83630000000000004</v>
      </c>
      <c r="D281" s="1000">
        <v>0.81510000000000005</v>
      </c>
      <c r="E281" s="1000">
        <v>0.81510000000000005</v>
      </c>
      <c r="F281" s="1000">
        <v>0.81510000000000005</v>
      </c>
      <c r="G281" s="1000">
        <v>0.81510000000000005</v>
      </c>
      <c r="H281" s="1000">
        <v>0.81510000000000005</v>
      </c>
      <c r="I281" s="1000">
        <v>0.67090000000000005</v>
      </c>
      <c r="J281" s="1000">
        <v>0.67090000000000005</v>
      </c>
      <c r="K281" s="1000">
        <v>0.67090000000000005</v>
      </c>
      <c r="L281" s="1000">
        <v>0.67090000000000005</v>
      </c>
      <c r="M281" s="1000">
        <v>0.67090000000000005</v>
      </c>
    </row>
    <row r="282" spans="1:13">
      <c r="A282" s="991">
        <v>7.6</v>
      </c>
      <c r="B282" s="1000">
        <v>0.83560000000000001</v>
      </c>
      <c r="C282" s="1000">
        <v>0.83560000000000001</v>
      </c>
      <c r="D282" s="1000">
        <v>0.81420000000000003</v>
      </c>
      <c r="E282" s="1000">
        <v>0.81420000000000003</v>
      </c>
      <c r="F282" s="1000">
        <v>0.81420000000000003</v>
      </c>
      <c r="G282" s="1000">
        <v>0.81420000000000003</v>
      </c>
      <c r="H282" s="1000">
        <v>0.81420000000000003</v>
      </c>
      <c r="I282" s="1000">
        <v>0.66979999999999995</v>
      </c>
      <c r="J282" s="1000">
        <v>0.66979999999999995</v>
      </c>
      <c r="K282" s="1000">
        <v>0.66979999999999995</v>
      </c>
      <c r="L282" s="1000">
        <v>0.66979999999999995</v>
      </c>
      <c r="M282" s="1000">
        <v>0.66979999999999995</v>
      </c>
    </row>
    <row r="283" spans="1:13">
      <c r="A283" s="991">
        <v>7.7</v>
      </c>
      <c r="B283" s="1000">
        <v>0.83489999999999998</v>
      </c>
      <c r="C283" s="1000">
        <v>0.83489999999999998</v>
      </c>
      <c r="D283" s="1000">
        <v>0.81330000000000002</v>
      </c>
      <c r="E283" s="1000">
        <v>0.81330000000000002</v>
      </c>
      <c r="F283" s="1000">
        <v>0.81330000000000002</v>
      </c>
      <c r="G283" s="1000">
        <v>0.81330000000000002</v>
      </c>
      <c r="H283" s="1000">
        <v>0.81330000000000002</v>
      </c>
      <c r="I283" s="1000">
        <v>0.66869999999999996</v>
      </c>
      <c r="J283" s="1000">
        <v>0.66869999999999996</v>
      </c>
      <c r="K283" s="1000">
        <v>0.66869999999999996</v>
      </c>
      <c r="L283" s="1000">
        <v>0.66869999999999996</v>
      </c>
      <c r="M283" s="1000">
        <v>0.66869999999999996</v>
      </c>
    </row>
    <row r="284" spans="1:13">
      <c r="A284" s="991">
        <v>7.8</v>
      </c>
      <c r="B284" s="1000">
        <v>0.83420000000000005</v>
      </c>
      <c r="C284" s="1000">
        <v>0.83420000000000005</v>
      </c>
      <c r="D284" s="1000">
        <v>0.81240000000000001</v>
      </c>
      <c r="E284" s="1000">
        <v>0.81240000000000001</v>
      </c>
      <c r="F284" s="1000">
        <v>0.81240000000000001</v>
      </c>
      <c r="G284" s="1000">
        <v>0.81240000000000001</v>
      </c>
      <c r="H284" s="1000">
        <v>0.81240000000000001</v>
      </c>
      <c r="I284" s="1000">
        <v>0.66759999999999997</v>
      </c>
      <c r="J284" s="1000">
        <v>0.66759999999999997</v>
      </c>
      <c r="K284" s="1000">
        <v>0.66759999999999997</v>
      </c>
      <c r="L284" s="1000">
        <v>0.66759999999999997</v>
      </c>
      <c r="M284" s="1000">
        <v>0.66759999999999997</v>
      </c>
    </row>
    <row r="285" spans="1:13">
      <c r="A285" s="991">
        <v>7.9</v>
      </c>
      <c r="B285" s="1000">
        <v>0.83350000000000002</v>
      </c>
      <c r="C285" s="1000">
        <v>0.83350000000000002</v>
      </c>
      <c r="D285" s="1000">
        <v>0.81159999999999999</v>
      </c>
      <c r="E285" s="1000">
        <v>0.81159999999999999</v>
      </c>
      <c r="F285" s="1000">
        <v>0.81159999999999999</v>
      </c>
      <c r="G285" s="1000">
        <v>0.81159999999999999</v>
      </c>
      <c r="H285" s="1000">
        <v>0.81159999999999999</v>
      </c>
      <c r="I285" s="1000">
        <v>0.66649999999999998</v>
      </c>
      <c r="J285" s="1000">
        <v>0.66649999999999998</v>
      </c>
      <c r="K285" s="1000">
        <v>0.66649999999999998</v>
      </c>
      <c r="L285" s="1000">
        <v>0.66649999999999998</v>
      </c>
      <c r="M285" s="1000">
        <v>0.66649999999999998</v>
      </c>
    </row>
    <row r="286" spans="1:13">
      <c r="A286" s="991">
        <v>8</v>
      </c>
      <c r="B286" s="1000">
        <v>0.83279999999999998</v>
      </c>
      <c r="C286" s="1000">
        <v>0.83279999999999998</v>
      </c>
      <c r="D286" s="1000">
        <v>0.81079999999999997</v>
      </c>
      <c r="E286" s="1000">
        <v>0.81079999999999997</v>
      </c>
      <c r="F286" s="1000">
        <v>0.81079999999999997</v>
      </c>
      <c r="G286" s="1000">
        <v>0.81079999999999997</v>
      </c>
      <c r="H286" s="1000">
        <v>0.81079999999999997</v>
      </c>
      <c r="I286" s="1000">
        <v>0.66549999999999998</v>
      </c>
      <c r="J286" s="1000">
        <v>0.66549999999999998</v>
      </c>
      <c r="K286" s="1000">
        <v>0.66549999999999998</v>
      </c>
      <c r="L286" s="1000">
        <v>0.66549999999999998</v>
      </c>
      <c r="M286" s="1000">
        <v>0.66549999999999998</v>
      </c>
    </row>
    <row r="287" spans="1:13">
      <c r="A287" s="991">
        <v>8.1</v>
      </c>
      <c r="B287" s="1000">
        <v>0.83220000000000005</v>
      </c>
      <c r="C287" s="1000">
        <v>0.83220000000000005</v>
      </c>
      <c r="D287" s="1000">
        <v>0.81</v>
      </c>
      <c r="E287" s="1000">
        <v>0.81</v>
      </c>
      <c r="F287" s="1000">
        <v>0.81</v>
      </c>
      <c r="G287" s="1000">
        <v>0.81</v>
      </c>
      <c r="H287" s="1000">
        <v>0.81</v>
      </c>
      <c r="I287" s="1000">
        <v>0.66439999999999999</v>
      </c>
      <c r="J287" s="1000">
        <v>0.66439999999999999</v>
      </c>
      <c r="K287" s="1000">
        <v>0.66439999999999999</v>
      </c>
      <c r="L287" s="1000">
        <v>0.66439999999999999</v>
      </c>
      <c r="M287" s="1000">
        <v>0.66439999999999999</v>
      </c>
    </row>
    <row r="288" spans="1:13">
      <c r="A288" s="991">
        <v>8.1999999999999993</v>
      </c>
      <c r="B288" s="1000">
        <v>0.83160000000000001</v>
      </c>
      <c r="C288" s="1000">
        <v>0.83160000000000001</v>
      </c>
      <c r="D288" s="1000">
        <v>0.80920000000000003</v>
      </c>
      <c r="E288" s="1000">
        <v>0.80920000000000003</v>
      </c>
      <c r="F288" s="1000">
        <v>0.80920000000000003</v>
      </c>
      <c r="G288" s="1000">
        <v>0.80920000000000003</v>
      </c>
      <c r="H288" s="1000">
        <v>0.80920000000000003</v>
      </c>
      <c r="I288" s="1000">
        <v>0.66339999999999999</v>
      </c>
      <c r="J288" s="1000">
        <v>0.66339999999999999</v>
      </c>
      <c r="K288" s="1000">
        <v>0.66339999999999999</v>
      </c>
      <c r="L288" s="1000">
        <v>0.66339999999999999</v>
      </c>
      <c r="M288" s="1000">
        <v>0.66339999999999999</v>
      </c>
    </row>
    <row r="289" spans="1:13">
      <c r="A289" s="991">
        <v>8.3000000000000007</v>
      </c>
      <c r="B289" s="1000">
        <v>0.83099999999999996</v>
      </c>
      <c r="C289" s="1000">
        <v>0.83099999999999996</v>
      </c>
      <c r="D289" s="1000">
        <v>0.80840000000000001</v>
      </c>
      <c r="E289" s="1000">
        <v>0.80840000000000001</v>
      </c>
      <c r="F289" s="1000">
        <v>0.80840000000000001</v>
      </c>
      <c r="G289" s="1000">
        <v>0.80840000000000001</v>
      </c>
      <c r="H289" s="1000">
        <v>0.80840000000000001</v>
      </c>
      <c r="I289" s="1000">
        <v>0.66239999999999999</v>
      </c>
      <c r="J289" s="1000">
        <v>0.66239999999999999</v>
      </c>
      <c r="K289" s="1000">
        <v>0.66239999999999999</v>
      </c>
      <c r="L289" s="1000">
        <v>0.66239999999999999</v>
      </c>
      <c r="M289" s="1000">
        <v>0.66239999999999999</v>
      </c>
    </row>
    <row r="290" spans="1:13">
      <c r="A290" s="991">
        <v>8.4</v>
      </c>
      <c r="B290" s="1000">
        <v>0.83040000000000003</v>
      </c>
      <c r="C290" s="1000">
        <v>0.83040000000000003</v>
      </c>
      <c r="D290" s="1000">
        <v>0.80759999999999998</v>
      </c>
      <c r="E290" s="1000">
        <v>0.80759999999999998</v>
      </c>
      <c r="F290" s="1000">
        <v>0.80759999999999998</v>
      </c>
      <c r="G290" s="1000">
        <v>0.80759999999999998</v>
      </c>
      <c r="H290" s="1000">
        <v>0.80759999999999998</v>
      </c>
      <c r="I290" s="1000">
        <v>0.66139999999999999</v>
      </c>
      <c r="J290" s="1000">
        <v>0.66139999999999999</v>
      </c>
      <c r="K290" s="1000">
        <v>0.66139999999999999</v>
      </c>
      <c r="L290" s="1000">
        <v>0.66139999999999999</v>
      </c>
      <c r="M290" s="1000">
        <v>0.66139999999999999</v>
      </c>
    </row>
    <row r="291" spans="1:13">
      <c r="A291" s="991">
        <v>8.5</v>
      </c>
      <c r="B291" s="1000">
        <v>0.82979999999999998</v>
      </c>
      <c r="C291" s="1000">
        <v>0.82979999999999998</v>
      </c>
      <c r="D291" s="1000">
        <v>0.80679999999999996</v>
      </c>
      <c r="E291" s="1000">
        <v>0.80679999999999996</v>
      </c>
      <c r="F291" s="1000">
        <v>0.80679999999999996</v>
      </c>
      <c r="G291" s="1000">
        <v>0.80679999999999996</v>
      </c>
      <c r="H291" s="1000">
        <v>0.80679999999999996</v>
      </c>
      <c r="I291" s="1000">
        <v>0.66049999999999998</v>
      </c>
      <c r="J291" s="1000">
        <v>0.66049999999999998</v>
      </c>
      <c r="K291" s="1000">
        <v>0.66049999999999998</v>
      </c>
      <c r="L291" s="1000">
        <v>0.66049999999999998</v>
      </c>
      <c r="M291" s="1000">
        <v>0.66049999999999998</v>
      </c>
    </row>
    <row r="292" spans="1:13">
      <c r="A292" s="991">
        <v>8.6</v>
      </c>
      <c r="B292" s="1000">
        <v>0.82920000000000005</v>
      </c>
      <c r="C292" s="1000">
        <v>0.82920000000000005</v>
      </c>
      <c r="D292" s="1000">
        <v>0.80600000000000005</v>
      </c>
      <c r="E292" s="1000">
        <v>0.80600000000000005</v>
      </c>
      <c r="F292" s="1000">
        <v>0.80600000000000005</v>
      </c>
      <c r="G292" s="1000">
        <v>0.80600000000000005</v>
      </c>
      <c r="H292" s="1000">
        <v>0.80600000000000005</v>
      </c>
      <c r="I292" s="1000">
        <v>0.65949999999999998</v>
      </c>
      <c r="J292" s="1000">
        <v>0.65949999999999998</v>
      </c>
      <c r="K292" s="1000">
        <v>0.65949999999999998</v>
      </c>
      <c r="L292" s="1000">
        <v>0.65949999999999998</v>
      </c>
      <c r="M292" s="1000">
        <v>0.65949999999999998</v>
      </c>
    </row>
    <row r="293" spans="1:13">
      <c r="A293" s="991">
        <v>8.6999999999999993</v>
      </c>
      <c r="B293" s="1000">
        <v>0.8286</v>
      </c>
      <c r="C293" s="1000">
        <v>0.8286</v>
      </c>
      <c r="D293" s="1000">
        <v>0.80520000000000003</v>
      </c>
      <c r="E293" s="1000">
        <v>0.80520000000000003</v>
      </c>
      <c r="F293" s="1000">
        <v>0.80520000000000003</v>
      </c>
      <c r="G293" s="1000">
        <v>0.80520000000000003</v>
      </c>
      <c r="H293" s="1000">
        <v>0.80520000000000003</v>
      </c>
      <c r="I293" s="1000">
        <v>0.65859999999999996</v>
      </c>
      <c r="J293" s="1000">
        <v>0.65859999999999996</v>
      </c>
      <c r="K293" s="1000">
        <v>0.65859999999999996</v>
      </c>
      <c r="L293" s="1000">
        <v>0.65859999999999996</v>
      </c>
      <c r="M293" s="1000">
        <v>0.65859999999999996</v>
      </c>
    </row>
    <row r="294" spans="1:13">
      <c r="A294" s="991">
        <v>8.8000000000000007</v>
      </c>
      <c r="B294" s="1000">
        <v>0.82799999999999996</v>
      </c>
      <c r="C294" s="1000">
        <v>0.82799999999999996</v>
      </c>
      <c r="D294" s="1000">
        <v>0.8044</v>
      </c>
      <c r="E294" s="1000">
        <v>0.8044</v>
      </c>
      <c r="F294" s="1000">
        <v>0.8044</v>
      </c>
      <c r="G294" s="1000">
        <v>0.8044</v>
      </c>
      <c r="H294" s="1000">
        <v>0.8044</v>
      </c>
      <c r="I294" s="1000">
        <v>0.65759999999999996</v>
      </c>
      <c r="J294" s="1000">
        <v>0.65759999999999996</v>
      </c>
      <c r="K294" s="1000">
        <v>0.65759999999999996</v>
      </c>
      <c r="L294" s="1000">
        <v>0.65759999999999996</v>
      </c>
      <c r="M294" s="1000">
        <v>0.65759999999999996</v>
      </c>
    </row>
    <row r="295" spans="1:13">
      <c r="A295" s="991">
        <v>8.9</v>
      </c>
      <c r="B295" s="1000">
        <v>0.82740000000000002</v>
      </c>
      <c r="C295" s="1000">
        <v>0.82740000000000002</v>
      </c>
      <c r="D295" s="1000">
        <v>0.80359999999999998</v>
      </c>
      <c r="E295" s="1000">
        <v>0.80359999999999998</v>
      </c>
      <c r="F295" s="1000">
        <v>0.80359999999999998</v>
      </c>
      <c r="G295" s="1000">
        <v>0.80359999999999998</v>
      </c>
      <c r="H295" s="1000">
        <v>0.80359999999999998</v>
      </c>
      <c r="I295" s="1000">
        <v>0.65669999999999995</v>
      </c>
      <c r="J295" s="1000">
        <v>0.65669999999999995</v>
      </c>
      <c r="K295" s="1000">
        <v>0.65669999999999995</v>
      </c>
      <c r="L295" s="1000">
        <v>0.65669999999999995</v>
      </c>
      <c r="M295" s="1000">
        <v>0.65669999999999995</v>
      </c>
    </row>
    <row r="296" spans="1:13">
      <c r="A296" s="1015">
        <v>9</v>
      </c>
      <c r="B296" s="1000">
        <v>0.82679999999999998</v>
      </c>
      <c r="C296" s="1000">
        <v>0.82679999999999998</v>
      </c>
      <c r="D296" s="1000">
        <v>0.80279999999999996</v>
      </c>
      <c r="E296" s="1000">
        <v>0.80279999999999996</v>
      </c>
      <c r="F296" s="1000">
        <v>0.80279999999999996</v>
      </c>
      <c r="G296" s="1000">
        <v>0.80279999999999996</v>
      </c>
      <c r="H296" s="1000">
        <v>0.80279999999999996</v>
      </c>
      <c r="I296" s="1000">
        <v>0.65569999999999995</v>
      </c>
      <c r="J296" s="1000">
        <v>0.65569999999999995</v>
      </c>
      <c r="K296" s="1000">
        <v>0.65569999999999995</v>
      </c>
      <c r="L296" s="1000">
        <v>0.65569999999999995</v>
      </c>
      <c r="M296" s="1000">
        <v>0.65569999999999995</v>
      </c>
    </row>
    <row r="297" spans="1:13">
      <c r="A297" s="1015">
        <v>9.1</v>
      </c>
      <c r="B297" s="1000">
        <v>0.82620000000000005</v>
      </c>
      <c r="C297" s="1000">
        <v>0.82620000000000005</v>
      </c>
      <c r="D297" s="1000">
        <v>0.80200000000000005</v>
      </c>
      <c r="E297" s="1000">
        <v>0.80200000000000005</v>
      </c>
      <c r="F297" s="1000">
        <v>0.80200000000000005</v>
      </c>
      <c r="G297" s="1000">
        <v>0.80200000000000005</v>
      </c>
      <c r="H297" s="1000">
        <v>0.80200000000000005</v>
      </c>
      <c r="I297" s="1000">
        <v>0.65480000000000005</v>
      </c>
      <c r="J297" s="1000">
        <v>0.65480000000000005</v>
      </c>
      <c r="K297" s="1000">
        <v>0.65480000000000005</v>
      </c>
      <c r="L297" s="1000">
        <v>0.65480000000000005</v>
      </c>
      <c r="M297" s="1000">
        <v>0.65480000000000005</v>
      </c>
    </row>
    <row r="298" spans="1:13">
      <c r="A298" s="1015">
        <v>9.1999999999999993</v>
      </c>
      <c r="B298" s="1000">
        <v>0.8256</v>
      </c>
      <c r="C298" s="1000">
        <v>0.8256</v>
      </c>
      <c r="D298" s="1000">
        <v>0.80120000000000002</v>
      </c>
      <c r="E298" s="1000">
        <v>0.80120000000000002</v>
      </c>
      <c r="F298" s="1000">
        <v>0.80120000000000002</v>
      </c>
      <c r="G298" s="1000">
        <v>0.80120000000000002</v>
      </c>
      <c r="H298" s="1000">
        <v>0.80120000000000002</v>
      </c>
      <c r="I298" s="1000">
        <v>0.65380000000000005</v>
      </c>
      <c r="J298" s="1000">
        <v>0.65380000000000005</v>
      </c>
      <c r="K298" s="1000">
        <v>0.65380000000000005</v>
      </c>
      <c r="L298" s="1000">
        <v>0.65380000000000005</v>
      </c>
      <c r="M298" s="1000">
        <v>0.65380000000000005</v>
      </c>
    </row>
    <row r="299" spans="1:13">
      <c r="A299" s="1015">
        <v>9.3000000000000007</v>
      </c>
      <c r="B299" s="1000">
        <v>0.82499999999999996</v>
      </c>
      <c r="C299" s="1000">
        <v>0.82499999999999996</v>
      </c>
      <c r="D299" s="1000">
        <v>0.8004</v>
      </c>
      <c r="E299" s="1000">
        <v>0.8004</v>
      </c>
      <c r="F299" s="1000">
        <v>0.8004</v>
      </c>
      <c r="G299" s="1000">
        <v>0.8004</v>
      </c>
      <c r="H299" s="1000">
        <v>0.8004</v>
      </c>
      <c r="I299" s="1000">
        <v>0.65290000000000004</v>
      </c>
      <c r="J299" s="1000">
        <v>0.65290000000000004</v>
      </c>
      <c r="K299" s="1000">
        <v>0.65290000000000004</v>
      </c>
      <c r="L299" s="1000">
        <v>0.65290000000000004</v>
      </c>
      <c r="M299" s="1000">
        <v>0.65290000000000004</v>
      </c>
    </row>
    <row r="300" spans="1:13">
      <c r="A300" s="1015">
        <v>9.4</v>
      </c>
      <c r="B300" s="1000">
        <v>0.82440000000000002</v>
      </c>
      <c r="C300" s="1000">
        <v>0.82440000000000002</v>
      </c>
      <c r="D300" s="1000">
        <v>0.79959999999999998</v>
      </c>
      <c r="E300" s="1000">
        <v>0.79959999999999998</v>
      </c>
      <c r="F300" s="1000">
        <v>0.79959999999999998</v>
      </c>
      <c r="G300" s="1000">
        <v>0.79959999999999998</v>
      </c>
      <c r="H300" s="1000">
        <v>0.79959999999999998</v>
      </c>
      <c r="I300" s="1000">
        <v>0.65190000000000003</v>
      </c>
      <c r="J300" s="1000">
        <v>0.65190000000000003</v>
      </c>
      <c r="K300" s="1000">
        <v>0.65190000000000003</v>
      </c>
      <c r="L300" s="1000">
        <v>0.65190000000000003</v>
      </c>
      <c r="M300" s="1000">
        <v>0.65190000000000003</v>
      </c>
    </row>
    <row r="301" spans="1:13">
      <c r="A301" s="1015">
        <v>9.5</v>
      </c>
      <c r="B301" s="1000">
        <v>0.82379999999999998</v>
      </c>
      <c r="C301" s="1000">
        <v>0.82379999999999998</v>
      </c>
      <c r="D301" s="1000">
        <v>0.79879999999999995</v>
      </c>
      <c r="E301" s="1000">
        <v>0.79879999999999995</v>
      </c>
      <c r="F301" s="1000">
        <v>0.79879999999999995</v>
      </c>
      <c r="G301" s="1000">
        <v>0.79879999999999995</v>
      </c>
      <c r="H301" s="1000">
        <v>0.79879999999999995</v>
      </c>
      <c r="I301" s="1000">
        <v>0.65100000000000002</v>
      </c>
      <c r="J301" s="1000">
        <v>0.65100000000000002</v>
      </c>
      <c r="K301" s="1000">
        <v>0.65100000000000002</v>
      </c>
      <c r="L301" s="1000">
        <v>0.65100000000000002</v>
      </c>
      <c r="M301" s="1000">
        <v>0.65100000000000002</v>
      </c>
    </row>
    <row r="302" spans="1:13">
      <c r="A302" s="1015">
        <v>9.6</v>
      </c>
      <c r="B302" s="1000">
        <v>0.82320000000000004</v>
      </c>
      <c r="C302" s="1000">
        <v>0.82320000000000004</v>
      </c>
      <c r="D302" s="1000">
        <v>0.79800000000000004</v>
      </c>
      <c r="E302" s="1000">
        <v>0.79800000000000004</v>
      </c>
      <c r="F302" s="1000">
        <v>0.79800000000000004</v>
      </c>
      <c r="G302" s="1000">
        <v>0.79800000000000004</v>
      </c>
      <c r="H302" s="1000">
        <v>0.79800000000000004</v>
      </c>
      <c r="I302" s="1000">
        <v>0.65</v>
      </c>
      <c r="J302" s="1000">
        <v>0.65</v>
      </c>
      <c r="K302" s="1000">
        <v>0.65</v>
      </c>
      <c r="L302" s="1000">
        <v>0.65</v>
      </c>
      <c r="M302" s="1000">
        <v>0.65</v>
      </c>
    </row>
    <row r="303" spans="1:13">
      <c r="A303" s="1015">
        <v>9.6999999999999993</v>
      </c>
      <c r="B303" s="1000">
        <v>0.8226</v>
      </c>
      <c r="C303" s="1000">
        <v>0.8226</v>
      </c>
      <c r="D303" s="1000">
        <v>0.79720000000000002</v>
      </c>
      <c r="E303" s="1000">
        <v>0.79720000000000002</v>
      </c>
      <c r="F303" s="1000">
        <v>0.79720000000000002</v>
      </c>
      <c r="G303" s="1000">
        <v>0.79720000000000002</v>
      </c>
      <c r="H303" s="1000">
        <v>0.79720000000000002</v>
      </c>
      <c r="I303" s="1000">
        <v>0.64900000000000002</v>
      </c>
      <c r="J303" s="1000">
        <v>0.64900000000000002</v>
      </c>
      <c r="K303" s="1000">
        <v>0.64900000000000002</v>
      </c>
      <c r="L303" s="1000">
        <v>0.64900000000000002</v>
      </c>
      <c r="M303" s="1000">
        <v>0.64900000000000002</v>
      </c>
    </row>
    <row r="304" spans="1:13">
      <c r="A304" s="1015">
        <v>9.8000000000000007</v>
      </c>
      <c r="B304" s="1000">
        <v>0.82199999999999995</v>
      </c>
      <c r="C304" s="1000">
        <v>0.82199999999999995</v>
      </c>
      <c r="D304" s="1000">
        <v>0.7964</v>
      </c>
      <c r="E304" s="1000">
        <v>0.7964</v>
      </c>
      <c r="F304" s="1000">
        <v>0.7964</v>
      </c>
      <c r="G304" s="1000">
        <v>0.7964</v>
      </c>
      <c r="H304" s="1000">
        <v>0.7964</v>
      </c>
      <c r="I304" s="1000">
        <v>0.64810000000000001</v>
      </c>
      <c r="J304" s="1000">
        <v>0.64810000000000001</v>
      </c>
      <c r="K304" s="1000">
        <v>0.64810000000000001</v>
      </c>
      <c r="L304" s="1000">
        <v>0.64810000000000001</v>
      </c>
      <c r="M304" s="1000">
        <v>0.64810000000000001</v>
      </c>
    </row>
    <row r="305" spans="1:13">
      <c r="A305" s="1015">
        <v>9.9</v>
      </c>
      <c r="B305" s="1000">
        <v>0.82140000000000002</v>
      </c>
      <c r="C305" s="1000">
        <v>0.82140000000000002</v>
      </c>
      <c r="D305" s="1000">
        <v>0.79559999999999997</v>
      </c>
      <c r="E305" s="1000">
        <v>0.79559999999999997</v>
      </c>
      <c r="F305" s="1000">
        <v>0.79559999999999997</v>
      </c>
      <c r="G305" s="1000">
        <v>0.79559999999999997</v>
      </c>
      <c r="H305" s="1000">
        <v>0.79559999999999997</v>
      </c>
      <c r="I305" s="1000">
        <v>0.64710000000000001</v>
      </c>
      <c r="J305" s="1000">
        <v>0.64710000000000001</v>
      </c>
      <c r="K305" s="1000">
        <v>0.64710000000000001</v>
      </c>
      <c r="L305" s="1000">
        <v>0.64710000000000001</v>
      </c>
      <c r="M305" s="1000">
        <v>0.64710000000000001</v>
      </c>
    </row>
    <row r="306" spans="1:13">
      <c r="A306" s="1015">
        <v>10</v>
      </c>
      <c r="B306" s="1000">
        <v>0.82079999999999997</v>
      </c>
      <c r="C306" s="1000">
        <v>0.82079999999999997</v>
      </c>
      <c r="D306" s="1000">
        <v>0.79479999999999995</v>
      </c>
      <c r="E306" s="1000">
        <v>0.79479999999999995</v>
      </c>
      <c r="F306" s="1000">
        <v>0.79479999999999995</v>
      </c>
      <c r="G306" s="1000">
        <v>0.79479999999999995</v>
      </c>
      <c r="H306" s="1000">
        <v>0.79479999999999995</v>
      </c>
      <c r="I306" s="1000">
        <v>0.6462</v>
      </c>
      <c r="J306" s="1000">
        <v>0.6462</v>
      </c>
      <c r="K306" s="1000">
        <v>0.6462</v>
      </c>
      <c r="L306" s="1000">
        <v>0.6462</v>
      </c>
      <c r="M306" s="1000">
        <v>0.6462</v>
      </c>
    </row>
    <row r="307" spans="1:13" ht="14.25">
      <c r="A307" s="988" t="s">
        <v>1113</v>
      </c>
      <c r="B307" s="989"/>
      <c r="C307" s="989"/>
      <c r="D307" s="989"/>
      <c r="E307" s="989"/>
      <c r="F307" s="989"/>
      <c r="G307" s="989"/>
      <c r="H307" s="989"/>
      <c r="I307" s="989"/>
      <c r="J307" s="989"/>
      <c r="K307" s="989"/>
      <c r="L307" s="989"/>
      <c r="M307" s="989"/>
    </row>
    <row r="308" spans="1:13">
      <c r="A308" s="991" t="s">
        <v>1100</v>
      </c>
      <c r="B308" s="992" t="s">
        <v>1101</v>
      </c>
      <c r="C308" s="992" t="s">
        <v>1102</v>
      </c>
      <c r="D308" s="992" t="s">
        <v>1103</v>
      </c>
      <c r="E308" s="992" t="s">
        <v>1104</v>
      </c>
      <c r="F308" s="992" t="s">
        <v>1105</v>
      </c>
      <c r="G308" s="992" t="s">
        <v>1106</v>
      </c>
      <c r="H308" s="993" t="s">
        <v>1107</v>
      </c>
      <c r="I308" s="993" t="s">
        <v>1108</v>
      </c>
      <c r="J308" s="994" t="s">
        <v>1109</v>
      </c>
      <c r="K308" s="994" t="s">
        <v>1110</v>
      </c>
      <c r="L308" s="994" t="s">
        <v>1111</v>
      </c>
      <c r="M308" s="994" t="s">
        <v>1112</v>
      </c>
    </row>
    <row r="309" spans="1:13">
      <c r="A309" s="991">
        <v>0.1</v>
      </c>
      <c r="B309" s="1000">
        <v>11.506</v>
      </c>
      <c r="C309" s="1000">
        <v>11.506</v>
      </c>
      <c r="D309" s="1000">
        <v>12.015000000000001</v>
      </c>
      <c r="E309" s="1000">
        <v>12.015000000000001</v>
      </c>
      <c r="F309" s="1000">
        <v>12.015000000000001</v>
      </c>
      <c r="G309" s="1000">
        <v>11.118</v>
      </c>
      <c r="H309" s="1000">
        <v>11.118</v>
      </c>
      <c r="I309" s="1000">
        <v>10</v>
      </c>
      <c r="J309" s="1000">
        <v>10</v>
      </c>
      <c r="K309" s="1000">
        <v>10</v>
      </c>
      <c r="L309" s="1000">
        <v>10</v>
      </c>
      <c r="M309" s="1000">
        <v>10</v>
      </c>
    </row>
    <row r="310" spans="1:13">
      <c r="A310" s="991">
        <v>0.2</v>
      </c>
      <c r="B310" s="1000">
        <v>5.7530000000000001</v>
      </c>
      <c r="C310" s="1000">
        <v>5.7530000000000001</v>
      </c>
      <c r="D310" s="1000">
        <v>6.0075000000000003</v>
      </c>
      <c r="E310" s="1000">
        <v>6.0075000000000003</v>
      </c>
      <c r="F310" s="1000">
        <v>6.0075000000000003</v>
      </c>
      <c r="G310" s="1000">
        <v>5.5590000000000002</v>
      </c>
      <c r="H310" s="1000">
        <v>5.5590000000000002</v>
      </c>
      <c r="I310" s="1000">
        <v>5</v>
      </c>
      <c r="J310" s="1000">
        <v>5</v>
      </c>
      <c r="K310" s="1000">
        <v>5</v>
      </c>
      <c r="L310" s="1000">
        <v>5</v>
      </c>
      <c r="M310" s="1000">
        <v>5</v>
      </c>
    </row>
    <row r="311" spans="1:13">
      <c r="A311" s="991">
        <v>0.3</v>
      </c>
      <c r="B311" s="1000">
        <v>3.8353000000000002</v>
      </c>
      <c r="C311" s="1000">
        <v>3.8353000000000002</v>
      </c>
      <c r="D311" s="1000">
        <v>4.0049999999999999</v>
      </c>
      <c r="E311" s="1000">
        <v>4.0049999999999999</v>
      </c>
      <c r="F311" s="1000">
        <v>4.0049999999999999</v>
      </c>
      <c r="G311" s="1000">
        <v>3.706</v>
      </c>
      <c r="H311" s="1000">
        <v>3.706</v>
      </c>
      <c r="I311" s="1000">
        <v>3.3332999999999999</v>
      </c>
      <c r="J311" s="1000">
        <v>3.3332999999999999</v>
      </c>
      <c r="K311" s="1000">
        <v>3.3332999999999999</v>
      </c>
      <c r="L311" s="1000">
        <v>3.3332999999999999</v>
      </c>
      <c r="M311" s="1000">
        <v>3.3332999999999999</v>
      </c>
    </row>
    <row r="312" spans="1:13">
      <c r="A312" s="991">
        <v>0.4</v>
      </c>
      <c r="B312" s="1000">
        <v>2.8765000000000001</v>
      </c>
      <c r="C312" s="1000">
        <v>2.8765000000000001</v>
      </c>
      <c r="D312" s="1000">
        <v>3.0038</v>
      </c>
      <c r="E312" s="1000">
        <v>3.0038</v>
      </c>
      <c r="F312" s="1000">
        <v>3.0038</v>
      </c>
      <c r="G312" s="1000">
        <v>2.7795000000000001</v>
      </c>
      <c r="H312" s="1000">
        <v>2.7795000000000001</v>
      </c>
      <c r="I312" s="1000">
        <v>2.5</v>
      </c>
      <c r="J312" s="1000">
        <v>2.5</v>
      </c>
      <c r="K312" s="1000">
        <v>2.5</v>
      </c>
      <c r="L312" s="1000">
        <v>2.5</v>
      </c>
      <c r="M312" s="1000">
        <v>2.5</v>
      </c>
    </row>
    <row r="313" spans="1:13">
      <c r="A313" s="991">
        <v>0.5</v>
      </c>
      <c r="B313" s="1000">
        <v>2.3012000000000001</v>
      </c>
      <c r="C313" s="1000">
        <v>2.3012000000000001</v>
      </c>
      <c r="D313" s="1000">
        <v>2.403</v>
      </c>
      <c r="E313" s="1000">
        <v>2.403</v>
      </c>
      <c r="F313" s="1000">
        <v>2.403</v>
      </c>
      <c r="G313" s="1000">
        <v>2.2235999999999998</v>
      </c>
      <c r="H313" s="1000">
        <v>2.2235999999999998</v>
      </c>
      <c r="I313" s="1000">
        <v>2</v>
      </c>
      <c r="J313" s="1000">
        <v>2</v>
      </c>
      <c r="K313" s="1000">
        <v>2</v>
      </c>
      <c r="L313" s="1000">
        <v>2</v>
      </c>
      <c r="M313" s="1000">
        <v>2</v>
      </c>
    </row>
    <row r="314" spans="1:13">
      <c r="A314" s="991">
        <v>0.6</v>
      </c>
      <c r="B314" s="1000">
        <v>1.9177</v>
      </c>
      <c r="C314" s="1000">
        <v>1.9177</v>
      </c>
      <c r="D314" s="1000">
        <v>2.0024999999999999</v>
      </c>
      <c r="E314" s="1000">
        <v>2.0024999999999999</v>
      </c>
      <c r="F314" s="1000">
        <v>2.0024999999999999</v>
      </c>
      <c r="G314" s="1000">
        <v>1.853</v>
      </c>
      <c r="H314" s="1000">
        <v>1.853</v>
      </c>
      <c r="I314" s="1000">
        <v>1.6667000000000001</v>
      </c>
      <c r="J314" s="1000">
        <v>1.6667000000000001</v>
      </c>
      <c r="K314" s="1000">
        <v>1.6667000000000001</v>
      </c>
      <c r="L314" s="1000">
        <v>1.6667000000000001</v>
      </c>
      <c r="M314" s="1000">
        <v>1.6667000000000001</v>
      </c>
    </row>
    <row r="315" spans="1:13">
      <c r="A315" s="991">
        <v>0.7</v>
      </c>
      <c r="B315" s="1000">
        <v>1.6436999999999999</v>
      </c>
      <c r="C315" s="1000">
        <v>1.6436999999999999</v>
      </c>
      <c r="D315" s="1000">
        <v>1.7163999999999999</v>
      </c>
      <c r="E315" s="1000">
        <v>1.7163999999999999</v>
      </c>
      <c r="F315" s="1000">
        <v>1.7163999999999999</v>
      </c>
      <c r="G315" s="1000">
        <v>1.5883</v>
      </c>
      <c r="H315" s="1000">
        <v>1.5883</v>
      </c>
      <c r="I315" s="1000">
        <v>1.4286000000000001</v>
      </c>
      <c r="J315" s="1000">
        <v>1.4286000000000001</v>
      </c>
      <c r="K315" s="1000">
        <v>1.4286000000000001</v>
      </c>
      <c r="L315" s="1000">
        <v>1.4286000000000001</v>
      </c>
      <c r="M315" s="1000">
        <v>1.4286000000000001</v>
      </c>
    </row>
    <row r="316" spans="1:13">
      <c r="A316" s="991">
        <v>0.8</v>
      </c>
      <c r="B316" s="1000">
        <v>1.4382999999999999</v>
      </c>
      <c r="C316" s="1000">
        <v>1.4382999999999999</v>
      </c>
      <c r="D316" s="1000">
        <v>1.5019</v>
      </c>
      <c r="E316" s="1000">
        <v>1.5019</v>
      </c>
      <c r="F316" s="1000">
        <v>1.5019</v>
      </c>
      <c r="G316" s="1000">
        <v>1.3897999999999999</v>
      </c>
      <c r="H316" s="1000">
        <v>1.3897999999999999</v>
      </c>
      <c r="I316" s="1000">
        <v>1.25</v>
      </c>
      <c r="J316" s="1000">
        <v>1.25</v>
      </c>
      <c r="K316" s="1000">
        <v>1.25</v>
      </c>
      <c r="L316" s="1000">
        <v>1.25</v>
      </c>
      <c r="M316" s="1000">
        <v>1.25</v>
      </c>
    </row>
    <row r="317" spans="1:13">
      <c r="A317" s="991">
        <v>0.9</v>
      </c>
      <c r="B317" s="1000">
        <v>1.2784</v>
      </c>
      <c r="C317" s="1000">
        <v>1.2784</v>
      </c>
      <c r="D317" s="1000">
        <v>1.335</v>
      </c>
      <c r="E317" s="1000">
        <v>1.335</v>
      </c>
      <c r="F317" s="1000">
        <v>1.335</v>
      </c>
      <c r="G317" s="1000">
        <v>1.2353000000000001</v>
      </c>
      <c r="H317" s="1000">
        <v>1.2353000000000001</v>
      </c>
      <c r="I317" s="1000">
        <v>1.1111</v>
      </c>
      <c r="J317" s="1000">
        <v>1.1111</v>
      </c>
      <c r="K317" s="1000">
        <v>1.1111</v>
      </c>
      <c r="L317" s="1000">
        <v>1.1111</v>
      </c>
      <c r="M317" s="1000">
        <v>1.1111</v>
      </c>
    </row>
    <row r="318" spans="1:13">
      <c r="A318" s="991">
        <v>1</v>
      </c>
      <c r="B318" s="1000">
        <v>1.1506000000000001</v>
      </c>
      <c r="C318" s="1000">
        <v>1.1506000000000001</v>
      </c>
      <c r="D318" s="1000">
        <v>1.2015</v>
      </c>
      <c r="E318" s="1000">
        <v>1.2015</v>
      </c>
      <c r="F318" s="1000">
        <v>1.2015</v>
      </c>
      <c r="G318" s="1000">
        <v>1.1117999999999999</v>
      </c>
      <c r="H318" s="1000">
        <v>1.1117999999999999</v>
      </c>
      <c r="I318" s="1000">
        <v>1</v>
      </c>
      <c r="J318" s="1000">
        <v>1</v>
      </c>
      <c r="K318" s="1000">
        <v>1</v>
      </c>
      <c r="L318" s="1000">
        <v>1</v>
      </c>
      <c r="M318" s="1000">
        <v>1</v>
      </c>
    </row>
    <row r="319" spans="1:13">
      <c r="A319" s="991">
        <v>1.1000000000000001</v>
      </c>
      <c r="B319" s="1000">
        <v>1.1158999999999999</v>
      </c>
      <c r="C319" s="1000">
        <v>1.1158999999999999</v>
      </c>
      <c r="D319" s="1000">
        <v>1.1440999999999999</v>
      </c>
      <c r="E319" s="1000">
        <v>1.1440999999999999</v>
      </c>
      <c r="F319" s="1000">
        <v>1.1440999999999999</v>
      </c>
      <c r="G319" s="1000">
        <v>1.0492999999999999</v>
      </c>
      <c r="H319" s="1000">
        <v>1.0492999999999999</v>
      </c>
      <c r="I319" s="1000">
        <v>0.93730000000000002</v>
      </c>
      <c r="J319" s="1000">
        <v>0.93730000000000002</v>
      </c>
      <c r="K319" s="1000">
        <v>0.93730000000000002</v>
      </c>
      <c r="L319" s="1000">
        <v>0.93730000000000002</v>
      </c>
      <c r="M319" s="1000">
        <v>0.93730000000000002</v>
      </c>
    </row>
    <row r="320" spans="1:13">
      <c r="A320" s="991">
        <v>1.2</v>
      </c>
      <c r="B320" s="1000">
        <v>1.0837000000000001</v>
      </c>
      <c r="C320" s="1000">
        <v>1.0837000000000001</v>
      </c>
      <c r="D320" s="1000">
        <v>1.0972999999999999</v>
      </c>
      <c r="E320" s="1000">
        <v>1.0972999999999999</v>
      </c>
      <c r="F320" s="1000">
        <v>1.0972999999999999</v>
      </c>
      <c r="G320" s="1000">
        <v>1</v>
      </c>
      <c r="H320" s="1000">
        <v>1</v>
      </c>
      <c r="I320" s="1000">
        <v>0.88890000000000002</v>
      </c>
      <c r="J320" s="1000">
        <v>0.88890000000000002</v>
      </c>
      <c r="K320" s="1000">
        <v>0.88890000000000002</v>
      </c>
      <c r="L320" s="1000">
        <v>0.88890000000000002</v>
      </c>
      <c r="M320" s="1000">
        <v>0.88890000000000002</v>
      </c>
    </row>
    <row r="321" spans="1:13">
      <c r="A321" s="991">
        <v>1.3</v>
      </c>
      <c r="B321" s="1000">
        <v>1.0538000000000001</v>
      </c>
      <c r="C321" s="1000">
        <v>1.0538000000000001</v>
      </c>
      <c r="D321" s="1000">
        <v>1.0589999999999999</v>
      </c>
      <c r="E321" s="1000">
        <v>1.0589999999999999</v>
      </c>
      <c r="F321" s="1000">
        <v>1.0589999999999999</v>
      </c>
      <c r="G321" s="1000">
        <v>0.96140000000000003</v>
      </c>
      <c r="H321" s="1000">
        <v>0.96140000000000003</v>
      </c>
      <c r="I321" s="1000">
        <v>0.85209999999999997</v>
      </c>
      <c r="J321" s="1000">
        <v>0.85209999999999997</v>
      </c>
      <c r="K321" s="1000">
        <v>0.85209999999999997</v>
      </c>
      <c r="L321" s="1000">
        <v>0.85209999999999997</v>
      </c>
      <c r="M321" s="1000">
        <v>0.85209999999999997</v>
      </c>
    </row>
    <row r="322" spans="1:13">
      <c r="A322" s="991">
        <v>1.4</v>
      </c>
      <c r="B322" s="1000">
        <v>1.026</v>
      </c>
      <c r="C322" s="1000">
        <v>1.026</v>
      </c>
      <c r="D322" s="1000">
        <v>1.0271999999999999</v>
      </c>
      <c r="E322" s="1000">
        <v>1.0271999999999999</v>
      </c>
      <c r="F322" s="1000">
        <v>1.0271999999999999</v>
      </c>
      <c r="G322" s="1000">
        <v>0.93079999999999996</v>
      </c>
      <c r="H322" s="1000">
        <v>0.93079999999999996</v>
      </c>
      <c r="I322" s="1000">
        <v>0.82379999999999998</v>
      </c>
      <c r="J322" s="1000">
        <v>0.82379999999999998</v>
      </c>
      <c r="K322" s="1000">
        <v>0.82379999999999998</v>
      </c>
      <c r="L322" s="1000">
        <v>0.82379999999999998</v>
      </c>
      <c r="M322" s="1000">
        <v>0.82379999999999998</v>
      </c>
    </row>
    <row r="323" spans="1:13">
      <c r="A323" s="991">
        <v>1.5</v>
      </c>
      <c r="B323" s="1000">
        <v>1</v>
      </c>
      <c r="C323" s="1000">
        <v>1</v>
      </c>
      <c r="D323" s="1000">
        <v>1</v>
      </c>
      <c r="E323" s="1000">
        <v>1</v>
      </c>
      <c r="F323" s="1000">
        <v>1</v>
      </c>
      <c r="G323" s="1000">
        <v>0.90559999999999996</v>
      </c>
      <c r="H323" s="1000">
        <v>0.90559999999999996</v>
      </c>
      <c r="I323" s="1000">
        <v>0.80110000000000003</v>
      </c>
      <c r="J323" s="1000">
        <v>0.80110000000000003</v>
      </c>
      <c r="K323" s="1000">
        <v>0.80110000000000003</v>
      </c>
      <c r="L323" s="1000">
        <v>0.80110000000000003</v>
      </c>
      <c r="M323" s="1000">
        <v>0.80110000000000003</v>
      </c>
    </row>
    <row r="324" spans="1:13">
      <c r="A324" s="991">
        <v>1.6</v>
      </c>
      <c r="B324" s="1000">
        <v>0.97570000000000001</v>
      </c>
      <c r="C324" s="1000">
        <v>0.97570000000000001</v>
      </c>
      <c r="D324" s="1000">
        <v>0.97519999999999996</v>
      </c>
      <c r="E324" s="1000">
        <v>0.97519999999999996</v>
      </c>
      <c r="F324" s="1000">
        <v>0.97519999999999996</v>
      </c>
      <c r="G324" s="1000">
        <v>0.8831</v>
      </c>
      <c r="H324" s="1000">
        <v>0.8831</v>
      </c>
      <c r="I324" s="1000">
        <v>0.78100000000000003</v>
      </c>
      <c r="J324" s="1000">
        <v>0.78100000000000003</v>
      </c>
      <c r="K324" s="1000">
        <v>0.78100000000000003</v>
      </c>
      <c r="L324" s="1000">
        <v>0.78100000000000003</v>
      </c>
      <c r="M324" s="1000">
        <v>0.78100000000000003</v>
      </c>
    </row>
    <row r="325" spans="1:13">
      <c r="A325" s="991">
        <v>1.7</v>
      </c>
      <c r="B325" s="1000">
        <v>0.95289999999999997</v>
      </c>
      <c r="C325" s="1000">
        <v>0.95289999999999997</v>
      </c>
      <c r="D325" s="1000">
        <v>0.95189999999999997</v>
      </c>
      <c r="E325" s="1000">
        <v>0.95189999999999997</v>
      </c>
      <c r="F325" s="1000">
        <v>0.95189999999999997</v>
      </c>
      <c r="G325" s="1000">
        <v>0.86180000000000001</v>
      </c>
      <c r="H325" s="1000">
        <v>0.86180000000000001</v>
      </c>
      <c r="I325" s="1000">
        <v>0.7621</v>
      </c>
      <c r="J325" s="1000">
        <v>0.7621</v>
      </c>
      <c r="K325" s="1000">
        <v>0.7621</v>
      </c>
      <c r="L325" s="1000">
        <v>0.7621</v>
      </c>
      <c r="M325" s="1000">
        <v>0.7621</v>
      </c>
    </row>
    <row r="326" spans="1:13">
      <c r="A326" s="991">
        <v>1.8</v>
      </c>
      <c r="B326" s="1000">
        <v>0.93149999999999999</v>
      </c>
      <c r="C326" s="1000">
        <v>0.93149999999999999</v>
      </c>
      <c r="D326" s="1000">
        <v>0.93</v>
      </c>
      <c r="E326" s="1000">
        <v>0.93</v>
      </c>
      <c r="F326" s="1000">
        <v>0.93</v>
      </c>
      <c r="G326" s="1000">
        <v>0.84179999999999999</v>
      </c>
      <c r="H326" s="1000">
        <v>0.84179999999999999</v>
      </c>
      <c r="I326" s="1000">
        <v>0.74419999999999997</v>
      </c>
      <c r="J326" s="1000">
        <v>0.74419999999999997</v>
      </c>
      <c r="K326" s="1000">
        <v>0.74419999999999997</v>
      </c>
      <c r="L326" s="1000">
        <v>0.74419999999999997</v>
      </c>
      <c r="M326" s="1000">
        <v>0.74419999999999997</v>
      </c>
    </row>
    <row r="327" spans="1:13">
      <c r="A327" s="991">
        <v>1.9</v>
      </c>
      <c r="B327" s="1000">
        <v>0.91139999999999999</v>
      </c>
      <c r="C327" s="1000">
        <v>0.91139999999999999</v>
      </c>
      <c r="D327" s="1000">
        <v>0.90939999999999999</v>
      </c>
      <c r="E327" s="1000">
        <v>0.90939999999999999</v>
      </c>
      <c r="F327" s="1000">
        <v>0.90939999999999999</v>
      </c>
      <c r="G327" s="1000">
        <v>0.82289999999999996</v>
      </c>
      <c r="H327" s="1000">
        <v>0.82289999999999996</v>
      </c>
      <c r="I327" s="1000">
        <v>0.72740000000000005</v>
      </c>
      <c r="J327" s="1000">
        <v>0.72740000000000005</v>
      </c>
      <c r="K327" s="1000">
        <v>0.72740000000000005</v>
      </c>
      <c r="L327" s="1000">
        <v>0.72740000000000005</v>
      </c>
      <c r="M327" s="1000">
        <v>0.72740000000000005</v>
      </c>
    </row>
    <row r="328" spans="1:13">
      <c r="A328" s="991">
        <v>2</v>
      </c>
      <c r="B328" s="1000">
        <v>0.89270000000000005</v>
      </c>
      <c r="C328" s="1000">
        <v>0.89270000000000005</v>
      </c>
      <c r="D328" s="1000">
        <v>0.8901</v>
      </c>
      <c r="E328" s="1000">
        <v>0.8901</v>
      </c>
      <c r="F328" s="1000">
        <v>0.8901</v>
      </c>
      <c r="G328" s="1000">
        <v>0.80530000000000002</v>
      </c>
      <c r="H328" s="1000">
        <v>0.80530000000000002</v>
      </c>
      <c r="I328" s="1000">
        <v>0.71160000000000001</v>
      </c>
      <c r="J328" s="1000">
        <v>0.71160000000000001</v>
      </c>
      <c r="K328" s="1000">
        <v>0.71160000000000001</v>
      </c>
      <c r="L328" s="1000">
        <v>0.71160000000000001</v>
      </c>
      <c r="M328" s="1000">
        <v>0.71160000000000001</v>
      </c>
    </row>
    <row r="329" spans="1:13">
      <c r="A329" s="1015">
        <v>2.1</v>
      </c>
      <c r="B329" s="1000">
        <v>0.87519999999999998</v>
      </c>
      <c r="C329" s="1000">
        <v>0.87519999999999998</v>
      </c>
      <c r="D329" s="1000">
        <v>0.872</v>
      </c>
      <c r="E329" s="1000">
        <v>0.872</v>
      </c>
      <c r="F329" s="1000">
        <v>0.872</v>
      </c>
      <c r="G329" s="1000">
        <v>0.78869999999999996</v>
      </c>
      <c r="H329" s="1000">
        <v>0.78869999999999996</v>
      </c>
      <c r="I329" s="1000">
        <v>0.69669999999999999</v>
      </c>
      <c r="J329" s="1000">
        <v>0.69669999999999999</v>
      </c>
      <c r="K329" s="1000">
        <v>0.69669999999999999</v>
      </c>
      <c r="L329" s="1000">
        <v>0.69669999999999999</v>
      </c>
      <c r="M329" s="1000">
        <v>0.69669999999999999</v>
      </c>
    </row>
    <row r="330" spans="1:13">
      <c r="A330" s="1015">
        <v>2.2000000000000002</v>
      </c>
      <c r="B330" s="1000">
        <v>0.85880000000000001</v>
      </c>
      <c r="C330" s="1000">
        <v>0.85880000000000001</v>
      </c>
      <c r="D330" s="1000">
        <v>0.85499999999999998</v>
      </c>
      <c r="E330" s="1000">
        <v>0.85499999999999998</v>
      </c>
      <c r="F330" s="1000">
        <v>0.85499999999999998</v>
      </c>
      <c r="G330" s="1000">
        <v>0.77300000000000002</v>
      </c>
      <c r="H330" s="1000">
        <v>0.77300000000000002</v>
      </c>
      <c r="I330" s="1000">
        <v>0.68269999999999997</v>
      </c>
      <c r="J330" s="1000">
        <v>0.68269999999999997</v>
      </c>
      <c r="K330" s="1000">
        <v>0.68269999999999997</v>
      </c>
      <c r="L330" s="1000">
        <v>0.68269999999999997</v>
      </c>
      <c r="M330" s="1000">
        <v>0.68269999999999997</v>
      </c>
    </row>
    <row r="331" spans="1:13">
      <c r="A331" s="1015">
        <v>2.2999999999999998</v>
      </c>
      <c r="B331" s="1000">
        <v>0.84360000000000002</v>
      </c>
      <c r="C331" s="1000">
        <v>0.84360000000000002</v>
      </c>
      <c r="D331" s="1000">
        <v>0.83899999999999997</v>
      </c>
      <c r="E331" s="1000">
        <v>0.83899999999999997</v>
      </c>
      <c r="F331" s="1000">
        <v>0.83899999999999997</v>
      </c>
      <c r="G331" s="1000">
        <v>0.75839999999999996</v>
      </c>
      <c r="H331" s="1000">
        <v>0.75839999999999996</v>
      </c>
      <c r="I331" s="1000">
        <v>0.66949999999999998</v>
      </c>
      <c r="J331" s="1000">
        <v>0.66949999999999998</v>
      </c>
      <c r="K331" s="1000">
        <v>0.66949999999999998</v>
      </c>
      <c r="L331" s="1000">
        <v>0.66949999999999998</v>
      </c>
      <c r="M331" s="1000">
        <v>0.66949999999999998</v>
      </c>
    </row>
    <row r="332" spans="1:13">
      <c r="A332" s="1015">
        <v>2.4</v>
      </c>
      <c r="B332" s="1000">
        <v>0.82940000000000003</v>
      </c>
      <c r="C332" s="1000">
        <v>0.82940000000000003</v>
      </c>
      <c r="D332" s="1000">
        <v>0.82410000000000005</v>
      </c>
      <c r="E332" s="1000">
        <v>0.82410000000000005</v>
      </c>
      <c r="F332" s="1000">
        <v>0.82410000000000005</v>
      </c>
      <c r="G332" s="1000">
        <v>0.74460000000000004</v>
      </c>
      <c r="H332" s="1000">
        <v>0.74460000000000004</v>
      </c>
      <c r="I332" s="1000">
        <v>0.65710000000000002</v>
      </c>
      <c r="J332" s="1000">
        <v>0.65710000000000002</v>
      </c>
      <c r="K332" s="1000">
        <v>0.65710000000000002</v>
      </c>
      <c r="L332" s="1000">
        <v>0.65710000000000002</v>
      </c>
      <c r="M332" s="1000">
        <v>0.65710000000000002</v>
      </c>
    </row>
    <row r="333" spans="1:13">
      <c r="A333" s="1015">
        <v>2.5</v>
      </c>
      <c r="B333" s="1000">
        <v>0.81620000000000004</v>
      </c>
      <c r="C333" s="1000">
        <v>0.81620000000000004</v>
      </c>
      <c r="D333" s="1000">
        <v>0.81020000000000003</v>
      </c>
      <c r="E333" s="1000">
        <v>0.81020000000000003</v>
      </c>
      <c r="F333" s="1000">
        <v>0.81020000000000003</v>
      </c>
      <c r="G333" s="1000">
        <v>0.73180000000000001</v>
      </c>
      <c r="H333" s="1000">
        <v>0.73180000000000001</v>
      </c>
      <c r="I333" s="1000">
        <v>0.64549999999999996</v>
      </c>
      <c r="J333" s="1000">
        <v>0.64549999999999996</v>
      </c>
      <c r="K333" s="1000">
        <v>0.64549999999999996</v>
      </c>
      <c r="L333" s="1000">
        <v>0.64549999999999996</v>
      </c>
      <c r="M333" s="1000">
        <v>0.64549999999999996</v>
      </c>
    </row>
    <row r="334" spans="1:13">
      <c r="A334" s="1015">
        <v>2.6</v>
      </c>
      <c r="B334" s="1000">
        <v>0.80389999999999995</v>
      </c>
      <c r="C334" s="1000">
        <v>0.80389999999999995</v>
      </c>
      <c r="D334" s="1000">
        <v>0.79710000000000003</v>
      </c>
      <c r="E334" s="1000">
        <v>0.79710000000000003</v>
      </c>
      <c r="F334" s="1000">
        <v>0.79710000000000003</v>
      </c>
      <c r="G334" s="1000">
        <v>0.71970000000000001</v>
      </c>
      <c r="H334" s="1000">
        <v>0.71970000000000001</v>
      </c>
      <c r="I334" s="1000">
        <v>0.63460000000000005</v>
      </c>
      <c r="J334" s="1000">
        <v>0.63460000000000005</v>
      </c>
      <c r="K334" s="1000">
        <v>0.63460000000000005</v>
      </c>
      <c r="L334" s="1000">
        <v>0.63460000000000005</v>
      </c>
      <c r="M334" s="1000">
        <v>0.63460000000000005</v>
      </c>
    </row>
    <row r="335" spans="1:13">
      <c r="A335" s="1015">
        <v>2.7</v>
      </c>
      <c r="B335" s="1000">
        <v>0.79249999999999998</v>
      </c>
      <c r="C335" s="1000">
        <v>0.79249999999999998</v>
      </c>
      <c r="D335" s="1000">
        <v>0.78490000000000004</v>
      </c>
      <c r="E335" s="1000">
        <v>0.78490000000000004</v>
      </c>
      <c r="F335" s="1000">
        <v>0.78490000000000004</v>
      </c>
      <c r="G335" s="1000">
        <v>0.70840000000000003</v>
      </c>
      <c r="H335" s="1000">
        <v>0.70840000000000003</v>
      </c>
      <c r="I335" s="1000">
        <v>0.62439999999999996</v>
      </c>
      <c r="J335" s="1000">
        <v>0.62439999999999996</v>
      </c>
      <c r="K335" s="1000">
        <v>0.62439999999999996</v>
      </c>
      <c r="L335" s="1000">
        <v>0.62439999999999996</v>
      </c>
      <c r="M335" s="1000">
        <v>0.62439999999999996</v>
      </c>
    </row>
    <row r="336" spans="1:13">
      <c r="A336" s="1015">
        <v>2.8</v>
      </c>
      <c r="B336" s="1000">
        <v>0.78190000000000004</v>
      </c>
      <c r="C336" s="1000">
        <v>0.78190000000000004</v>
      </c>
      <c r="D336" s="1000">
        <v>0.77359999999999995</v>
      </c>
      <c r="E336" s="1000">
        <v>0.77359999999999995</v>
      </c>
      <c r="F336" s="1000">
        <v>0.77359999999999995</v>
      </c>
      <c r="G336" s="1000">
        <v>0.69789999999999996</v>
      </c>
      <c r="H336" s="1000">
        <v>0.69789999999999996</v>
      </c>
      <c r="I336" s="1000">
        <v>0.61480000000000001</v>
      </c>
      <c r="J336" s="1000">
        <v>0.61480000000000001</v>
      </c>
      <c r="K336" s="1000">
        <v>0.61480000000000001</v>
      </c>
      <c r="L336" s="1000">
        <v>0.61480000000000001</v>
      </c>
      <c r="M336" s="1000">
        <v>0.61480000000000001</v>
      </c>
    </row>
    <row r="337" spans="1:13">
      <c r="A337" s="1015">
        <v>2.9</v>
      </c>
      <c r="B337" s="1000">
        <v>0.77210000000000001</v>
      </c>
      <c r="C337" s="1000">
        <v>0.77210000000000001</v>
      </c>
      <c r="D337" s="1000">
        <v>0.76300000000000001</v>
      </c>
      <c r="E337" s="1000">
        <v>0.76300000000000001</v>
      </c>
      <c r="F337" s="1000">
        <v>0.76300000000000001</v>
      </c>
      <c r="G337" s="1000">
        <v>0.68799999999999994</v>
      </c>
      <c r="H337" s="1000">
        <v>0.68799999999999994</v>
      </c>
      <c r="I337" s="1000">
        <v>0.60589999999999999</v>
      </c>
      <c r="J337" s="1000">
        <v>0.60589999999999999</v>
      </c>
      <c r="K337" s="1000">
        <v>0.60589999999999999</v>
      </c>
      <c r="L337" s="1000">
        <v>0.60589999999999999</v>
      </c>
      <c r="M337" s="1000">
        <v>0.60589999999999999</v>
      </c>
    </row>
    <row r="338" spans="1:13">
      <c r="A338" s="1015">
        <v>3</v>
      </c>
      <c r="B338" s="1000">
        <v>0.7631</v>
      </c>
      <c r="C338" s="1000">
        <v>0.7631</v>
      </c>
      <c r="D338" s="1000">
        <v>0.75309999999999999</v>
      </c>
      <c r="E338" s="1000">
        <v>0.75309999999999999</v>
      </c>
      <c r="F338" s="1000">
        <v>0.75309999999999999</v>
      </c>
      <c r="G338" s="1000">
        <v>0.67879999999999996</v>
      </c>
      <c r="H338" s="1000">
        <v>0.67879999999999996</v>
      </c>
      <c r="I338" s="1000">
        <v>0.59750000000000003</v>
      </c>
      <c r="J338" s="1000">
        <v>0.59750000000000003</v>
      </c>
      <c r="K338" s="1000">
        <v>0.59750000000000003</v>
      </c>
      <c r="L338" s="1000">
        <v>0.59750000000000003</v>
      </c>
      <c r="M338" s="1000">
        <v>0.59750000000000003</v>
      </c>
    </row>
    <row r="339" spans="1:13">
      <c r="A339" s="1015">
        <v>3.1</v>
      </c>
      <c r="B339" s="1000">
        <v>0.75470000000000004</v>
      </c>
      <c r="C339" s="1000">
        <v>0.75470000000000004</v>
      </c>
      <c r="D339" s="1000">
        <v>0.74399999999999999</v>
      </c>
      <c r="E339" s="1000">
        <v>0.74399999999999999</v>
      </c>
      <c r="F339" s="1000">
        <v>0.74399999999999999</v>
      </c>
      <c r="G339" s="1000">
        <v>0.67020000000000002</v>
      </c>
      <c r="H339" s="1000">
        <v>0.67020000000000002</v>
      </c>
      <c r="I339" s="1000">
        <v>0.5897</v>
      </c>
      <c r="J339" s="1000">
        <v>0.5897</v>
      </c>
      <c r="K339" s="1000">
        <v>0.5897</v>
      </c>
      <c r="L339" s="1000">
        <v>0.5897</v>
      </c>
      <c r="M339" s="1000">
        <v>0.5897</v>
      </c>
    </row>
    <row r="340" spans="1:13">
      <c r="A340" s="1015">
        <v>3.2</v>
      </c>
      <c r="B340" s="1000">
        <v>0.747</v>
      </c>
      <c r="C340" s="1000">
        <v>0.747</v>
      </c>
      <c r="D340" s="1000">
        <v>0.73540000000000005</v>
      </c>
      <c r="E340" s="1000">
        <v>0.73540000000000005</v>
      </c>
      <c r="F340" s="1000">
        <v>0.73540000000000005</v>
      </c>
      <c r="G340" s="1000">
        <v>0.66220000000000001</v>
      </c>
      <c r="H340" s="1000">
        <v>0.66220000000000001</v>
      </c>
      <c r="I340" s="1000">
        <v>0.58230000000000004</v>
      </c>
      <c r="J340" s="1000">
        <v>0.58230000000000004</v>
      </c>
      <c r="K340" s="1000">
        <v>0.58230000000000004</v>
      </c>
      <c r="L340" s="1000">
        <v>0.58230000000000004</v>
      </c>
      <c r="M340" s="1000">
        <v>0.58230000000000004</v>
      </c>
    </row>
    <row r="341" spans="1:13">
      <c r="A341" s="1015">
        <v>3.3</v>
      </c>
      <c r="B341" s="1000">
        <v>0.7399</v>
      </c>
      <c r="C341" s="1000">
        <v>0.7399</v>
      </c>
      <c r="D341" s="1000">
        <v>0.72750000000000004</v>
      </c>
      <c r="E341" s="1000">
        <v>0.72750000000000004</v>
      </c>
      <c r="F341" s="1000">
        <v>0.72750000000000004</v>
      </c>
      <c r="G341" s="1000">
        <v>0.65480000000000005</v>
      </c>
      <c r="H341" s="1000">
        <v>0.65480000000000005</v>
      </c>
      <c r="I341" s="1000">
        <v>0.57540000000000002</v>
      </c>
      <c r="J341" s="1000">
        <v>0.57540000000000002</v>
      </c>
      <c r="K341" s="1000">
        <v>0.57540000000000002</v>
      </c>
      <c r="L341" s="1000">
        <v>0.57540000000000002</v>
      </c>
      <c r="M341" s="1000">
        <v>0.57540000000000002</v>
      </c>
    </row>
    <row r="342" spans="1:13">
      <c r="A342" s="1015">
        <v>3.4</v>
      </c>
      <c r="B342" s="1000">
        <v>0.73340000000000005</v>
      </c>
      <c r="C342" s="1000">
        <v>0.73340000000000005</v>
      </c>
      <c r="D342" s="1000">
        <v>0.72009999999999996</v>
      </c>
      <c r="E342" s="1000">
        <v>0.72009999999999996</v>
      </c>
      <c r="F342" s="1000">
        <v>0.72009999999999996</v>
      </c>
      <c r="G342" s="1000">
        <v>0.64780000000000004</v>
      </c>
      <c r="H342" s="1000">
        <v>0.64780000000000004</v>
      </c>
      <c r="I342" s="1000">
        <v>0.56899999999999995</v>
      </c>
      <c r="J342" s="1000">
        <v>0.56899999999999995</v>
      </c>
      <c r="K342" s="1000">
        <v>0.56899999999999995</v>
      </c>
      <c r="L342" s="1000">
        <v>0.56899999999999995</v>
      </c>
      <c r="M342" s="1000">
        <v>0.56899999999999995</v>
      </c>
    </row>
    <row r="343" spans="1:13">
      <c r="A343" s="1015">
        <v>3.5</v>
      </c>
      <c r="B343" s="1000">
        <v>0.72740000000000005</v>
      </c>
      <c r="C343" s="1000">
        <v>0.72740000000000005</v>
      </c>
      <c r="D343" s="1000">
        <v>0.71330000000000005</v>
      </c>
      <c r="E343" s="1000">
        <v>0.71330000000000005</v>
      </c>
      <c r="F343" s="1000">
        <v>0.71330000000000005</v>
      </c>
      <c r="G343" s="1000">
        <v>0.64129999999999998</v>
      </c>
      <c r="H343" s="1000">
        <v>0.64129999999999998</v>
      </c>
      <c r="I343" s="1000">
        <v>0.56310000000000004</v>
      </c>
      <c r="J343" s="1000">
        <v>0.56310000000000004</v>
      </c>
      <c r="K343" s="1000">
        <v>0.56310000000000004</v>
      </c>
      <c r="L343" s="1000">
        <v>0.56310000000000004</v>
      </c>
      <c r="M343" s="1000">
        <v>0.56310000000000004</v>
      </c>
    </row>
    <row r="344" spans="1:13">
      <c r="A344" s="1015">
        <v>3.6</v>
      </c>
      <c r="B344" s="1000">
        <v>0.72189999999999999</v>
      </c>
      <c r="C344" s="1000">
        <v>0.72189999999999999</v>
      </c>
      <c r="D344" s="1000">
        <v>0.70699999999999996</v>
      </c>
      <c r="E344" s="1000">
        <v>0.70699999999999996</v>
      </c>
      <c r="F344" s="1000">
        <v>0.70699999999999996</v>
      </c>
      <c r="G344" s="1000">
        <v>0.63529999999999998</v>
      </c>
      <c r="H344" s="1000">
        <v>0.63529999999999998</v>
      </c>
      <c r="I344" s="1000">
        <v>0.5575</v>
      </c>
      <c r="J344" s="1000">
        <v>0.5575</v>
      </c>
      <c r="K344" s="1000">
        <v>0.5575</v>
      </c>
      <c r="L344" s="1000">
        <v>0.5575</v>
      </c>
      <c r="M344" s="1000">
        <v>0.5575</v>
      </c>
    </row>
    <row r="345" spans="1:13">
      <c r="A345" s="1015">
        <v>3.7</v>
      </c>
      <c r="B345" s="1000">
        <v>0.71679999999999999</v>
      </c>
      <c r="C345" s="1000">
        <v>0.71679999999999999</v>
      </c>
      <c r="D345" s="1000">
        <v>0.70109999999999995</v>
      </c>
      <c r="E345" s="1000">
        <v>0.70109999999999995</v>
      </c>
      <c r="F345" s="1000">
        <v>0.70109999999999995</v>
      </c>
      <c r="G345" s="1000">
        <v>0.62970000000000004</v>
      </c>
      <c r="H345" s="1000">
        <v>0.62970000000000004</v>
      </c>
      <c r="I345" s="1000">
        <v>0.55230000000000001</v>
      </c>
      <c r="J345" s="1000">
        <v>0.55230000000000001</v>
      </c>
      <c r="K345" s="1000">
        <v>0.55230000000000001</v>
      </c>
      <c r="L345" s="1000">
        <v>0.55230000000000001</v>
      </c>
      <c r="M345" s="1000">
        <v>0.55230000000000001</v>
      </c>
    </row>
    <row r="346" spans="1:13">
      <c r="A346" s="1015">
        <v>3.8</v>
      </c>
      <c r="B346" s="1000">
        <v>0.71220000000000006</v>
      </c>
      <c r="C346" s="1000">
        <v>0.71220000000000006</v>
      </c>
      <c r="D346" s="1000">
        <v>0.6956</v>
      </c>
      <c r="E346" s="1000">
        <v>0.6956</v>
      </c>
      <c r="F346" s="1000">
        <v>0.6956</v>
      </c>
      <c r="G346" s="1000">
        <v>0.62439999999999996</v>
      </c>
      <c r="H346" s="1000">
        <v>0.62439999999999996</v>
      </c>
      <c r="I346" s="1000">
        <v>0.5474</v>
      </c>
      <c r="J346" s="1000">
        <v>0.5474</v>
      </c>
      <c r="K346" s="1000">
        <v>0.5474</v>
      </c>
      <c r="L346" s="1000">
        <v>0.5474</v>
      </c>
      <c r="M346" s="1000">
        <v>0.5474</v>
      </c>
    </row>
    <row r="347" spans="1:13">
      <c r="A347" s="1015">
        <v>3.9</v>
      </c>
      <c r="B347" s="1000">
        <v>0.70799999999999996</v>
      </c>
      <c r="C347" s="1000">
        <v>0.70799999999999996</v>
      </c>
      <c r="D347" s="1000">
        <v>0.69059999999999999</v>
      </c>
      <c r="E347" s="1000">
        <v>0.69059999999999999</v>
      </c>
      <c r="F347" s="1000">
        <v>0.69059999999999999</v>
      </c>
      <c r="G347" s="1000">
        <v>0.61950000000000005</v>
      </c>
      <c r="H347" s="1000">
        <v>0.61950000000000005</v>
      </c>
      <c r="I347" s="1000">
        <v>0.54279999999999995</v>
      </c>
      <c r="J347" s="1000">
        <v>0.54279999999999995</v>
      </c>
      <c r="K347" s="1000">
        <v>0.54279999999999995</v>
      </c>
      <c r="L347" s="1000">
        <v>0.54279999999999995</v>
      </c>
      <c r="M347" s="1000">
        <v>0.54279999999999995</v>
      </c>
    </row>
    <row r="348" spans="1:13">
      <c r="A348" s="1015">
        <v>4</v>
      </c>
      <c r="B348" s="1000">
        <v>0.70409999999999995</v>
      </c>
      <c r="C348" s="1000">
        <v>0.70409999999999995</v>
      </c>
      <c r="D348" s="1000">
        <v>0.68589999999999995</v>
      </c>
      <c r="E348" s="1000">
        <v>0.68589999999999995</v>
      </c>
      <c r="F348" s="1000">
        <v>0.68589999999999995</v>
      </c>
      <c r="G348" s="1000">
        <v>0.61499999999999999</v>
      </c>
      <c r="H348" s="1000">
        <v>0.61499999999999999</v>
      </c>
      <c r="I348" s="1000">
        <v>0.53859999999999997</v>
      </c>
      <c r="J348" s="1000">
        <v>0.53859999999999997</v>
      </c>
      <c r="K348" s="1000">
        <v>0.53859999999999997</v>
      </c>
      <c r="L348" s="1000">
        <v>0.53859999999999997</v>
      </c>
      <c r="M348" s="1000">
        <v>0.53859999999999997</v>
      </c>
    </row>
    <row r="349" spans="1:13">
      <c r="A349" s="1015">
        <v>4.0999999999999996</v>
      </c>
      <c r="B349" s="1000">
        <v>0.7006</v>
      </c>
      <c r="C349" s="1000">
        <v>0.7006</v>
      </c>
      <c r="D349" s="1000">
        <v>0.68159999999999998</v>
      </c>
      <c r="E349" s="1000">
        <v>0.68159999999999998</v>
      </c>
      <c r="F349" s="1000">
        <v>0.68159999999999998</v>
      </c>
      <c r="G349" s="1000">
        <v>0.61080000000000001</v>
      </c>
      <c r="H349" s="1000">
        <v>0.61080000000000001</v>
      </c>
      <c r="I349" s="1000">
        <v>0.53459999999999996</v>
      </c>
      <c r="J349" s="1000">
        <v>0.53459999999999996</v>
      </c>
      <c r="K349" s="1000">
        <v>0.53459999999999996</v>
      </c>
      <c r="L349" s="1000">
        <v>0.53459999999999996</v>
      </c>
      <c r="M349" s="1000">
        <v>0.53459999999999996</v>
      </c>
    </row>
    <row r="350" spans="1:13">
      <c r="A350" s="1015">
        <v>4.2</v>
      </c>
      <c r="B350" s="1000">
        <v>0.69740000000000002</v>
      </c>
      <c r="C350" s="1000">
        <v>0.69740000000000002</v>
      </c>
      <c r="D350" s="1000">
        <v>0.67759999999999998</v>
      </c>
      <c r="E350" s="1000">
        <v>0.67759999999999998</v>
      </c>
      <c r="F350" s="1000">
        <v>0.67759999999999998</v>
      </c>
      <c r="G350" s="1000">
        <v>0.60699999999999998</v>
      </c>
      <c r="H350" s="1000">
        <v>0.60699999999999998</v>
      </c>
      <c r="I350" s="1000">
        <v>0.53090000000000004</v>
      </c>
      <c r="J350" s="1000">
        <v>0.53090000000000004</v>
      </c>
      <c r="K350" s="1000">
        <v>0.53090000000000004</v>
      </c>
      <c r="L350" s="1000">
        <v>0.53090000000000004</v>
      </c>
      <c r="M350" s="1000">
        <v>0.53090000000000004</v>
      </c>
    </row>
    <row r="351" spans="1:13">
      <c r="A351" s="1015">
        <v>4.3</v>
      </c>
      <c r="B351" s="1000">
        <v>0.69450000000000001</v>
      </c>
      <c r="C351" s="1000">
        <v>0.69450000000000001</v>
      </c>
      <c r="D351" s="1000">
        <v>0.67390000000000005</v>
      </c>
      <c r="E351" s="1000">
        <v>0.67390000000000005</v>
      </c>
      <c r="F351" s="1000">
        <v>0.67390000000000005</v>
      </c>
      <c r="G351" s="1000">
        <v>0.60329999999999995</v>
      </c>
      <c r="H351" s="1000">
        <v>0.60329999999999995</v>
      </c>
      <c r="I351" s="1000">
        <v>0.52739999999999998</v>
      </c>
      <c r="J351" s="1000">
        <v>0.52739999999999998</v>
      </c>
      <c r="K351" s="1000">
        <v>0.52739999999999998</v>
      </c>
      <c r="L351" s="1000">
        <v>0.52739999999999998</v>
      </c>
      <c r="M351" s="1000">
        <v>0.52739999999999998</v>
      </c>
    </row>
    <row r="352" spans="1:13">
      <c r="A352" s="1015">
        <v>4.4000000000000004</v>
      </c>
      <c r="B352" s="1000">
        <v>0.69179999999999997</v>
      </c>
      <c r="C352" s="1000">
        <v>0.69179999999999997</v>
      </c>
      <c r="D352" s="1000">
        <v>0.67049999999999998</v>
      </c>
      <c r="E352" s="1000">
        <v>0.67049999999999998</v>
      </c>
      <c r="F352" s="1000">
        <v>0.67049999999999998</v>
      </c>
      <c r="G352" s="1000">
        <v>0.59989999999999999</v>
      </c>
      <c r="H352" s="1000">
        <v>0.59989999999999999</v>
      </c>
      <c r="I352" s="1000">
        <v>0.5242</v>
      </c>
      <c r="J352" s="1000">
        <v>0.5242</v>
      </c>
      <c r="K352" s="1000">
        <v>0.5242</v>
      </c>
      <c r="L352" s="1000">
        <v>0.5242</v>
      </c>
      <c r="M352" s="1000">
        <v>0.5242</v>
      </c>
    </row>
    <row r="353" spans="1:13">
      <c r="A353" s="1015">
        <v>4.5</v>
      </c>
      <c r="B353" s="1000">
        <v>0.68940000000000001</v>
      </c>
      <c r="C353" s="1000">
        <v>0.68940000000000001</v>
      </c>
      <c r="D353" s="1000">
        <v>0.6673</v>
      </c>
      <c r="E353" s="1000">
        <v>0.6673</v>
      </c>
      <c r="F353" s="1000">
        <v>0.6673</v>
      </c>
      <c r="G353" s="1000">
        <v>0.59670000000000001</v>
      </c>
      <c r="H353" s="1000">
        <v>0.59670000000000001</v>
      </c>
      <c r="I353" s="1000">
        <v>0.52110000000000001</v>
      </c>
      <c r="J353" s="1000">
        <v>0.52110000000000001</v>
      </c>
      <c r="K353" s="1000">
        <v>0.52110000000000001</v>
      </c>
      <c r="L353" s="1000">
        <v>0.52110000000000001</v>
      </c>
      <c r="M353" s="1000">
        <v>0.52110000000000001</v>
      </c>
    </row>
    <row r="354" spans="1:13">
      <c r="A354" s="1015">
        <v>4.5999999999999996</v>
      </c>
      <c r="B354" s="1000">
        <v>0.68720000000000003</v>
      </c>
      <c r="C354" s="1000">
        <v>0.68720000000000003</v>
      </c>
      <c r="D354" s="1000">
        <v>0.6643</v>
      </c>
      <c r="E354" s="1000">
        <v>0.6643</v>
      </c>
      <c r="F354" s="1000">
        <v>0.6643</v>
      </c>
      <c r="G354" s="1000">
        <v>0.59379999999999999</v>
      </c>
      <c r="H354" s="1000">
        <v>0.59379999999999999</v>
      </c>
      <c r="I354" s="1000">
        <v>0.51819999999999999</v>
      </c>
      <c r="J354" s="1000">
        <v>0.51819999999999999</v>
      </c>
      <c r="K354" s="1000">
        <v>0.51819999999999999</v>
      </c>
      <c r="L354" s="1000">
        <v>0.51819999999999999</v>
      </c>
      <c r="M354" s="1000">
        <v>0.51819999999999999</v>
      </c>
    </row>
    <row r="355" spans="1:13">
      <c r="A355" s="1015">
        <v>4.7</v>
      </c>
      <c r="B355" s="1000">
        <v>0.68520000000000003</v>
      </c>
      <c r="C355" s="1000">
        <v>0.68520000000000003</v>
      </c>
      <c r="D355" s="1000">
        <v>0.66149999999999998</v>
      </c>
      <c r="E355" s="1000">
        <v>0.66149999999999998</v>
      </c>
      <c r="F355" s="1000">
        <v>0.66149999999999998</v>
      </c>
      <c r="G355" s="1000">
        <v>0.59109999999999996</v>
      </c>
      <c r="H355" s="1000">
        <v>0.59109999999999996</v>
      </c>
      <c r="I355" s="1000">
        <v>0.51559999999999995</v>
      </c>
      <c r="J355" s="1000">
        <v>0.51559999999999995</v>
      </c>
      <c r="K355" s="1000">
        <v>0.51559999999999995</v>
      </c>
      <c r="L355" s="1000">
        <v>0.51559999999999995</v>
      </c>
      <c r="M355" s="1000">
        <v>0.51559999999999995</v>
      </c>
    </row>
    <row r="356" spans="1:13">
      <c r="A356" s="1015">
        <v>4.8</v>
      </c>
      <c r="B356" s="1000">
        <v>0.68340000000000001</v>
      </c>
      <c r="C356" s="1000">
        <v>0.68340000000000001</v>
      </c>
      <c r="D356" s="1000">
        <v>0.65900000000000003</v>
      </c>
      <c r="E356" s="1000">
        <v>0.65900000000000003</v>
      </c>
      <c r="F356" s="1000">
        <v>0.65900000000000003</v>
      </c>
      <c r="G356" s="1000">
        <v>0.58850000000000002</v>
      </c>
      <c r="H356" s="1000">
        <v>0.58850000000000002</v>
      </c>
      <c r="I356" s="1000">
        <v>0.51300000000000001</v>
      </c>
      <c r="J356" s="1000">
        <v>0.51300000000000001</v>
      </c>
      <c r="K356" s="1000">
        <v>0.51300000000000001</v>
      </c>
      <c r="L356" s="1000">
        <v>0.51300000000000001</v>
      </c>
      <c r="M356" s="1000">
        <v>0.51300000000000001</v>
      </c>
    </row>
    <row r="357" spans="1:13">
      <c r="A357" s="1015">
        <v>4.9000000000000004</v>
      </c>
      <c r="B357" s="1000">
        <v>0.68179999999999996</v>
      </c>
      <c r="C357" s="1000">
        <v>0.68179999999999996</v>
      </c>
      <c r="D357" s="1000">
        <v>0.65659999999999996</v>
      </c>
      <c r="E357" s="1000">
        <v>0.65659999999999996</v>
      </c>
      <c r="F357" s="1000">
        <v>0.65659999999999996</v>
      </c>
      <c r="G357" s="1000">
        <v>0.58599999999999997</v>
      </c>
      <c r="H357" s="1000">
        <v>0.58599999999999997</v>
      </c>
      <c r="I357" s="1000">
        <v>0.51060000000000005</v>
      </c>
      <c r="J357" s="1000">
        <v>0.51060000000000005</v>
      </c>
      <c r="K357" s="1000">
        <v>0.51060000000000005</v>
      </c>
      <c r="L357" s="1000">
        <v>0.51060000000000005</v>
      </c>
      <c r="M357" s="1000">
        <v>0.51060000000000005</v>
      </c>
    </row>
    <row r="358" spans="1:13">
      <c r="A358" s="1015">
        <v>5</v>
      </c>
      <c r="B358" s="1000">
        <v>0.68030000000000002</v>
      </c>
      <c r="C358" s="1000">
        <v>0.68030000000000002</v>
      </c>
      <c r="D358" s="1000">
        <v>0.65439999999999998</v>
      </c>
      <c r="E358" s="1000">
        <v>0.65439999999999998</v>
      </c>
      <c r="F358" s="1000">
        <v>0.65439999999999998</v>
      </c>
      <c r="G358" s="1000">
        <v>0.58379999999999999</v>
      </c>
      <c r="H358" s="1000">
        <v>0.58379999999999999</v>
      </c>
      <c r="I358" s="1000">
        <v>0.50839999999999996</v>
      </c>
      <c r="J358" s="1000">
        <v>0.50839999999999996</v>
      </c>
      <c r="K358" s="1000">
        <v>0.50839999999999996</v>
      </c>
      <c r="L358" s="1000">
        <v>0.50839999999999996</v>
      </c>
      <c r="M358" s="1000">
        <v>0.50839999999999996</v>
      </c>
    </row>
    <row r="359" spans="1:13">
      <c r="A359" s="991">
        <v>5.0999999999999996</v>
      </c>
      <c r="B359" s="1000">
        <v>0.67889999999999995</v>
      </c>
      <c r="C359" s="1000">
        <v>0.67889999999999995</v>
      </c>
      <c r="D359" s="1000">
        <v>0.65229999999999999</v>
      </c>
      <c r="E359" s="1000">
        <v>0.65229999999999999</v>
      </c>
      <c r="F359" s="1000">
        <v>0.65229999999999999</v>
      </c>
      <c r="G359" s="1000">
        <v>0.58160000000000001</v>
      </c>
      <c r="H359" s="1000">
        <v>0.58160000000000001</v>
      </c>
      <c r="I359" s="1000">
        <v>0.50629999999999997</v>
      </c>
      <c r="J359" s="1000">
        <v>0.50629999999999997</v>
      </c>
      <c r="K359" s="1000">
        <v>0.50629999999999997</v>
      </c>
      <c r="L359" s="1000">
        <v>0.50629999999999997</v>
      </c>
      <c r="M359" s="1000">
        <v>0.50629999999999997</v>
      </c>
    </row>
    <row r="360" spans="1:13">
      <c r="A360" s="991">
        <v>5.2</v>
      </c>
      <c r="B360" s="1000">
        <v>0.67749999999999999</v>
      </c>
      <c r="C360" s="1000">
        <v>0.67749999999999999</v>
      </c>
      <c r="D360" s="1000">
        <v>0.65029999999999999</v>
      </c>
      <c r="E360" s="1000">
        <v>0.65029999999999999</v>
      </c>
      <c r="F360" s="1000">
        <v>0.65029999999999999</v>
      </c>
      <c r="G360" s="1000">
        <v>0.57950000000000002</v>
      </c>
      <c r="H360" s="1000">
        <v>0.57950000000000002</v>
      </c>
      <c r="I360" s="1000">
        <v>0.50419999999999998</v>
      </c>
      <c r="J360" s="1000">
        <v>0.50419999999999998</v>
      </c>
      <c r="K360" s="1000">
        <v>0.50419999999999998</v>
      </c>
      <c r="L360" s="1000">
        <v>0.50419999999999998</v>
      </c>
      <c r="M360" s="1000">
        <v>0.50419999999999998</v>
      </c>
    </row>
    <row r="361" spans="1:13">
      <c r="A361" s="991">
        <v>5.3</v>
      </c>
      <c r="B361" s="1000">
        <v>0.67620000000000002</v>
      </c>
      <c r="C361" s="1000">
        <v>0.67620000000000002</v>
      </c>
      <c r="D361" s="1000">
        <v>0.64839999999999998</v>
      </c>
      <c r="E361" s="1000">
        <v>0.64839999999999998</v>
      </c>
      <c r="F361" s="1000">
        <v>0.64839999999999998</v>
      </c>
      <c r="G361" s="1000">
        <v>0.5776</v>
      </c>
      <c r="H361" s="1000">
        <v>0.5776</v>
      </c>
      <c r="I361" s="1000">
        <v>0.50229999999999997</v>
      </c>
      <c r="J361" s="1000">
        <v>0.50229999999999997</v>
      </c>
      <c r="K361" s="1000">
        <v>0.50229999999999997</v>
      </c>
      <c r="L361" s="1000">
        <v>0.50229999999999997</v>
      </c>
      <c r="M361" s="1000">
        <v>0.50229999999999997</v>
      </c>
    </row>
    <row r="362" spans="1:13">
      <c r="A362" s="991">
        <v>5.4</v>
      </c>
      <c r="B362" s="1000">
        <v>0.67500000000000004</v>
      </c>
      <c r="C362" s="1000">
        <v>0.67500000000000004</v>
      </c>
      <c r="D362" s="1000">
        <v>0.64670000000000005</v>
      </c>
      <c r="E362" s="1000">
        <v>0.64670000000000005</v>
      </c>
      <c r="F362" s="1000">
        <v>0.64670000000000005</v>
      </c>
      <c r="G362" s="1000">
        <v>0.57579999999999998</v>
      </c>
      <c r="H362" s="1000">
        <v>0.57579999999999998</v>
      </c>
      <c r="I362" s="1000">
        <v>0.50039999999999996</v>
      </c>
      <c r="J362" s="1000">
        <v>0.50039999999999996</v>
      </c>
      <c r="K362" s="1000">
        <v>0.50039999999999996</v>
      </c>
      <c r="L362" s="1000">
        <v>0.50039999999999996</v>
      </c>
      <c r="M362" s="1000">
        <v>0.50039999999999996</v>
      </c>
    </row>
    <row r="363" spans="1:13">
      <c r="A363" s="991">
        <v>5.5</v>
      </c>
      <c r="B363" s="1000">
        <v>0.67379999999999995</v>
      </c>
      <c r="C363" s="1000">
        <v>0.67379999999999995</v>
      </c>
      <c r="D363" s="1000">
        <v>0.64500000000000002</v>
      </c>
      <c r="E363" s="1000">
        <v>0.64500000000000002</v>
      </c>
      <c r="F363" s="1000">
        <v>0.64500000000000002</v>
      </c>
      <c r="G363" s="1000">
        <v>0.57399999999999995</v>
      </c>
      <c r="H363" s="1000">
        <v>0.57399999999999995</v>
      </c>
      <c r="I363" s="1000">
        <v>0.49869999999999998</v>
      </c>
      <c r="J363" s="1000">
        <v>0.49869999999999998</v>
      </c>
      <c r="K363" s="1000">
        <v>0.49869999999999998</v>
      </c>
      <c r="L363" s="1000">
        <v>0.49869999999999998</v>
      </c>
      <c r="M363" s="1000">
        <v>0.49869999999999998</v>
      </c>
    </row>
    <row r="364" spans="1:13">
      <c r="A364" s="991">
        <v>5.6</v>
      </c>
      <c r="B364" s="1000">
        <v>0.67259999999999998</v>
      </c>
      <c r="C364" s="1000">
        <v>0.67259999999999998</v>
      </c>
      <c r="D364" s="1000">
        <v>0.64339999999999997</v>
      </c>
      <c r="E364" s="1000">
        <v>0.64339999999999997</v>
      </c>
      <c r="F364" s="1000">
        <v>0.64339999999999997</v>
      </c>
      <c r="G364" s="1000">
        <v>0.57240000000000002</v>
      </c>
      <c r="H364" s="1000">
        <v>0.57240000000000002</v>
      </c>
      <c r="I364" s="1000">
        <v>0.49690000000000001</v>
      </c>
      <c r="J364" s="1000">
        <v>0.49690000000000001</v>
      </c>
      <c r="K364" s="1000">
        <v>0.49690000000000001</v>
      </c>
      <c r="L364" s="1000">
        <v>0.49690000000000001</v>
      </c>
      <c r="M364" s="1000">
        <v>0.49690000000000001</v>
      </c>
    </row>
    <row r="365" spans="1:13">
      <c r="A365" s="1015">
        <v>5.7</v>
      </c>
      <c r="B365" s="1000">
        <v>0.6714</v>
      </c>
      <c r="C365" s="1000">
        <v>0.6714</v>
      </c>
      <c r="D365" s="1000">
        <v>0.64190000000000003</v>
      </c>
      <c r="E365" s="1000">
        <v>0.64190000000000003</v>
      </c>
      <c r="F365" s="1000">
        <v>0.64190000000000003</v>
      </c>
      <c r="G365" s="1000">
        <v>0.57069999999999999</v>
      </c>
      <c r="H365" s="1000">
        <v>0.57069999999999999</v>
      </c>
      <c r="I365" s="1000">
        <v>0.49519999999999997</v>
      </c>
      <c r="J365" s="1000">
        <v>0.49519999999999997</v>
      </c>
      <c r="K365" s="1000">
        <v>0.49519999999999997</v>
      </c>
      <c r="L365" s="1000">
        <v>0.49519999999999997</v>
      </c>
      <c r="M365" s="1000">
        <v>0.49519999999999997</v>
      </c>
    </row>
    <row r="366" spans="1:13">
      <c r="A366" s="991">
        <v>5.8</v>
      </c>
      <c r="B366" s="1000">
        <v>0.67020000000000002</v>
      </c>
      <c r="C366" s="1000">
        <v>0.67020000000000002</v>
      </c>
      <c r="D366" s="1000">
        <v>0.64039999999999997</v>
      </c>
      <c r="E366" s="1000">
        <v>0.64039999999999997</v>
      </c>
      <c r="F366" s="1000">
        <v>0.64039999999999997</v>
      </c>
      <c r="G366" s="1000">
        <v>0.56910000000000005</v>
      </c>
      <c r="H366" s="1000">
        <v>0.56910000000000005</v>
      </c>
      <c r="I366" s="1000">
        <v>0.49359999999999998</v>
      </c>
      <c r="J366" s="1000">
        <v>0.49359999999999998</v>
      </c>
      <c r="K366" s="1000">
        <v>0.49359999999999998</v>
      </c>
      <c r="L366" s="1000">
        <v>0.49359999999999998</v>
      </c>
      <c r="M366" s="1000">
        <v>0.49359999999999998</v>
      </c>
    </row>
    <row r="367" spans="1:13">
      <c r="A367" s="991">
        <v>5.9</v>
      </c>
      <c r="B367" s="1000">
        <v>0.66910000000000003</v>
      </c>
      <c r="C367" s="1000">
        <v>0.66910000000000003</v>
      </c>
      <c r="D367" s="1000">
        <v>0.63890000000000002</v>
      </c>
      <c r="E367" s="1000">
        <v>0.63890000000000002</v>
      </c>
      <c r="F367" s="1000">
        <v>0.63890000000000002</v>
      </c>
      <c r="G367" s="1000">
        <v>0.5675</v>
      </c>
      <c r="H367" s="1000">
        <v>0.5675</v>
      </c>
      <c r="I367" s="1000">
        <v>0.4919</v>
      </c>
      <c r="J367" s="1000">
        <v>0.4919</v>
      </c>
      <c r="K367" s="1000">
        <v>0.4919</v>
      </c>
      <c r="L367" s="1000">
        <v>0.4919</v>
      </c>
      <c r="M367" s="1000">
        <v>0.4919</v>
      </c>
    </row>
    <row r="368" spans="1:13">
      <c r="A368" s="991">
        <v>6</v>
      </c>
      <c r="B368" s="1000">
        <v>0.66800000000000004</v>
      </c>
      <c r="C368" s="1000">
        <v>0.66800000000000004</v>
      </c>
      <c r="D368" s="1000">
        <v>0.63739999999999997</v>
      </c>
      <c r="E368" s="1000">
        <v>0.63739999999999997</v>
      </c>
      <c r="F368" s="1000">
        <v>0.63739999999999997</v>
      </c>
      <c r="G368" s="1000">
        <v>0.56589999999999996</v>
      </c>
      <c r="H368" s="1000">
        <v>0.56589999999999996</v>
      </c>
      <c r="I368" s="1000">
        <v>0.49020000000000002</v>
      </c>
      <c r="J368" s="1000">
        <v>0.49020000000000002</v>
      </c>
      <c r="K368" s="1000">
        <v>0.49020000000000002</v>
      </c>
      <c r="L368" s="1000">
        <v>0.49020000000000002</v>
      </c>
      <c r="M368" s="1000">
        <v>0.49020000000000002</v>
      </c>
    </row>
    <row r="369" spans="1:13">
      <c r="A369" s="991">
        <v>6.1</v>
      </c>
      <c r="B369" s="1000">
        <v>0.66690000000000005</v>
      </c>
      <c r="C369" s="1000">
        <v>0.66690000000000005</v>
      </c>
      <c r="D369" s="1000">
        <v>0.63590000000000002</v>
      </c>
      <c r="E369" s="1000">
        <v>0.63590000000000002</v>
      </c>
      <c r="F369" s="1000">
        <v>0.63590000000000002</v>
      </c>
      <c r="G369" s="1000">
        <v>0.56440000000000001</v>
      </c>
      <c r="H369" s="1000">
        <v>0.56440000000000001</v>
      </c>
      <c r="I369" s="1000">
        <v>0.48849999999999999</v>
      </c>
      <c r="J369" s="1000">
        <v>0.48849999999999999</v>
      </c>
      <c r="K369" s="1000">
        <v>0.48849999999999999</v>
      </c>
      <c r="L369" s="1000">
        <v>0.48849999999999999</v>
      </c>
      <c r="M369" s="1000">
        <v>0.48849999999999999</v>
      </c>
    </row>
    <row r="370" spans="1:13">
      <c r="A370" s="991">
        <v>6.2</v>
      </c>
      <c r="B370" s="1000">
        <v>0.66579999999999995</v>
      </c>
      <c r="C370" s="1000">
        <v>0.66579999999999995</v>
      </c>
      <c r="D370" s="1000">
        <v>0.63439999999999996</v>
      </c>
      <c r="E370" s="1000">
        <v>0.63439999999999996</v>
      </c>
      <c r="F370" s="1000">
        <v>0.63439999999999996</v>
      </c>
      <c r="G370" s="1000">
        <v>0.56289999999999996</v>
      </c>
      <c r="H370" s="1000">
        <v>0.56289999999999996</v>
      </c>
      <c r="I370" s="1000">
        <v>0.48680000000000001</v>
      </c>
      <c r="J370" s="1000">
        <v>0.48680000000000001</v>
      </c>
      <c r="K370" s="1000">
        <v>0.48680000000000001</v>
      </c>
      <c r="L370" s="1000">
        <v>0.48680000000000001</v>
      </c>
      <c r="M370" s="1000">
        <v>0.48680000000000001</v>
      </c>
    </row>
    <row r="371" spans="1:13">
      <c r="A371" s="991">
        <v>6.3</v>
      </c>
      <c r="B371" s="1000">
        <v>0.66469999999999996</v>
      </c>
      <c r="C371" s="1000">
        <v>0.66469999999999996</v>
      </c>
      <c r="D371" s="1000">
        <v>0.63290000000000002</v>
      </c>
      <c r="E371" s="1000">
        <v>0.63290000000000002</v>
      </c>
      <c r="F371" s="1000">
        <v>0.63290000000000002</v>
      </c>
      <c r="G371" s="1000">
        <v>0.56130000000000002</v>
      </c>
      <c r="H371" s="1000">
        <v>0.56130000000000002</v>
      </c>
      <c r="I371" s="1000">
        <v>0.48509999999999998</v>
      </c>
      <c r="J371" s="1000">
        <v>0.48509999999999998</v>
      </c>
      <c r="K371" s="1000">
        <v>0.48509999999999998</v>
      </c>
      <c r="L371" s="1000">
        <v>0.48509999999999998</v>
      </c>
      <c r="M371" s="1000">
        <v>0.48509999999999998</v>
      </c>
    </row>
    <row r="372" spans="1:13">
      <c r="A372" s="991">
        <v>6.4</v>
      </c>
      <c r="B372" s="1000">
        <v>0.66359999999999997</v>
      </c>
      <c r="C372" s="1000">
        <v>0.66359999999999997</v>
      </c>
      <c r="D372" s="1000">
        <v>0.63139999999999996</v>
      </c>
      <c r="E372" s="1000">
        <v>0.63139999999999996</v>
      </c>
      <c r="F372" s="1000">
        <v>0.63139999999999996</v>
      </c>
      <c r="G372" s="1000">
        <v>0.55979999999999996</v>
      </c>
      <c r="H372" s="1000">
        <v>0.55979999999999996</v>
      </c>
      <c r="I372" s="1000">
        <v>0.48349999999999999</v>
      </c>
      <c r="J372" s="1000">
        <v>0.48349999999999999</v>
      </c>
      <c r="K372" s="1000">
        <v>0.48349999999999999</v>
      </c>
      <c r="L372" s="1000">
        <v>0.48349999999999999</v>
      </c>
      <c r="M372" s="1000">
        <v>0.48349999999999999</v>
      </c>
    </row>
    <row r="373" spans="1:13">
      <c r="A373" s="991">
        <v>6.5</v>
      </c>
      <c r="B373" s="1000">
        <v>0.66249999999999998</v>
      </c>
      <c r="C373" s="1000">
        <v>0.66249999999999998</v>
      </c>
      <c r="D373" s="1000">
        <v>0.63</v>
      </c>
      <c r="E373" s="1000">
        <v>0.63</v>
      </c>
      <c r="F373" s="1000">
        <v>0.63</v>
      </c>
      <c r="G373" s="1000">
        <v>0.55820000000000003</v>
      </c>
      <c r="H373" s="1000">
        <v>0.55820000000000003</v>
      </c>
      <c r="I373" s="1000">
        <v>0.4819</v>
      </c>
      <c r="J373" s="1000">
        <v>0.4819</v>
      </c>
      <c r="K373" s="1000">
        <v>0.4819</v>
      </c>
      <c r="L373" s="1000">
        <v>0.4819</v>
      </c>
      <c r="M373" s="1000">
        <v>0.4819</v>
      </c>
    </row>
    <row r="374" spans="1:13">
      <c r="A374" s="991">
        <v>6.6</v>
      </c>
      <c r="B374" s="1000">
        <v>0.66149999999999998</v>
      </c>
      <c r="C374" s="1000">
        <v>0.66149999999999998</v>
      </c>
      <c r="D374" s="1000">
        <v>0.62860000000000005</v>
      </c>
      <c r="E374" s="1000">
        <v>0.62860000000000005</v>
      </c>
      <c r="F374" s="1000">
        <v>0.62860000000000005</v>
      </c>
      <c r="G374" s="1000">
        <v>0.55669999999999997</v>
      </c>
      <c r="H374" s="1000">
        <v>0.55669999999999997</v>
      </c>
      <c r="I374" s="1000">
        <v>0.4803</v>
      </c>
      <c r="J374" s="1000">
        <v>0.4803</v>
      </c>
      <c r="K374" s="1000">
        <v>0.4803</v>
      </c>
      <c r="L374" s="1000">
        <v>0.4803</v>
      </c>
      <c r="M374" s="1000">
        <v>0.4803</v>
      </c>
    </row>
    <row r="375" spans="1:13">
      <c r="A375" s="991">
        <v>6.7</v>
      </c>
      <c r="B375" s="1000">
        <v>0.66049999999999998</v>
      </c>
      <c r="C375" s="1000">
        <v>0.66049999999999998</v>
      </c>
      <c r="D375" s="1000">
        <v>0.62719999999999998</v>
      </c>
      <c r="E375" s="1000">
        <v>0.62719999999999998</v>
      </c>
      <c r="F375" s="1000">
        <v>0.62719999999999998</v>
      </c>
      <c r="G375" s="1000">
        <v>0.55520000000000003</v>
      </c>
      <c r="H375" s="1000">
        <v>0.55520000000000003</v>
      </c>
      <c r="I375" s="1000">
        <v>0.47870000000000001</v>
      </c>
      <c r="J375" s="1000">
        <v>0.47870000000000001</v>
      </c>
      <c r="K375" s="1000">
        <v>0.47870000000000001</v>
      </c>
      <c r="L375" s="1000">
        <v>0.47870000000000001</v>
      </c>
      <c r="M375" s="1000">
        <v>0.47870000000000001</v>
      </c>
    </row>
    <row r="376" spans="1:13">
      <c r="A376" s="991">
        <v>6.8</v>
      </c>
      <c r="B376" s="1000">
        <v>0.65949999999999998</v>
      </c>
      <c r="C376" s="1000">
        <v>0.65949999999999998</v>
      </c>
      <c r="D376" s="1000">
        <v>0.62580000000000002</v>
      </c>
      <c r="E376" s="1000">
        <v>0.62580000000000002</v>
      </c>
      <c r="F376" s="1000">
        <v>0.62580000000000002</v>
      </c>
      <c r="G376" s="1000">
        <v>0.55359999999999998</v>
      </c>
      <c r="H376" s="1000">
        <v>0.55359999999999998</v>
      </c>
      <c r="I376" s="1000">
        <v>0.47710000000000002</v>
      </c>
      <c r="J376" s="1000">
        <v>0.47710000000000002</v>
      </c>
      <c r="K376" s="1000">
        <v>0.47710000000000002</v>
      </c>
      <c r="L376" s="1000">
        <v>0.47710000000000002</v>
      </c>
      <c r="M376" s="1000">
        <v>0.47710000000000002</v>
      </c>
    </row>
    <row r="377" spans="1:13">
      <c r="A377" s="991">
        <v>6.9</v>
      </c>
      <c r="B377" s="1000">
        <v>0.65849999999999997</v>
      </c>
      <c r="C377" s="1000">
        <v>0.65849999999999997</v>
      </c>
      <c r="D377" s="1000">
        <v>0.62439999999999996</v>
      </c>
      <c r="E377" s="1000">
        <v>0.62439999999999996</v>
      </c>
      <c r="F377" s="1000">
        <v>0.62439999999999996</v>
      </c>
      <c r="G377" s="1000">
        <v>0.55220000000000002</v>
      </c>
      <c r="H377" s="1000">
        <v>0.55220000000000002</v>
      </c>
      <c r="I377" s="1000">
        <v>0.47549999999999998</v>
      </c>
      <c r="J377" s="1000">
        <v>0.47549999999999998</v>
      </c>
      <c r="K377" s="1000">
        <v>0.47549999999999998</v>
      </c>
      <c r="L377" s="1000">
        <v>0.47549999999999998</v>
      </c>
      <c r="M377" s="1000">
        <v>0.47549999999999998</v>
      </c>
    </row>
    <row r="378" spans="1:13">
      <c r="A378" s="991">
        <v>7</v>
      </c>
      <c r="B378" s="1000">
        <v>0.65749999999999997</v>
      </c>
      <c r="C378" s="1000">
        <v>0.65749999999999997</v>
      </c>
      <c r="D378" s="1000">
        <v>0.623</v>
      </c>
      <c r="E378" s="1000">
        <v>0.623</v>
      </c>
      <c r="F378" s="1000">
        <v>0.623</v>
      </c>
      <c r="G378" s="1000">
        <v>0.55069999999999997</v>
      </c>
      <c r="H378" s="1000">
        <v>0.55069999999999997</v>
      </c>
      <c r="I378" s="1000">
        <v>0.47389999999999999</v>
      </c>
      <c r="J378" s="1000">
        <v>0.47389999999999999</v>
      </c>
      <c r="K378" s="1000">
        <v>0.47389999999999999</v>
      </c>
      <c r="L378" s="1000">
        <v>0.47389999999999999</v>
      </c>
      <c r="M378" s="1000">
        <v>0.47389999999999999</v>
      </c>
    </row>
    <row r="379" spans="1:13">
      <c r="A379" s="991">
        <v>7.1</v>
      </c>
      <c r="B379" s="1000">
        <v>0.65649999999999997</v>
      </c>
      <c r="C379" s="1000">
        <v>0.65649999999999997</v>
      </c>
      <c r="D379" s="1000">
        <v>0.62160000000000004</v>
      </c>
      <c r="E379" s="1000">
        <v>0.62160000000000004</v>
      </c>
      <c r="F379" s="1000">
        <v>0.62160000000000004</v>
      </c>
      <c r="G379" s="1000">
        <v>0.54930000000000001</v>
      </c>
      <c r="H379" s="1000">
        <v>0.54930000000000001</v>
      </c>
      <c r="I379" s="1000">
        <v>0.47239999999999999</v>
      </c>
      <c r="J379" s="1000">
        <v>0.47239999999999999</v>
      </c>
      <c r="K379" s="1000">
        <v>0.47239999999999999</v>
      </c>
      <c r="L379" s="1000">
        <v>0.47239999999999999</v>
      </c>
      <c r="M379" s="1000">
        <v>0.47239999999999999</v>
      </c>
    </row>
    <row r="380" spans="1:13">
      <c r="A380" s="991">
        <v>7.2</v>
      </c>
      <c r="B380" s="1000">
        <v>0.65549999999999997</v>
      </c>
      <c r="C380" s="1000">
        <v>0.65549999999999997</v>
      </c>
      <c r="D380" s="1000">
        <v>0.62019999999999997</v>
      </c>
      <c r="E380" s="1000">
        <v>0.62019999999999997</v>
      </c>
      <c r="F380" s="1000">
        <v>0.62019999999999997</v>
      </c>
      <c r="G380" s="1000">
        <v>0.54779999999999995</v>
      </c>
      <c r="H380" s="1000">
        <v>0.54779999999999995</v>
      </c>
      <c r="I380" s="1000">
        <v>0.47089999999999999</v>
      </c>
      <c r="J380" s="1000">
        <v>0.47089999999999999</v>
      </c>
      <c r="K380" s="1000">
        <v>0.47089999999999999</v>
      </c>
      <c r="L380" s="1000">
        <v>0.47089999999999999</v>
      </c>
      <c r="M380" s="1000">
        <v>0.47089999999999999</v>
      </c>
    </row>
    <row r="381" spans="1:13">
      <c r="A381" s="991">
        <v>7.3</v>
      </c>
      <c r="B381" s="1000">
        <v>0.65449999999999997</v>
      </c>
      <c r="C381" s="1000">
        <v>0.65449999999999997</v>
      </c>
      <c r="D381" s="1000">
        <v>0.61880000000000002</v>
      </c>
      <c r="E381" s="1000">
        <v>0.61880000000000002</v>
      </c>
      <c r="F381" s="1000">
        <v>0.61880000000000002</v>
      </c>
      <c r="G381" s="1000">
        <v>0.5464</v>
      </c>
      <c r="H381" s="1000">
        <v>0.5464</v>
      </c>
      <c r="I381" s="1000">
        <v>0.46939999999999998</v>
      </c>
      <c r="J381" s="1000">
        <v>0.46939999999999998</v>
      </c>
      <c r="K381" s="1000">
        <v>0.46939999999999998</v>
      </c>
      <c r="L381" s="1000">
        <v>0.46939999999999998</v>
      </c>
      <c r="M381" s="1000">
        <v>0.46939999999999998</v>
      </c>
    </row>
    <row r="382" spans="1:13">
      <c r="A382" s="991">
        <v>7.4</v>
      </c>
      <c r="B382" s="1000">
        <v>0.65349999999999997</v>
      </c>
      <c r="C382" s="1000">
        <v>0.65349999999999997</v>
      </c>
      <c r="D382" s="1000">
        <v>0.61750000000000005</v>
      </c>
      <c r="E382" s="1000">
        <v>0.61750000000000005</v>
      </c>
      <c r="F382" s="1000">
        <v>0.61750000000000005</v>
      </c>
      <c r="G382" s="1000">
        <v>0.54490000000000005</v>
      </c>
      <c r="H382" s="1000">
        <v>0.54490000000000005</v>
      </c>
      <c r="I382" s="1000">
        <v>0.46779999999999999</v>
      </c>
      <c r="J382" s="1000">
        <v>0.46779999999999999</v>
      </c>
      <c r="K382" s="1000">
        <v>0.46779999999999999</v>
      </c>
      <c r="L382" s="1000">
        <v>0.46779999999999999</v>
      </c>
      <c r="M382" s="1000">
        <v>0.46779999999999999</v>
      </c>
    </row>
    <row r="383" spans="1:13">
      <c r="A383" s="991">
        <v>7.5</v>
      </c>
      <c r="B383" s="1000">
        <v>0.65249999999999997</v>
      </c>
      <c r="C383" s="1000">
        <v>0.65249999999999997</v>
      </c>
      <c r="D383" s="1000">
        <v>0.61619999999999997</v>
      </c>
      <c r="E383" s="1000">
        <v>0.61619999999999997</v>
      </c>
      <c r="F383" s="1000">
        <v>0.61619999999999997</v>
      </c>
      <c r="G383" s="1000">
        <v>0.54349999999999998</v>
      </c>
      <c r="H383" s="1000">
        <v>0.54349999999999998</v>
      </c>
      <c r="I383" s="1000">
        <v>0.46629999999999999</v>
      </c>
      <c r="J383" s="1000">
        <v>0.46629999999999999</v>
      </c>
      <c r="K383" s="1000">
        <v>0.46629999999999999</v>
      </c>
      <c r="L383" s="1000">
        <v>0.46629999999999999</v>
      </c>
      <c r="M383" s="1000">
        <v>0.46629999999999999</v>
      </c>
    </row>
    <row r="384" spans="1:13">
      <c r="A384" s="991">
        <v>7.6</v>
      </c>
      <c r="B384" s="1000">
        <v>0.65149999999999997</v>
      </c>
      <c r="C384" s="1000">
        <v>0.65149999999999997</v>
      </c>
      <c r="D384" s="1000">
        <v>0.6149</v>
      </c>
      <c r="E384" s="1000">
        <v>0.6149</v>
      </c>
      <c r="F384" s="1000">
        <v>0.6149</v>
      </c>
      <c r="G384" s="1000">
        <v>0.54200000000000004</v>
      </c>
      <c r="H384" s="1000">
        <v>0.54200000000000004</v>
      </c>
      <c r="I384" s="1000">
        <v>0.46479999999999999</v>
      </c>
      <c r="J384" s="1000">
        <v>0.46479999999999999</v>
      </c>
      <c r="K384" s="1000">
        <v>0.46479999999999999</v>
      </c>
      <c r="L384" s="1000">
        <v>0.46479999999999999</v>
      </c>
      <c r="M384" s="1000">
        <v>0.46479999999999999</v>
      </c>
    </row>
    <row r="385" spans="1:13">
      <c r="A385" s="991">
        <v>7.7</v>
      </c>
      <c r="B385" s="1000">
        <v>0.65049999999999997</v>
      </c>
      <c r="C385" s="1000">
        <v>0.65049999999999997</v>
      </c>
      <c r="D385" s="1000">
        <v>0.61360000000000003</v>
      </c>
      <c r="E385" s="1000">
        <v>0.61360000000000003</v>
      </c>
      <c r="F385" s="1000">
        <v>0.61360000000000003</v>
      </c>
      <c r="G385" s="1000">
        <v>0.54059999999999997</v>
      </c>
      <c r="H385" s="1000">
        <v>0.54059999999999997</v>
      </c>
      <c r="I385" s="1000">
        <v>0.46329999999999999</v>
      </c>
      <c r="J385" s="1000">
        <v>0.46329999999999999</v>
      </c>
      <c r="K385" s="1000">
        <v>0.46329999999999999</v>
      </c>
      <c r="L385" s="1000">
        <v>0.46329999999999999</v>
      </c>
      <c r="M385" s="1000">
        <v>0.46329999999999999</v>
      </c>
    </row>
    <row r="386" spans="1:13">
      <c r="A386" s="991">
        <v>7.8</v>
      </c>
      <c r="B386" s="1000">
        <v>0.64949999999999997</v>
      </c>
      <c r="C386" s="1000">
        <v>0.64949999999999997</v>
      </c>
      <c r="D386" s="1000">
        <v>0.61229999999999996</v>
      </c>
      <c r="E386" s="1000">
        <v>0.61229999999999996</v>
      </c>
      <c r="F386" s="1000">
        <v>0.61229999999999996</v>
      </c>
      <c r="G386" s="1000">
        <v>0.53910000000000002</v>
      </c>
      <c r="H386" s="1000">
        <v>0.53910000000000002</v>
      </c>
      <c r="I386" s="1000">
        <v>0.4617</v>
      </c>
      <c r="J386" s="1000">
        <v>0.4617</v>
      </c>
      <c r="K386" s="1000">
        <v>0.4617</v>
      </c>
      <c r="L386" s="1000">
        <v>0.4617</v>
      </c>
      <c r="M386" s="1000">
        <v>0.4617</v>
      </c>
    </row>
    <row r="387" spans="1:13">
      <c r="A387" s="991">
        <v>7.9</v>
      </c>
      <c r="B387" s="1000">
        <v>0.64849999999999997</v>
      </c>
      <c r="C387" s="1000">
        <v>0.64849999999999997</v>
      </c>
      <c r="D387" s="1000">
        <v>0.61099999999999999</v>
      </c>
      <c r="E387" s="1000">
        <v>0.61099999999999999</v>
      </c>
      <c r="F387" s="1000">
        <v>0.61099999999999999</v>
      </c>
      <c r="G387" s="1000">
        <v>0.53769999999999996</v>
      </c>
      <c r="H387" s="1000">
        <v>0.53769999999999996</v>
      </c>
      <c r="I387" s="1000">
        <v>0.4602</v>
      </c>
      <c r="J387" s="1000">
        <v>0.4602</v>
      </c>
      <c r="K387" s="1000">
        <v>0.4602</v>
      </c>
      <c r="L387" s="1000">
        <v>0.4602</v>
      </c>
      <c r="M387" s="1000">
        <v>0.4602</v>
      </c>
    </row>
    <row r="388" spans="1:13">
      <c r="A388" s="991">
        <v>8</v>
      </c>
      <c r="B388" s="1000">
        <v>0.64749999999999996</v>
      </c>
      <c r="C388" s="1000">
        <v>0.64749999999999996</v>
      </c>
      <c r="D388" s="1000">
        <v>0.60970000000000002</v>
      </c>
      <c r="E388" s="1000">
        <v>0.60970000000000002</v>
      </c>
      <c r="F388" s="1000">
        <v>0.60970000000000002</v>
      </c>
      <c r="G388" s="1000">
        <v>0.53620000000000001</v>
      </c>
      <c r="H388" s="1000">
        <v>0.53620000000000001</v>
      </c>
      <c r="I388" s="1000">
        <v>0.4587</v>
      </c>
      <c r="J388" s="1000">
        <v>0.4587</v>
      </c>
      <c r="K388" s="1000">
        <v>0.4587</v>
      </c>
      <c r="L388" s="1000">
        <v>0.4587</v>
      </c>
      <c r="M388" s="1000">
        <v>0.4587</v>
      </c>
    </row>
    <row r="389" spans="1:13">
      <c r="A389" s="991">
        <v>8.1</v>
      </c>
      <c r="B389" s="1000">
        <v>0.64649999999999996</v>
      </c>
      <c r="C389" s="1000">
        <v>0.64649999999999996</v>
      </c>
      <c r="D389" s="1000">
        <v>0.60840000000000005</v>
      </c>
      <c r="E389" s="1000">
        <v>0.60840000000000005</v>
      </c>
      <c r="F389" s="1000">
        <v>0.60840000000000005</v>
      </c>
      <c r="G389" s="1000">
        <v>0.53480000000000005</v>
      </c>
      <c r="H389" s="1000">
        <v>0.53480000000000005</v>
      </c>
      <c r="I389" s="1000">
        <v>0.4572</v>
      </c>
      <c r="J389" s="1000">
        <v>0.4572</v>
      </c>
      <c r="K389" s="1000">
        <v>0.4572</v>
      </c>
      <c r="L389" s="1000">
        <v>0.4572</v>
      </c>
      <c r="M389" s="1000">
        <v>0.4572</v>
      </c>
    </row>
    <row r="390" spans="1:13">
      <c r="A390" s="991">
        <v>8.1999999999999993</v>
      </c>
      <c r="B390" s="1000">
        <v>0.64549999999999996</v>
      </c>
      <c r="C390" s="1000">
        <v>0.64549999999999996</v>
      </c>
      <c r="D390" s="1000">
        <v>0.60709999999999997</v>
      </c>
      <c r="E390" s="1000">
        <v>0.60709999999999997</v>
      </c>
      <c r="F390" s="1000">
        <v>0.60709999999999997</v>
      </c>
      <c r="G390" s="1000">
        <v>0.5333</v>
      </c>
      <c r="H390" s="1000">
        <v>0.5333</v>
      </c>
      <c r="I390" s="1000">
        <v>0.45569999999999999</v>
      </c>
      <c r="J390" s="1000">
        <v>0.45569999999999999</v>
      </c>
      <c r="K390" s="1000">
        <v>0.45569999999999999</v>
      </c>
      <c r="L390" s="1000">
        <v>0.45569999999999999</v>
      </c>
      <c r="M390" s="1000">
        <v>0.45569999999999999</v>
      </c>
    </row>
    <row r="391" spans="1:13">
      <c r="A391" s="991">
        <v>8.3000000000000007</v>
      </c>
      <c r="B391" s="1000">
        <v>0.64449999999999996</v>
      </c>
      <c r="C391" s="1000">
        <v>0.64449999999999996</v>
      </c>
      <c r="D391" s="1000">
        <v>0.60580000000000001</v>
      </c>
      <c r="E391" s="1000">
        <v>0.60580000000000001</v>
      </c>
      <c r="F391" s="1000">
        <v>0.60580000000000001</v>
      </c>
      <c r="G391" s="1000">
        <v>0.53190000000000004</v>
      </c>
      <c r="H391" s="1000">
        <v>0.53190000000000004</v>
      </c>
      <c r="I391" s="1000">
        <v>0.45429999999999998</v>
      </c>
      <c r="J391" s="1000">
        <v>0.45429999999999998</v>
      </c>
      <c r="K391" s="1000">
        <v>0.45429999999999998</v>
      </c>
      <c r="L391" s="1000">
        <v>0.45429999999999998</v>
      </c>
      <c r="M391" s="1000">
        <v>0.45429999999999998</v>
      </c>
    </row>
    <row r="392" spans="1:13">
      <c r="A392" s="991">
        <v>8.4</v>
      </c>
      <c r="B392" s="1000">
        <v>0.64349999999999996</v>
      </c>
      <c r="C392" s="1000">
        <v>0.64349999999999996</v>
      </c>
      <c r="D392" s="1000">
        <v>0.60450000000000004</v>
      </c>
      <c r="E392" s="1000">
        <v>0.60450000000000004</v>
      </c>
      <c r="F392" s="1000">
        <v>0.60450000000000004</v>
      </c>
      <c r="G392" s="1000">
        <v>0.53039999999999998</v>
      </c>
      <c r="H392" s="1000">
        <v>0.53039999999999998</v>
      </c>
      <c r="I392" s="1000">
        <v>0.45290000000000002</v>
      </c>
      <c r="J392" s="1000">
        <v>0.45290000000000002</v>
      </c>
      <c r="K392" s="1000">
        <v>0.45290000000000002</v>
      </c>
      <c r="L392" s="1000">
        <v>0.45290000000000002</v>
      </c>
      <c r="M392" s="1000">
        <v>0.45290000000000002</v>
      </c>
    </row>
    <row r="393" spans="1:13">
      <c r="A393" s="991">
        <v>8.5</v>
      </c>
      <c r="B393" s="1000">
        <v>0.64249999999999996</v>
      </c>
      <c r="C393" s="1000">
        <v>0.64249999999999996</v>
      </c>
      <c r="D393" s="1000">
        <v>0.60319999999999996</v>
      </c>
      <c r="E393" s="1000">
        <v>0.60319999999999996</v>
      </c>
      <c r="F393" s="1000">
        <v>0.60319999999999996</v>
      </c>
      <c r="G393" s="1000">
        <v>0.52900000000000003</v>
      </c>
      <c r="H393" s="1000">
        <v>0.52900000000000003</v>
      </c>
      <c r="I393" s="1000">
        <v>0.45140000000000002</v>
      </c>
      <c r="J393" s="1000">
        <v>0.45140000000000002</v>
      </c>
      <c r="K393" s="1000">
        <v>0.45140000000000002</v>
      </c>
      <c r="L393" s="1000">
        <v>0.45140000000000002</v>
      </c>
      <c r="M393" s="1000">
        <v>0.45140000000000002</v>
      </c>
    </row>
    <row r="394" spans="1:13">
      <c r="A394" s="991">
        <v>8.6</v>
      </c>
      <c r="B394" s="1000">
        <v>0.64149999999999996</v>
      </c>
      <c r="C394" s="1000">
        <v>0.64149999999999996</v>
      </c>
      <c r="D394" s="1000">
        <v>0.60189999999999999</v>
      </c>
      <c r="E394" s="1000">
        <v>0.60189999999999999</v>
      </c>
      <c r="F394" s="1000">
        <v>0.60189999999999999</v>
      </c>
      <c r="G394" s="1000">
        <v>0.52749999999999997</v>
      </c>
      <c r="H394" s="1000">
        <v>0.52749999999999997</v>
      </c>
      <c r="I394" s="1000">
        <v>0.45</v>
      </c>
      <c r="J394" s="1000">
        <v>0.45</v>
      </c>
      <c r="K394" s="1000">
        <v>0.45</v>
      </c>
      <c r="L394" s="1000">
        <v>0.45</v>
      </c>
      <c r="M394" s="1000">
        <v>0.45</v>
      </c>
    </row>
    <row r="395" spans="1:13">
      <c r="A395" s="991">
        <v>8.6999999999999993</v>
      </c>
      <c r="B395" s="1000">
        <v>0.64049999999999996</v>
      </c>
      <c r="C395" s="1000">
        <v>0.64049999999999996</v>
      </c>
      <c r="D395" s="1000">
        <v>0.60060000000000002</v>
      </c>
      <c r="E395" s="1000">
        <v>0.60060000000000002</v>
      </c>
      <c r="F395" s="1000">
        <v>0.60060000000000002</v>
      </c>
      <c r="G395" s="1000">
        <v>0.52610000000000001</v>
      </c>
      <c r="H395" s="1000">
        <v>0.52610000000000001</v>
      </c>
      <c r="I395" s="1000">
        <v>0.44850000000000001</v>
      </c>
      <c r="J395" s="1000">
        <v>0.44850000000000001</v>
      </c>
      <c r="K395" s="1000">
        <v>0.44850000000000001</v>
      </c>
      <c r="L395" s="1000">
        <v>0.44850000000000001</v>
      </c>
      <c r="M395" s="1000">
        <v>0.44850000000000001</v>
      </c>
    </row>
    <row r="396" spans="1:13">
      <c r="A396" s="991">
        <v>8.8000000000000007</v>
      </c>
      <c r="B396" s="1000">
        <v>0.63949999999999996</v>
      </c>
      <c r="C396" s="1000">
        <v>0.63949999999999996</v>
      </c>
      <c r="D396" s="1000">
        <v>0.59930000000000005</v>
      </c>
      <c r="E396" s="1000">
        <v>0.59930000000000005</v>
      </c>
      <c r="F396" s="1000">
        <v>0.59930000000000005</v>
      </c>
      <c r="G396" s="1000">
        <v>0.52459999999999996</v>
      </c>
      <c r="H396" s="1000">
        <v>0.52459999999999996</v>
      </c>
      <c r="I396" s="1000">
        <v>0.4471</v>
      </c>
      <c r="J396" s="1000">
        <v>0.4471</v>
      </c>
      <c r="K396" s="1000">
        <v>0.4471</v>
      </c>
      <c r="L396" s="1000">
        <v>0.4471</v>
      </c>
      <c r="M396" s="1000">
        <v>0.4471</v>
      </c>
    </row>
    <row r="397" spans="1:13">
      <c r="A397" s="991">
        <v>8.9</v>
      </c>
      <c r="B397" s="1000">
        <v>0.63849999999999996</v>
      </c>
      <c r="C397" s="1000">
        <v>0.63849999999999996</v>
      </c>
      <c r="D397" s="1000">
        <v>0.59799999999999998</v>
      </c>
      <c r="E397" s="1000">
        <v>0.59799999999999998</v>
      </c>
      <c r="F397" s="1000">
        <v>0.59799999999999998</v>
      </c>
      <c r="G397" s="1000">
        <v>0.5232</v>
      </c>
      <c r="H397" s="1000">
        <v>0.5232</v>
      </c>
      <c r="I397" s="1000">
        <v>0.4456</v>
      </c>
      <c r="J397" s="1000">
        <v>0.4456</v>
      </c>
      <c r="K397" s="1000">
        <v>0.4456</v>
      </c>
      <c r="L397" s="1000">
        <v>0.4456</v>
      </c>
      <c r="M397" s="1000">
        <v>0.4456</v>
      </c>
    </row>
    <row r="398" spans="1:13">
      <c r="A398" s="1015">
        <v>9</v>
      </c>
      <c r="B398" s="1000">
        <v>0.63749999999999996</v>
      </c>
      <c r="C398" s="1000">
        <v>0.63749999999999996</v>
      </c>
      <c r="D398" s="1000">
        <v>0.59670000000000001</v>
      </c>
      <c r="E398" s="1000">
        <v>0.59670000000000001</v>
      </c>
      <c r="F398" s="1000">
        <v>0.59670000000000001</v>
      </c>
      <c r="G398" s="1000">
        <v>0.52170000000000005</v>
      </c>
      <c r="H398" s="1000">
        <v>0.52170000000000005</v>
      </c>
      <c r="I398" s="1000">
        <v>0.44429999999999997</v>
      </c>
      <c r="J398" s="1000">
        <v>0.44429999999999997</v>
      </c>
      <c r="K398" s="1000">
        <v>0.44429999999999997</v>
      </c>
      <c r="L398" s="1000">
        <v>0.44429999999999997</v>
      </c>
      <c r="M398" s="1000">
        <v>0.44429999999999997</v>
      </c>
    </row>
    <row r="399" spans="1:13">
      <c r="A399" s="1015">
        <v>9.1</v>
      </c>
      <c r="B399" s="1000">
        <v>0.63649999999999995</v>
      </c>
      <c r="C399" s="1000">
        <v>0.63649999999999995</v>
      </c>
      <c r="D399" s="1000">
        <v>0.59540000000000004</v>
      </c>
      <c r="E399" s="1000">
        <v>0.59540000000000004</v>
      </c>
      <c r="F399" s="1000">
        <v>0.59540000000000004</v>
      </c>
      <c r="G399" s="1000">
        <v>0.52029999999999998</v>
      </c>
      <c r="H399" s="1000">
        <v>0.52029999999999998</v>
      </c>
      <c r="I399" s="1000">
        <v>0.44290000000000002</v>
      </c>
      <c r="J399" s="1000">
        <v>0.44290000000000002</v>
      </c>
      <c r="K399" s="1000">
        <v>0.44290000000000002</v>
      </c>
      <c r="L399" s="1000">
        <v>0.44290000000000002</v>
      </c>
      <c r="M399" s="1000">
        <v>0.44290000000000002</v>
      </c>
    </row>
    <row r="400" spans="1:13">
      <c r="A400" s="1015">
        <v>9.1999999999999993</v>
      </c>
      <c r="B400" s="1000">
        <v>0.63549999999999995</v>
      </c>
      <c r="C400" s="1000">
        <v>0.63549999999999995</v>
      </c>
      <c r="D400" s="1000">
        <v>0.59409999999999996</v>
      </c>
      <c r="E400" s="1000">
        <v>0.59409999999999996</v>
      </c>
      <c r="F400" s="1000">
        <v>0.59409999999999996</v>
      </c>
      <c r="G400" s="1000">
        <v>0.51880000000000004</v>
      </c>
      <c r="H400" s="1000">
        <v>0.51880000000000004</v>
      </c>
      <c r="I400" s="1000">
        <v>0.44159999999999999</v>
      </c>
      <c r="J400" s="1000">
        <v>0.44159999999999999</v>
      </c>
      <c r="K400" s="1000">
        <v>0.44159999999999999</v>
      </c>
      <c r="L400" s="1000">
        <v>0.44159999999999999</v>
      </c>
      <c r="M400" s="1000">
        <v>0.44159999999999999</v>
      </c>
    </row>
    <row r="401" spans="1:13">
      <c r="A401" s="1015">
        <v>9.3000000000000007</v>
      </c>
      <c r="B401" s="1000">
        <v>0.63449999999999995</v>
      </c>
      <c r="C401" s="1000">
        <v>0.63449999999999995</v>
      </c>
      <c r="D401" s="1000">
        <v>0.59279999999999999</v>
      </c>
      <c r="E401" s="1000">
        <v>0.59279999999999999</v>
      </c>
      <c r="F401" s="1000">
        <v>0.59279999999999999</v>
      </c>
      <c r="G401" s="1000">
        <v>0.51739999999999997</v>
      </c>
      <c r="H401" s="1000">
        <v>0.51739999999999997</v>
      </c>
      <c r="I401" s="1000">
        <v>0.44019999999999998</v>
      </c>
      <c r="J401" s="1000">
        <v>0.44019999999999998</v>
      </c>
      <c r="K401" s="1000">
        <v>0.44019999999999998</v>
      </c>
      <c r="L401" s="1000">
        <v>0.44019999999999998</v>
      </c>
      <c r="M401" s="1000">
        <v>0.44019999999999998</v>
      </c>
    </row>
    <row r="402" spans="1:13">
      <c r="A402" s="1015">
        <v>9.4</v>
      </c>
      <c r="B402" s="1000">
        <v>0.63349999999999995</v>
      </c>
      <c r="C402" s="1000">
        <v>0.63349999999999995</v>
      </c>
      <c r="D402" s="1000">
        <v>0.59150000000000003</v>
      </c>
      <c r="E402" s="1000">
        <v>0.59150000000000003</v>
      </c>
      <c r="F402" s="1000">
        <v>0.59150000000000003</v>
      </c>
      <c r="G402" s="1000">
        <v>0.51600000000000001</v>
      </c>
      <c r="H402" s="1000">
        <v>0.51600000000000001</v>
      </c>
      <c r="I402" s="1000">
        <v>0.43880000000000002</v>
      </c>
      <c r="J402" s="1000">
        <v>0.43880000000000002</v>
      </c>
      <c r="K402" s="1000">
        <v>0.43880000000000002</v>
      </c>
      <c r="L402" s="1000">
        <v>0.43880000000000002</v>
      </c>
      <c r="M402" s="1000">
        <v>0.43880000000000002</v>
      </c>
    </row>
    <row r="403" spans="1:13">
      <c r="A403" s="1015">
        <v>9.5</v>
      </c>
      <c r="B403" s="1000">
        <v>0.63249999999999995</v>
      </c>
      <c r="C403" s="1000">
        <v>0.63249999999999995</v>
      </c>
      <c r="D403" s="1000">
        <v>0.59030000000000005</v>
      </c>
      <c r="E403" s="1000">
        <v>0.59030000000000005</v>
      </c>
      <c r="F403" s="1000">
        <v>0.59030000000000005</v>
      </c>
      <c r="G403" s="1000">
        <v>0.51470000000000005</v>
      </c>
      <c r="H403" s="1000">
        <v>0.51470000000000005</v>
      </c>
      <c r="I403" s="1000">
        <v>0.4375</v>
      </c>
      <c r="J403" s="1000">
        <v>0.4375</v>
      </c>
      <c r="K403" s="1000">
        <v>0.4375</v>
      </c>
      <c r="L403" s="1000">
        <v>0.4375</v>
      </c>
      <c r="M403" s="1000">
        <v>0.4375</v>
      </c>
    </row>
    <row r="404" spans="1:13">
      <c r="A404" s="1015">
        <v>9.6</v>
      </c>
      <c r="B404" s="1000">
        <v>0.63149999999999995</v>
      </c>
      <c r="C404" s="1000">
        <v>0.63149999999999995</v>
      </c>
      <c r="D404" s="1000">
        <v>0.58909999999999996</v>
      </c>
      <c r="E404" s="1000">
        <v>0.58909999999999996</v>
      </c>
      <c r="F404" s="1000">
        <v>0.58909999999999996</v>
      </c>
      <c r="G404" s="1000">
        <v>0.51329999999999998</v>
      </c>
      <c r="H404" s="1000">
        <v>0.51329999999999998</v>
      </c>
      <c r="I404" s="1000">
        <v>0.43609999999999999</v>
      </c>
      <c r="J404" s="1000">
        <v>0.43609999999999999</v>
      </c>
      <c r="K404" s="1000">
        <v>0.43609999999999999</v>
      </c>
      <c r="L404" s="1000">
        <v>0.43609999999999999</v>
      </c>
      <c r="M404" s="1000">
        <v>0.43609999999999999</v>
      </c>
    </row>
    <row r="405" spans="1:13">
      <c r="A405" s="1015">
        <v>9.6999999999999993</v>
      </c>
      <c r="B405" s="1000">
        <v>0.63049999999999995</v>
      </c>
      <c r="C405" s="1000">
        <v>0.63049999999999995</v>
      </c>
      <c r="D405" s="1000">
        <v>0.58789999999999998</v>
      </c>
      <c r="E405" s="1000">
        <v>0.58789999999999998</v>
      </c>
      <c r="F405" s="1000">
        <v>0.58789999999999998</v>
      </c>
      <c r="G405" s="1000">
        <v>0.51200000000000001</v>
      </c>
      <c r="H405" s="1000">
        <v>0.51200000000000001</v>
      </c>
      <c r="I405" s="1000">
        <v>0.43480000000000002</v>
      </c>
      <c r="J405" s="1000">
        <v>0.43480000000000002</v>
      </c>
      <c r="K405" s="1000">
        <v>0.43480000000000002</v>
      </c>
      <c r="L405" s="1000">
        <v>0.43480000000000002</v>
      </c>
      <c r="M405" s="1000">
        <v>0.43480000000000002</v>
      </c>
    </row>
    <row r="406" spans="1:13">
      <c r="A406" s="1015">
        <v>9.8000000000000007</v>
      </c>
      <c r="B406" s="1000">
        <v>0.62949999999999995</v>
      </c>
      <c r="C406" s="1000">
        <v>0.62949999999999995</v>
      </c>
      <c r="D406" s="1000">
        <v>0.5867</v>
      </c>
      <c r="E406" s="1000">
        <v>0.5867</v>
      </c>
      <c r="F406" s="1000">
        <v>0.5867</v>
      </c>
      <c r="G406" s="1000">
        <v>0.51060000000000005</v>
      </c>
      <c r="H406" s="1000">
        <v>0.51060000000000005</v>
      </c>
      <c r="I406" s="1000">
        <v>0.43340000000000001</v>
      </c>
      <c r="J406" s="1000">
        <v>0.43340000000000001</v>
      </c>
      <c r="K406" s="1000">
        <v>0.43340000000000001</v>
      </c>
      <c r="L406" s="1000">
        <v>0.43340000000000001</v>
      </c>
      <c r="M406" s="1000">
        <v>0.43340000000000001</v>
      </c>
    </row>
    <row r="407" spans="1:13">
      <c r="A407" s="1015">
        <v>9.9</v>
      </c>
      <c r="B407" s="1000">
        <v>0.62849999999999995</v>
      </c>
      <c r="C407" s="1000">
        <v>0.62849999999999995</v>
      </c>
      <c r="D407" s="1000">
        <v>0.58550000000000002</v>
      </c>
      <c r="E407" s="1000">
        <v>0.58550000000000002</v>
      </c>
      <c r="F407" s="1000">
        <v>0.58550000000000002</v>
      </c>
      <c r="G407" s="1000">
        <v>0.50919999999999999</v>
      </c>
      <c r="H407" s="1000">
        <v>0.50919999999999999</v>
      </c>
      <c r="I407" s="1000">
        <v>0.432</v>
      </c>
      <c r="J407" s="1000">
        <v>0.432</v>
      </c>
      <c r="K407" s="1000">
        <v>0.432</v>
      </c>
      <c r="L407" s="1000">
        <v>0.432</v>
      </c>
      <c r="M407" s="1000">
        <v>0.432</v>
      </c>
    </row>
    <row r="408" spans="1:13">
      <c r="A408" s="1015">
        <v>10</v>
      </c>
      <c r="B408" s="1000">
        <v>0.62749999999999995</v>
      </c>
      <c r="C408" s="1000">
        <v>0.62749999999999995</v>
      </c>
      <c r="D408" s="1000">
        <v>0.58430000000000004</v>
      </c>
      <c r="E408" s="1000">
        <v>0.58430000000000004</v>
      </c>
      <c r="F408" s="1000">
        <v>0.58430000000000004</v>
      </c>
      <c r="G408" s="1000">
        <v>0.50790000000000002</v>
      </c>
      <c r="H408" s="1000">
        <v>0.50790000000000002</v>
      </c>
      <c r="I408" s="1000">
        <v>0.43070000000000003</v>
      </c>
      <c r="J408" s="1000">
        <v>0.43070000000000003</v>
      </c>
      <c r="K408" s="1000">
        <v>0.43070000000000003</v>
      </c>
      <c r="L408" s="1000">
        <v>0.43070000000000003</v>
      </c>
      <c r="M408" s="1000">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5" customWidth="1"/>
    <col min="2" max="2" width="10.25" style="1856" customWidth="1"/>
  </cols>
  <sheetData>
    <row r="1" spans="1:6">
      <c r="A1" s="3472" t="s">
        <v>2307</v>
      </c>
      <c r="B1" s="3472"/>
    </row>
    <row r="2" spans="1:6" ht="14.25" thickBot="1">
      <c r="A2" s="1826"/>
      <c r="B2" s="1826"/>
    </row>
    <row r="3" spans="1:6" ht="14.25" thickBot="1">
      <c r="A3" s="1826"/>
      <c r="B3" s="1826"/>
      <c r="C3" s="1827" t="s">
        <v>2308</v>
      </c>
      <c r="D3" s="1827" t="s">
        <v>2309</v>
      </c>
      <c r="E3" s="1827" t="s">
        <v>2310</v>
      </c>
      <c r="F3" s="1827" t="s">
        <v>2311</v>
      </c>
    </row>
    <row r="4" spans="1:6" ht="14.25" thickBot="1">
      <c r="A4" s="1828" t="s">
        <v>2312</v>
      </c>
      <c r="B4" s="1829" t="s">
        <v>2313</v>
      </c>
      <c r="C4" s="1827"/>
      <c r="D4" s="1827"/>
      <c r="E4" s="1827"/>
      <c r="F4" s="1827"/>
    </row>
    <row r="5" spans="1:6" ht="14.25" thickBot="1">
      <c r="A5" s="1830" t="s">
        <v>2314</v>
      </c>
      <c r="B5" s="1831" t="s">
        <v>2315</v>
      </c>
      <c r="C5" s="1832">
        <v>8.8999999999999996E-2</v>
      </c>
      <c r="D5" s="1832">
        <v>7.3999999999999996E-2</v>
      </c>
      <c r="E5" s="1832">
        <v>7.4999999999999997E-2</v>
      </c>
      <c r="F5" s="1833">
        <v>0.1</v>
      </c>
    </row>
    <row r="6" spans="1:6" ht="14.25" thickBot="1">
      <c r="A6" s="1830" t="s">
        <v>1298</v>
      </c>
      <c r="B6" s="1834" t="s">
        <v>2316</v>
      </c>
      <c r="C6" s="1835">
        <v>0.1</v>
      </c>
      <c r="D6" s="1835">
        <v>9.0999999999999998E-2</v>
      </c>
      <c r="E6" s="1835">
        <v>9.0999999999999998E-2</v>
      </c>
      <c r="F6" s="1836">
        <v>0.1</v>
      </c>
    </row>
    <row r="7" spans="1:6" ht="14.25" thickBot="1">
      <c r="A7" s="1830" t="s">
        <v>1298</v>
      </c>
      <c r="B7" s="1837" t="s">
        <v>1286</v>
      </c>
      <c r="C7" s="1835">
        <v>8.5999999999999993E-2</v>
      </c>
      <c r="D7" s="1835">
        <v>9.6000000000000002E-2</v>
      </c>
      <c r="E7" s="1835">
        <v>7.5999999999999998E-2</v>
      </c>
      <c r="F7" s="1836">
        <v>0.1</v>
      </c>
    </row>
    <row r="8" spans="1:6" ht="14.25" thickBot="1">
      <c r="A8" s="1830" t="s">
        <v>1298</v>
      </c>
      <c r="B8" s="1834" t="s">
        <v>1299</v>
      </c>
      <c r="C8" s="1835">
        <v>9.9000000000000005E-2</v>
      </c>
      <c r="D8" s="1835">
        <v>9.8000000000000004E-2</v>
      </c>
      <c r="E8" s="1835">
        <v>9.8000000000000004E-2</v>
      </c>
      <c r="F8" s="1836">
        <v>0.1</v>
      </c>
    </row>
    <row r="9" spans="1:6" ht="14.25" thickBot="1">
      <c r="A9" s="1838" t="s">
        <v>1298</v>
      </c>
      <c r="B9" s="1839" t="s">
        <v>1313</v>
      </c>
      <c r="C9" s="1840">
        <v>0.05</v>
      </c>
      <c r="D9" s="1841"/>
      <c r="E9" s="1841"/>
      <c r="F9" s="1842"/>
    </row>
    <row r="10" spans="1:6" ht="14.25" thickBot="1">
      <c r="A10" s="1830" t="s">
        <v>1357</v>
      </c>
      <c r="B10" s="1831" t="s">
        <v>2317</v>
      </c>
      <c r="C10" s="1832">
        <v>8.8999999999999996E-2</v>
      </c>
      <c r="D10" s="1832">
        <v>7.2999999999999995E-2</v>
      </c>
      <c r="E10" s="1832">
        <v>8.2000000000000003E-2</v>
      </c>
      <c r="F10" s="1833">
        <v>0.1</v>
      </c>
    </row>
    <row r="11" spans="1:6" ht="14.25" thickBot="1">
      <c r="A11" s="1830" t="s">
        <v>1357</v>
      </c>
      <c r="B11" s="1837" t="s">
        <v>1273</v>
      </c>
      <c r="C11" s="1835">
        <v>8.8999999999999996E-2</v>
      </c>
      <c r="D11" s="1835">
        <v>7.2999999999999995E-2</v>
      </c>
      <c r="E11" s="1835">
        <v>8.2000000000000003E-2</v>
      </c>
      <c r="F11" s="1836">
        <v>0.1</v>
      </c>
    </row>
    <row r="12" spans="1:6" ht="14.25" thickBot="1">
      <c r="A12" s="1830" t="s">
        <v>1357</v>
      </c>
      <c r="B12" s="1837" t="s">
        <v>1287</v>
      </c>
      <c r="C12" s="1835">
        <v>6.0999999999999999E-2</v>
      </c>
      <c r="D12" s="1835">
        <v>7.0999999999999994E-2</v>
      </c>
      <c r="E12" s="1835">
        <v>9.6000000000000002E-2</v>
      </c>
      <c r="F12" s="1836">
        <v>0.1</v>
      </c>
    </row>
    <row r="13" spans="1:6" ht="14.25" thickBot="1">
      <c r="A13" s="1830" t="s">
        <v>1357</v>
      </c>
      <c r="B13" s="1837" t="s">
        <v>1300</v>
      </c>
      <c r="C13" s="1835">
        <v>6.9000000000000006E-2</v>
      </c>
      <c r="D13" s="1835">
        <v>6.5000000000000002E-2</v>
      </c>
      <c r="E13" s="1835">
        <v>6.6000000000000003E-2</v>
      </c>
      <c r="F13" s="1836">
        <v>0.1</v>
      </c>
    </row>
    <row r="14" spans="1:6" ht="14.25" thickBot="1">
      <c r="A14" s="1830" t="s">
        <v>1357</v>
      </c>
      <c r="B14" s="1837" t="s">
        <v>1314</v>
      </c>
      <c r="C14" s="1835">
        <v>0.1</v>
      </c>
      <c r="D14" s="1835">
        <v>6.5000000000000002E-2</v>
      </c>
      <c r="E14" s="1835">
        <v>7.0000000000000007E-2</v>
      </c>
      <c r="F14" s="1836">
        <v>0.1</v>
      </c>
    </row>
    <row r="15" spans="1:6" ht="14.25" thickBot="1">
      <c r="A15" s="1830" t="s">
        <v>1357</v>
      </c>
      <c r="B15" s="1837" t="s">
        <v>1325</v>
      </c>
      <c r="C15" s="1835">
        <v>9.8000000000000004E-2</v>
      </c>
      <c r="D15" s="1835">
        <v>8.8999999999999996E-2</v>
      </c>
      <c r="E15" s="1835">
        <v>8.8999999999999996E-2</v>
      </c>
      <c r="F15" s="1836">
        <v>0.1</v>
      </c>
    </row>
    <row r="16" spans="1:6" ht="14.25" thickBot="1">
      <c r="A16" s="1830" t="s">
        <v>1357</v>
      </c>
      <c r="B16" s="1837" t="s">
        <v>1336</v>
      </c>
      <c r="C16" s="1835">
        <v>7.0000000000000007E-2</v>
      </c>
      <c r="D16" s="1835">
        <v>9.2999999999999999E-2</v>
      </c>
      <c r="E16" s="1835">
        <v>9.6000000000000002E-2</v>
      </c>
      <c r="F16" s="1836">
        <v>0.1</v>
      </c>
    </row>
    <row r="17" spans="1:6" ht="14.25" thickBot="1">
      <c r="A17" s="1830" t="s">
        <v>1357</v>
      </c>
      <c r="B17" s="1837" t="s">
        <v>1347</v>
      </c>
      <c r="C17" s="1835">
        <v>9.5000000000000001E-2</v>
      </c>
      <c r="D17" s="1835">
        <v>0.1</v>
      </c>
      <c r="E17" s="1835">
        <v>0.1</v>
      </c>
      <c r="F17" s="1843"/>
    </row>
    <row r="18" spans="1:6" ht="14.25" thickBot="1">
      <c r="A18" s="1830" t="s">
        <v>1357</v>
      </c>
      <c r="B18" s="1837" t="s">
        <v>1359</v>
      </c>
      <c r="C18" s="1835">
        <v>7.3999999999999996E-2</v>
      </c>
      <c r="D18" s="1835">
        <v>9.9000000000000005E-2</v>
      </c>
      <c r="E18" s="1835">
        <v>0.1</v>
      </c>
      <c r="F18" s="1843"/>
    </row>
    <row r="19" spans="1:6" ht="14.25" thickBot="1">
      <c r="A19" s="1830" t="s">
        <v>1357</v>
      </c>
      <c r="B19" s="1837" t="s">
        <v>1369</v>
      </c>
      <c r="C19" s="1835">
        <v>9.9000000000000005E-2</v>
      </c>
      <c r="D19" s="1835">
        <v>7.5999999999999998E-2</v>
      </c>
      <c r="E19" s="1835">
        <v>8.6999999999999994E-2</v>
      </c>
      <c r="F19" s="1843"/>
    </row>
    <row r="20" spans="1:6" ht="14.25" thickBot="1">
      <c r="A20" s="1830" t="s">
        <v>1357</v>
      </c>
      <c r="B20" s="1837" t="s">
        <v>1379</v>
      </c>
      <c r="C20" s="1835">
        <v>9.8000000000000004E-2</v>
      </c>
      <c r="D20" s="1835">
        <v>8.5000000000000006E-2</v>
      </c>
      <c r="E20" s="1835">
        <v>8.2000000000000003E-2</v>
      </c>
      <c r="F20" s="1843"/>
    </row>
    <row r="21" spans="1:6" ht="14.25" thickBot="1">
      <c r="A21" s="1830" t="s">
        <v>1357</v>
      </c>
      <c r="B21" s="1837" t="s">
        <v>1389</v>
      </c>
      <c r="C21" s="1835">
        <v>6.6000000000000003E-2</v>
      </c>
      <c r="D21" s="1835">
        <v>6.4000000000000001E-2</v>
      </c>
      <c r="E21" s="1835">
        <v>6.5000000000000002E-2</v>
      </c>
      <c r="F21" s="1843"/>
    </row>
    <row r="22" spans="1:6" ht="14.25" thickBot="1">
      <c r="A22" s="1830" t="s">
        <v>1357</v>
      </c>
      <c r="B22" s="1837" t="s">
        <v>2318</v>
      </c>
      <c r="C22" s="1835">
        <v>0.08</v>
      </c>
      <c r="D22" s="1835">
        <v>9.8000000000000004E-2</v>
      </c>
      <c r="E22" s="1835">
        <v>9.8000000000000004E-2</v>
      </c>
      <c r="F22" s="1843"/>
    </row>
    <row r="23" spans="1:6" ht="14.25" thickBot="1">
      <c r="A23" s="1830" t="s">
        <v>1357</v>
      </c>
      <c r="B23" s="1837" t="s">
        <v>1409</v>
      </c>
      <c r="C23" s="1835">
        <v>9.9000000000000005E-2</v>
      </c>
      <c r="D23" s="1835">
        <v>9.8000000000000004E-2</v>
      </c>
      <c r="E23" s="1835">
        <v>9.0999999999999998E-2</v>
      </c>
      <c r="F23" s="1843"/>
    </row>
    <row r="24" spans="1:6" ht="14.25" thickBot="1">
      <c r="A24" s="1830" t="s">
        <v>1357</v>
      </c>
      <c r="B24" s="1837" t="s">
        <v>1419</v>
      </c>
      <c r="C24" s="1835">
        <v>8.8999999999999996E-2</v>
      </c>
      <c r="D24" s="1835">
        <v>9.7000000000000003E-2</v>
      </c>
      <c r="E24" s="1835">
        <v>7.0000000000000007E-2</v>
      </c>
      <c r="F24" s="1843"/>
    </row>
    <row r="25" spans="1:6" ht="14.25" thickBot="1">
      <c r="A25" s="1830" t="s">
        <v>1357</v>
      </c>
      <c r="B25" s="1837" t="s">
        <v>1429</v>
      </c>
      <c r="C25" s="1835">
        <v>8.8999999999999996E-2</v>
      </c>
      <c r="D25" s="1835">
        <v>0.1</v>
      </c>
      <c r="E25" s="1835">
        <v>8.1000000000000003E-2</v>
      </c>
      <c r="F25" s="1843"/>
    </row>
    <row r="26" spans="1:6" ht="14.25" thickBot="1">
      <c r="A26" s="1830" t="s">
        <v>1357</v>
      </c>
      <c r="B26" s="1837" t="s">
        <v>1439</v>
      </c>
      <c r="C26" s="1844"/>
      <c r="D26" s="1835">
        <v>9.6000000000000002E-2</v>
      </c>
      <c r="E26" s="1835">
        <v>9.2999999999999999E-2</v>
      </c>
      <c r="F26" s="1843"/>
    </row>
    <row r="27" spans="1:6" ht="14.25" thickBot="1">
      <c r="A27" s="1830" t="s">
        <v>1357</v>
      </c>
      <c r="B27" s="1837" t="s">
        <v>1449</v>
      </c>
      <c r="C27" s="1844"/>
      <c r="D27" s="1835">
        <v>7.5999999999999998E-2</v>
      </c>
      <c r="E27" s="1835">
        <v>9.1999999999999998E-2</v>
      </c>
      <c r="F27" s="1843"/>
    </row>
    <row r="28" spans="1:6" ht="14.25" thickBot="1">
      <c r="A28" s="1838" t="s">
        <v>1357</v>
      </c>
      <c r="B28" s="1839" t="s">
        <v>1459</v>
      </c>
      <c r="C28" s="1841"/>
      <c r="D28" s="1840">
        <v>7.5999999999999998E-2</v>
      </c>
      <c r="E28" s="1840">
        <v>9.1999999999999998E-2</v>
      </c>
      <c r="F28" s="1842"/>
    </row>
    <row r="29" spans="1:6" ht="14.25" thickBot="1">
      <c r="A29" s="1830" t="s">
        <v>1528</v>
      </c>
      <c r="B29" s="1831" t="s">
        <v>2319</v>
      </c>
      <c r="C29" s="1832">
        <v>6.4000000000000001E-2</v>
      </c>
      <c r="D29" s="1832">
        <v>6.5000000000000002E-2</v>
      </c>
      <c r="E29" s="1832">
        <v>6.9000000000000006E-2</v>
      </c>
      <c r="F29" s="1833">
        <v>0.1</v>
      </c>
    </row>
    <row r="30" spans="1:6" ht="14.25" thickBot="1">
      <c r="A30" s="1830" t="s">
        <v>1528</v>
      </c>
      <c r="B30" s="1837" t="s">
        <v>1274</v>
      </c>
      <c r="C30" s="1835">
        <v>6.4000000000000001E-2</v>
      </c>
      <c r="D30" s="1835">
        <v>9.9000000000000005E-2</v>
      </c>
      <c r="E30" s="1835">
        <v>0.1</v>
      </c>
      <c r="F30" s="1836">
        <v>0.1</v>
      </c>
    </row>
    <row r="31" spans="1:6" ht="14.25" thickBot="1">
      <c r="A31" s="1830" t="s">
        <v>1528</v>
      </c>
      <c r="B31" s="1837" t="s">
        <v>1288</v>
      </c>
      <c r="C31" s="1835">
        <v>0.1</v>
      </c>
      <c r="D31" s="1835">
        <v>9.5000000000000001E-2</v>
      </c>
      <c r="E31" s="1835">
        <v>8.8999999999999996E-2</v>
      </c>
      <c r="F31" s="1836">
        <v>0.1</v>
      </c>
    </row>
    <row r="32" spans="1:6" ht="14.25" thickBot="1">
      <c r="A32" s="1830" t="s">
        <v>1528</v>
      </c>
      <c r="B32" s="1837" t="s">
        <v>1301</v>
      </c>
      <c r="C32" s="1835">
        <v>0.05</v>
      </c>
      <c r="D32" s="1835">
        <v>0.05</v>
      </c>
      <c r="E32" s="1835">
        <v>8.7999999999999995E-2</v>
      </c>
      <c r="F32" s="1836">
        <v>0.1</v>
      </c>
    </row>
    <row r="33" spans="1:6" ht="14.25" thickBot="1">
      <c r="A33" s="1830" t="s">
        <v>1528</v>
      </c>
      <c r="B33" s="1837" t="s">
        <v>1315</v>
      </c>
      <c r="C33" s="1835">
        <v>7.4999999999999997E-2</v>
      </c>
      <c r="D33" s="1835">
        <v>9.4E-2</v>
      </c>
      <c r="E33" s="1835">
        <v>9.7000000000000003E-2</v>
      </c>
      <c r="F33" s="1836">
        <v>0.1</v>
      </c>
    </row>
    <row r="34" spans="1:6" ht="14.25" thickBot="1">
      <c r="A34" s="1830" t="s">
        <v>1528</v>
      </c>
      <c r="B34" s="1837" t="s">
        <v>1326</v>
      </c>
      <c r="C34" s="1835">
        <v>9.8000000000000004E-2</v>
      </c>
      <c r="D34" s="1835">
        <v>8.5999999999999993E-2</v>
      </c>
      <c r="E34" s="1835">
        <v>9.7000000000000003E-2</v>
      </c>
      <c r="F34" s="1836">
        <v>0.1</v>
      </c>
    </row>
    <row r="35" spans="1:6" ht="14.25" thickBot="1">
      <c r="A35" s="1830" t="s">
        <v>1528</v>
      </c>
      <c r="B35" s="1837" t="s">
        <v>1337</v>
      </c>
      <c r="C35" s="1835">
        <v>5.8999999999999997E-2</v>
      </c>
      <c r="D35" s="1835">
        <v>6.5000000000000002E-2</v>
      </c>
      <c r="E35" s="1835">
        <v>7.0000000000000007E-2</v>
      </c>
      <c r="F35" s="1836">
        <v>0.1</v>
      </c>
    </row>
    <row r="36" spans="1:6" ht="14.25" thickBot="1">
      <c r="A36" s="1830" t="s">
        <v>1528</v>
      </c>
      <c r="B36" s="1837" t="s">
        <v>1348</v>
      </c>
      <c r="C36" s="1835">
        <v>6.3E-2</v>
      </c>
      <c r="D36" s="1835">
        <v>0.1</v>
      </c>
      <c r="E36" s="1835">
        <v>0.1</v>
      </c>
      <c r="F36" s="1836">
        <v>0.1</v>
      </c>
    </row>
    <row r="37" spans="1:6" ht="14.25" thickBot="1">
      <c r="A37" s="1830" t="s">
        <v>1528</v>
      </c>
      <c r="B37" s="1837" t="s">
        <v>1360</v>
      </c>
      <c r="C37" s="1835">
        <v>7.3999999999999996E-2</v>
      </c>
      <c r="D37" s="1835">
        <v>0.1</v>
      </c>
      <c r="E37" s="1835">
        <v>0.1</v>
      </c>
      <c r="F37" s="1836">
        <v>0.1</v>
      </c>
    </row>
    <row r="38" spans="1:6" ht="14.25" thickBot="1">
      <c r="A38" s="1830" t="s">
        <v>1528</v>
      </c>
      <c r="B38" s="1837" t="s">
        <v>1370</v>
      </c>
      <c r="C38" s="1835">
        <v>0.1</v>
      </c>
      <c r="D38" s="1835">
        <v>9.6000000000000002E-2</v>
      </c>
      <c r="E38" s="1835">
        <v>9.6000000000000002E-2</v>
      </c>
      <c r="F38" s="1843"/>
    </row>
    <row r="39" spans="1:6" ht="14.25" thickBot="1">
      <c r="A39" s="1830" t="s">
        <v>1528</v>
      </c>
      <c r="B39" s="1837" t="s">
        <v>1380</v>
      </c>
      <c r="C39" s="1835">
        <v>0.1</v>
      </c>
      <c r="D39" s="1835">
        <v>9.6000000000000002E-2</v>
      </c>
      <c r="E39" s="1835">
        <v>9.6000000000000002E-2</v>
      </c>
      <c r="F39" s="1843"/>
    </row>
    <row r="40" spans="1:6" ht="14.25" thickBot="1">
      <c r="A40" s="1830" t="s">
        <v>1528</v>
      </c>
      <c r="B40" s="1837" t="s">
        <v>1390</v>
      </c>
      <c r="C40" s="1835">
        <v>9.6000000000000002E-2</v>
      </c>
      <c r="D40" s="1835">
        <v>0.1</v>
      </c>
      <c r="E40" s="1835">
        <v>9.9000000000000005E-2</v>
      </c>
      <c r="F40" s="1843"/>
    </row>
    <row r="41" spans="1:6" ht="14.25" thickBot="1">
      <c r="A41" s="1830" t="s">
        <v>1528</v>
      </c>
      <c r="B41" s="1837" t="s">
        <v>1400</v>
      </c>
      <c r="C41" s="1835">
        <v>9.6000000000000002E-2</v>
      </c>
      <c r="D41" s="1835">
        <v>9.8000000000000004E-2</v>
      </c>
      <c r="E41" s="1835">
        <v>9.8000000000000004E-2</v>
      </c>
      <c r="F41" s="1843"/>
    </row>
    <row r="42" spans="1:6" ht="14.25" thickBot="1">
      <c r="A42" s="1830" t="s">
        <v>1528</v>
      </c>
      <c r="B42" s="1837" t="s">
        <v>1410</v>
      </c>
      <c r="C42" s="1835">
        <v>0.1</v>
      </c>
      <c r="D42" s="1835">
        <v>8.7999999999999995E-2</v>
      </c>
      <c r="E42" s="1835">
        <v>0.1</v>
      </c>
      <c r="F42" s="1843"/>
    </row>
    <row r="43" spans="1:6" ht="14.25" thickBot="1">
      <c r="A43" s="1830" t="s">
        <v>1528</v>
      </c>
      <c r="B43" s="1837" t="s">
        <v>1420</v>
      </c>
      <c r="C43" s="1835">
        <v>9.8000000000000004E-2</v>
      </c>
      <c r="D43" s="1835">
        <v>9.7000000000000003E-2</v>
      </c>
      <c r="E43" s="1835">
        <v>9.6000000000000002E-2</v>
      </c>
      <c r="F43" s="1843"/>
    </row>
    <row r="44" spans="1:6" ht="14.25" thickBot="1">
      <c r="A44" s="1830" t="s">
        <v>1528</v>
      </c>
      <c r="B44" s="1837" t="s">
        <v>1430</v>
      </c>
      <c r="C44" s="1835">
        <v>8.5999999999999993E-2</v>
      </c>
      <c r="D44" s="1835">
        <v>7.9000000000000001E-2</v>
      </c>
      <c r="E44" s="1835">
        <v>7.0999999999999994E-2</v>
      </c>
      <c r="F44" s="1843"/>
    </row>
    <row r="45" spans="1:6" ht="14.25" thickBot="1">
      <c r="A45" s="1830" t="s">
        <v>1528</v>
      </c>
      <c r="B45" s="1837" t="s">
        <v>1440</v>
      </c>
      <c r="C45" s="1835">
        <v>9.8000000000000004E-2</v>
      </c>
      <c r="D45" s="1835">
        <v>9.6000000000000002E-2</v>
      </c>
      <c r="E45" s="1835">
        <v>9.6000000000000002E-2</v>
      </c>
      <c r="F45" s="1843"/>
    </row>
    <row r="46" spans="1:6" ht="14.25" thickBot="1">
      <c r="A46" s="1830" t="s">
        <v>1528</v>
      </c>
      <c r="B46" s="1837" t="s">
        <v>1450</v>
      </c>
      <c r="C46" s="1835">
        <v>8.5999999999999993E-2</v>
      </c>
      <c r="D46" s="1835">
        <v>9.8000000000000004E-2</v>
      </c>
      <c r="E46" s="1835">
        <v>8.7999999999999995E-2</v>
      </c>
      <c r="F46" s="1843"/>
    </row>
    <row r="47" spans="1:6" ht="14.25" thickBot="1">
      <c r="A47" s="1830" t="s">
        <v>1528</v>
      </c>
      <c r="B47" s="1837" t="s">
        <v>1460</v>
      </c>
      <c r="C47" s="1835">
        <v>9.6000000000000002E-2</v>
      </c>
      <c r="D47" s="1844"/>
      <c r="E47" s="1835">
        <v>6.9000000000000006E-2</v>
      </c>
      <c r="F47" s="1843"/>
    </row>
    <row r="48" spans="1:6" ht="14.25" thickBot="1">
      <c r="A48" s="1838" t="s">
        <v>1528</v>
      </c>
      <c r="B48" s="1839" t="s">
        <v>1469</v>
      </c>
      <c r="C48" s="1840">
        <v>9.8000000000000004E-2</v>
      </c>
      <c r="D48" s="1841"/>
      <c r="E48" s="1840">
        <v>9.5000000000000001E-2</v>
      </c>
      <c r="F48" s="1842"/>
    </row>
    <row r="49" spans="1:6" ht="14.25" thickBot="1">
      <c r="A49" s="1830" t="s">
        <v>1119</v>
      </c>
      <c r="B49" s="1831" t="s">
        <v>2320</v>
      </c>
      <c r="C49" s="1832">
        <v>9.7000000000000003E-2</v>
      </c>
      <c r="D49" s="1832">
        <v>9.5000000000000001E-2</v>
      </c>
      <c r="E49" s="1832">
        <v>9.7000000000000003E-2</v>
      </c>
      <c r="F49" s="1833">
        <v>0.1</v>
      </c>
    </row>
    <row r="50" spans="1:6" ht="14.25" thickBot="1">
      <c r="A50" s="1830" t="s">
        <v>1119</v>
      </c>
      <c r="B50" s="1834" t="s">
        <v>1275</v>
      </c>
      <c r="C50" s="1835">
        <v>7.4999999999999997E-2</v>
      </c>
      <c r="D50" s="1835">
        <v>9.5000000000000001E-2</v>
      </c>
      <c r="E50" s="1835">
        <v>0.1</v>
      </c>
      <c r="F50" s="1836">
        <v>0.1</v>
      </c>
    </row>
    <row r="51" spans="1:6" ht="14.25" thickBot="1">
      <c r="A51" s="1830" t="s">
        <v>1119</v>
      </c>
      <c r="B51" s="1834" t="s">
        <v>1289</v>
      </c>
      <c r="C51" s="1835">
        <v>9.8000000000000004E-2</v>
      </c>
      <c r="D51" s="1835">
        <v>8.8999999999999996E-2</v>
      </c>
      <c r="E51" s="1835">
        <v>0.1</v>
      </c>
      <c r="F51" s="1836">
        <v>0.1</v>
      </c>
    </row>
    <row r="52" spans="1:6" ht="14.25" thickBot="1">
      <c r="A52" s="1830" t="s">
        <v>1119</v>
      </c>
      <c r="B52" s="1834" t="s">
        <v>1302</v>
      </c>
      <c r="C52" s="1835">
        <v>9.8000000000000004E-2</v>
      </c>
      <c r="D52" s="1835">
        <v>9.7000000000000003E-2</v>
      </c>
      <c r="E52" s="1835">
        <v>8.1000000000000003E-2</v>
      </c>
      <c r="F52" s="1836">
        <v>0.1</v>
      </c>
    </row>
    <row r="53" spans="1:6" ht="14.25" thickBot="1">
      <c r="A53" s="1830" t="s">
        <v>1119</v>
      </c>
      <c r="B53" s="1834" t="s">
        <v>1316</v>
      </c>
      <c r="C53" s="1835">
        <v>9.7000000000000003E-2</v>
      </c>
      <c r="D53" s="1835">
        <v>7.5999999999999998E-2</v>
      </c>
      <c r="E53" s="1835">
        <v>7.0999999999999994E-2</v>
      </c>
      <c r="F53" s="1836">
        <v>0.1</v>
      </c>
    </row>
    <row r="54" spans="1:6" ht="14.25" thickBot="1">
      <c r="A54" s="1830" t="s">
        <v>1119</v>
      </c>
      <c r="B54" s="1834" t="s">
        <v>1327</v>
      </c>
      <c r="C54" s="1835">
        <v>7.5999999999999998E-2</v>
      </c>
      <c r="D54" s="1835">
        <v>0.1</v>
      </c>
      <c r="E54" s="1835">
        <v>9.9000000000000005E-2</v>
      </c>
      <c r="F54" s="1836">
        <v>0.1</v>
      </c>
    </row>
    <row r="55" spans="1:6" ht="14.25" thickBot="1">
      <c r="A55" s="1830" t="s">
        <v>1119</v>
      </c>
      <c r="B55" s="1834" t="s">
        <v>1338</v>
      </c>
      <c r="C55" s="1835">
        <v>0.1</v>
      </c>
      <c r="D55" s="1835">
        <v>0.1</v>
      </c>
      <c r="E55" s="1835">
        <v>9.6000000000000002E-2</v>
      </c>
      <c r="F55" s="1836">
        <v>0.1</v>
      </c>
    </row>
    <row r="56" spans="1:6" ht="14.25" thickBot="1">
      <c r="A56" s="1830" t="s">
        <v>1119</v>
      </c>
      <c r="B56" s="1834" t="s">
        <v>1349</v>
      </c>
      <c r="C56" s="1835">
        <v>0.1</v>
      </c>
      <c r="D56" s="1835">
        <v>9.6000000000000002E-2</v>
      </c>
      <c r="E56" s="1835">
        <v>5.1999999999999998E-2</v>
      </c>
      <c r="F56" s="1836">
        <v>0.1</v>
      </c>
    </row>
    <row r="57" spans="1:6" ht="14.25" thickBot="1">
      <c r="A57" s="1830" t="s">
        <v>1119</v>
      </c>
      <c r="B57" s="1834" t="s">
        <v>1361</v>
      </c>
      <c r="C57" s="1835">
        <v>9.7000000000000003E-2</v>
      </c>
      <c r="D57" s="1835">
        <v>9.6000000000000002E-2</v>
      </c>
      <c r="E57" s="1835">
        <v>9.6000000000000002E-2</v>
      </c>
      <c r="F57" s="1836">
        <v>0.1</v>
      </c>
    </row>
    <row r="58" spans="1:6" ht="14.25" thickBot="1">
      <c r="A58" s="1830" t="s">
        <v>1119</v>
      </c>
      <c r="B58" s="1834" t="s">
        <v>1371</v>
      </c>
      <c r="C58" s="1835">
        <v>9.6000000000000002E-2</v>
      </c>
      <c r="D58" s="1835">
        <v>9.9000000000000005E-2</v>
      </c>
      <c r="E58" s="1835">
        <v>9.6000000000000002E-2</v>
      </c>
      <c r="F58" s="1836">
        <v>0.1</v>
      </c>
    </row>
    <row r="59" spans="1:6" ht="14.25" thickBot="1">
      <c r="A59" s="1830" t="s">
        <v>1119</v>
      </c>
      <c r="B59" s="1834" t="s">
        <v>1381</v>
      </c>
      <c r="C59" s="1835">
        <v>7.1999999999999995E-2</v>
      </c>
      <c r="D59" s="1835">
        <v>9.6000000000000002E-2</v>
      </c>
      <c r="E59" s="1835">
        <v>7.0999999999999994E-2</v>
      </c>
      <c r="F59" s="1836">
        <v>0.1</v>
      </c>
    </row>
    <row r="60" spans="1:6" ht="14.25" thickBot="1">
      <c r="A60" s="1830" t="s">
        <v>1119</v>
      </c>
      <c r="B60" s="1834" t="s">
        <v>1391</v>
      </c>
      <c r="C60" s="1835">
        <v>9.6000000000000002E-2</v>
      </c>
      <c r="D60" s="1835">
        <v>8.8999999999999996E-2</v>
      </c>
      <c r="E60" s="1835">
        <v>9.6000000000000002E-2</v>
      </c>
      <c r="F60" s="1836">
        <v>0.1</v>
      </c>
    </row>
    <row r="61" spans="1:6" ht="14.25" thickBot="1">
      <c r="A61" s="1830" t="s">
        <v>1119</v>
      </c>
      <c r="B61" s="1834" t="s">
        <v>1401</v>
      </c>
      <c r="C61" s="1835">
        <v>8.8999999999999996E-2</v>
      </c>
      <c r="D61" s="1835">
        <v>9.8000000000000004E-2</v>
      </c>
      <c r="E61" s="1835">
        <v>8.7999999999999995E-2</v>
      </c>
      <c r="F61" s="1843"/>
    </row>
    <row r="62" spans="1:6" ht="14.25" thickBot="1">
      <c r="A62" s="1830" t="s">
        <v>1119</v>
      </c>
      <c r="B62" s="1834" t="s">
        <v>1411</v>
      </c>
      <c r="C62" s="1835">
        <v>9.8000000000000004E-2</v>
      </c>
      <c r="D62" s="1835">
        <v>9.2999999999999999E-2</v>
      </c>
      <c r="E62" s="1835">
        <v>9.7000000000000003E-2</v>
      </c>
      <c r="F62" s="1843"/>
    </row>
    <row r="63" spans="1:6" ht="14.25" thickBot="1">
      <c r="A63" s="1830" t="s">
        <v>1119</v>
      </c>
      <c r="B63" s="1834" t="s">
        <v>1421</v>
      </c>
      <c r="C63" s="1835">
        <v>9.6000000000000002E-2</v>
      </c>
      <c r="D63" s="1835">
        <v>9.8000000000000004E-2</v>
      </c>
      <c r="E63" s="1835">
        <v>0.09</v>
      </c>
      <c r="F63" s="1843"/>
    </row>
    <row r="64" spans="1:6" ht="14.25" thickBot="1">
      <c r="A64" s="1830" t="s">
        <v>1119</v>
      </c>
      <c r="B64" s="1834" t="s">
        <v>1431</v>
      </c>
      <c r="C64" s="1835">
        <v>9.9000000000000005E-2</v>
      </c>
      <c r="D64" s="1835">
        <v>9.7000000000000003E-2</v>
      </c>
      <c r="E64" s="1835">
        <v>9.9000000000000005E-2</v>
      </c>
      <c r="F64" s="1843"/>
    </row>
    <row r="65" spans="1:6" ht="14.25" thickBot="1">
      <c r="A65" s="1830" t="s">
        <v>1119</v>
      </c>
      <c r="B65" s="1834" t="s">
        <v>1441</v>
      </c>
      <c r="C65" s="1835">
        <v>9.8000000000000004E-2</v>
      </c>
      <c r="D65" s="1835">
        <v>9.6000000000000002E-2</v>
      </c>
      <c r="E65" s="1835">
        <v>9.6000000000000002E-2</v>
      </c>
      <c r="F65" s="1843"/>
    </row>
    <row r="66" spans="1:6" ht="14.25" thickBot="1">
      <c r="A66" s="1830" t="s">
        <v>1119</v>
      </c>
      <c r="B66" s="1834" t="s">
        <v>1451</v>
      </c>
      <c r="C66" s="1835">
        <v>9.6000000000000002E-2</v>
      </c>
      <c r="D66" s="1835">
        <v>9.1999999999999998E-2</v>
      </c>
      <c r="E66" s="1835">
        <v>9.6000000000000002E-2</v>
      </c>
      <c r="F66" s="1843"/>
    </row>
    <row r="67" spans="1:6" ht="14.25" thickBot="1">
      <c r="A67" s="1830" t="s">
        <v>1119</v>
      </c>
      <c r="B67" s="1834" t="s">
        <v>1461</v>
      </c>
      <c r="C67" s="1835">
        <v>9.4E-2</v>
      </c>
      <c r="D67" s="1835">
        <v>0.1</v>
      </c>
      <c r="E67" s="1835">
        <v>8.7999999999999995E-2</v>
      </c>
      <c r="F67" s="1843"/>
    </row>
    <row r="68" spans="1:6" ht="14.25" thickBot="1">
      <c r="A68" s="1830" t="s">
        <v>1119</v>
      </c>
      <c r="B68" s="1834" t="s">
        <v>1470</v>
      </c>
      <c r="C68" s="1835">
        <v>0.1</v>
      </c>
      <c r="D68" s="1835">
        <v>8.7999999999999995E-2</v>
      </c>
      <c r="E68" s="1835">
        <v>9.7000000000000003E-2</v>
      </c>
      <c r="F68" s="1843"/>
    </row>
    <row r="69" spans="1:6" ht="14.25" thickBot="1">
      <c r="A69" s="1830" t="s">
        <v>1119</v>
      </c>
      <c r="B69" s="1834" t="s">
        <v>1479</v>
      </c>
      <c r="C69" s="1835">
        <v>6.4000000000000001E-2</v>
      </c>
      <c r="D69" s="1835">
        <v>0.1</v>
      </c>
      <c r="E69" s="1835">
        <v>0.1</v>
      </c>
      <c r="F69" s="1843"/>
    </row>
    <row r="70" spans="1:6" ht="14.25" thickBot="1">
      <c r="A70" s="1830" t="s">
        <v>1119</v>
      </c>
      <c r="B70" s="1834" t="s">
        <v>1487</v>
      </c>
      <c r="C70" s="1835">
        <v>9.0999999999999998E-2</v>
      </c>
      <c r="D70" s="1844"/>
      <c r="E70" s="1844"/>
      <c r="F70" s="1843"/>
    </row>
    <row r="71" spans="1:6" ht="14.25" thickBot="1">
      <c r="A71" s="1830" t="s">
        <v>1119</v>
      </c>
      <c r="B71" s="1834" t="s">
        <v>1494</v>
      </c>
      <c r="C71" s="1835">
        <v>0.1</v>
      </c>
      <c r="D71" s="1844"/>
      <c r="E71" s="1844"/>
      <c r="F71" s="1843"/>
    </row>
    <row r="72" spans="1:6" ht="14.25" thickBot="1">
      <c r="A72" s="1830" t="s">
        <v>1119</v>
      </c>
      <c r="B72" s="1834" t="s">
        <v>2321</v>
      </c>
      <c r="C72" s="1844"/>
      <c r="D72" s="1844"/>
      <c r="E72" s="1844"/>
      <c r="F72" s="1836">
        <v>0.05</v>
      </c>
    </row>
    <row r="73" spans="1:6" ht="14.25" thickBot="1">
      <c r="A73" s="1830" t="s">
        <v>1119</v>
      </c>
      <c r="B73" s="1834" t="s">
        <v>2322</v>
      </c>
      <c r="C73" s="1844"/>
      <c r="D73" s="1844"/>
      <c r="E73" s="1844"/>
      <c r="F73" s="1836">
        <v>0.05</v>
      </c>
    </row>
    <row r="74" spans="1:6" ht="14.25" thickBot="1">
      <c r="A74" s="1830" t="s">
        <v>1119</v>
      </c>
      <c r="B74" s="1834" t="s">
        <v>2323</v>
      </c>
      <c r="C74" s="1844"/>
      <c r="D74" s="1844"/>
      <c r="E74" s="1844"/>
      <c r="F74" s="1836">
        <v>0.05</v>
      </c>
    </row>
    <row r="75" spans="1:6" ht="14.25" thickBot="1">
      <c r="A75" s="1838" t="s">
        <v>1119</v>
      </c>
      <c r="B75" s="1845" t="s">
        <v>2324</v>
      </c>
      <c r="C75" s="1841"/>
      <c r="D75" s="1841"/>
      <c r="E75" s="1841"/>
      <c r="F75" s="1846">
        <v>0.05</v>
      </c>
    </row>
    <row r="76" spans="1:6" ht="14.25" thickBot="1">
      <c r="A76" s="1830" t="s">
        <v>1609</v>
      </c>
      <c r="B76" s="1831" t="s">
        <v>2325</v>
      </c>
      <c r="C76" s="1832">
        <v>0.1</v>
      </c>
      <c r="D76" s="1832">
        <v>0.1</v>
      </c>
      <c r="E76" s="1832">
        <v>0.1</v>
      </c>
      <c r="F76" s="1833">
        <v>0.1</v>
      </c>
    </row>
    <row r="77" spans="1:6" ht="14.25" thickBot="1">
      <c r="A77" s="1830" t="s">
        <v>1609</v>
      </c>
      <c r="B77" s="1834" t="s">
        <v>1276</v>
      </c>
      <c r="C77" s="1835">
        <v>8.7999999999999995E-2</v>
      </c>
      <c r="D77" s="1835">
        <v>8.6999999999999994E-2</v>
      </c>
      <c r="E77" s="1835">
        <v>7.9000000000000001E-2</v>
      </c>
      <c r="F77" s="1836">
        <v>0.1</v>
      </c>
    </row>
    <row r="78" spans="1:6" ht="14.25" thickBot="1">
      <c r="A78" s="1830" t="s">
        <v>1609</v>
      </c>
      <c r="B78" s="1834" t="s">
        <v>1290</v>
      </c>
      <c r="C78" s="1835">
        <v>8.6999999999999994E-2</v>
      </c>
      <c r="D78" s="1835">
        <v>8.4000000000000005E-2</v>
      </c>
      <c r="E78" s="1835">
        <v>9.6000000000000002E-2</v>
      </c>
      <c r="F78" s="1836">
        <v>0.1</v>
      </c>
    </row>
    <row r="79" spans="1:6" ht="14.25" thickBot="1">
      <c r="A79" s="1830" t="s">
        <v>1609</v>
      </c>
      <c r="B79" s="1834" t="s">
        <v>1303</v>
      </c>
      <c r="C79" s="1835">
        <v>9.8000000000000004E-2</v>
      </c>
      <c r="D79" s="1835">
        <v>9.8000000000000004E-2</v>
      </c>
      <c r="E79" s="1835">
        <v>9.0999999999999998E-2</v>
      </c>
      <c r="F79" s="1836">
        <v>0.1</v>
      </c>
    </row>
    <row r="80" spans="1:6" ht="14.25" thickBot="1">
      <c r="A80" s="1830" t="s">
        <v>1609</v>
      </c>
      <c r="B80" s="1834" t="s">
        <v>1317</v>
      </c>
      <c r="C80" s="1835">
        <v>9.6000000000000002E-2</v>
      </c>
      <c r="D80" s="1835">
        <v>9.6000000000000002E-2</v>
      </c>
      <c r="E80" s="1835">
        <v>0.1</v>
      </c>
      <c r="F80" s="1836">
        <v>0.1</v>
      </c>
    </row>
    <row r="81" spans="1:6" ht="14.25" thickBot="1">
      <c r="A81" s="1830" t="s">
        <v>1609</v>
      </c>
      <c r="B81" s="1834" t="s">
        <v>1328</v>
      </c>
      <c r="C81" s="1835">
        <v>9.9000000000000005E-2</v>
      </c>
      <c r="D81" s="1835">
        <v>9.9000000000000005E-2</v>
      </c>
      <c r="E81" s="1835">
        <v>9.8000000000000004E-2</v>
      </c>
      <c r="F81" s="1836">
        <v>0.1</v>
      </c>
    </row>
    <row r="82" spans="1:6" ht="14.25" thickBot="1">
      <c r="A82" s="1830" t="s">
        <v>1609</v>
      </c>
      <c r="B82" s="1834" t="s">
        <v>1339</v>
      </c>
      <c r="C82" s="1835">
        <v>9.9000000000000005E-2</v>
      </c>
      <c r="D82" s="1835">
        <v>9.9000000000000005E-2</v>
      </c>
      <c r="E82" s="1835">
        <v>9.7000000000000003E-2</v>
      </c>
      <c r="F82" s="1836">
        <v>0.1</v>
      </c>
    </row>
    <row r="83" spans="1:6" ht="14.25" thickBot="1">
      <c r="A83" s="1830" t="s">
        <v>1609</v>
      </c>
      <c r="B83" s="1834" t="s">
        <v>1350</v>
      </c>
      <c r="C83" s="1835">
        <v>9.8000000000000004E-2</v>
      </c>
      <c r="D83" s="1835">
        <v>9.8000000000000004E-2</v>
      </c>
      <c r="E83" s="1835">
        <v>9.8000000000000004E-2</v>
      </c>
      <c r="F83" s="1836">
        <v>0.1</v>
      </c>
    </row>
    <row r="84" spans="1:6" ht="14.25" thickBot="1">
      <c r="A84" s="1830" t="s">
        <v>1609</v>
      </c>
      <c r="B84" s="1834" t="s">
        <v>1362</v>
      </c>
      <c r="C84" s="1835">
        <v>9.9000000000000005E-2</v>
      </c>
      <c r="D84" s="1835">
        <v>9.9000000000000005E-2</v>
      </c>
      <c r="E84" s="1835">
        <v>9.9000000000000005E-2</v>
      </c>
      <c r="F84" s="1836">
        <v>0.1</v>
      </c>
    </row>
    <row r="85" spans="1:6" ht="14.25" thickBot="1">
      <c r="A85" s="1830" t="s">
        <v>1609</v>
      </c>
      <c r="B85" s="1834" t="s">
        <v>1372</v>
      </c>
      <c r="C85" s="1835">
        <v>9.9000000000000005E-2</v>
      </c>
      <c r="D85" s="1835">
        <v>9.9000000000000005E-2</v>
      </c>
      <c r="E85" s="1835">
        <v>9.9000000000000005E-2</v>
      </c>
      <c r="F85" s="1836">
        <v>0.1</v>
      </c>
    </row>
    <row r="86" spans="1:6" ht="14.25" thickBot="1">
      <c r="A86" s="1830" t="s">
        <v>1609</v>
      </c>
      <c r="B86" s="1834" t="s">
        <v>1382</v>
      </c>
      <c r="C86" s="1835">
        <v>0.1</v>
      </c>
      <c r="D86" s="1835">
        <v>0.1</v>
      </c>
      <c r="E86" s="1835">
        <v>7.6999999999999999E-2</v>
      </c>
      <c r="F86" s="1836">
        <v>0.1</v>
      </c>
    </row>
    <row r="87" spans="1:6" ht="14.25" thickBot="1">
      <c r="A87" s="1830" t="s">
        <v>1609</v>
      </c>
      <c r="B87" s="1834" t="s">
        <v>1392</v>
      </c>
      <c r="C87" s="1835">
        <v>0.1</v>
      </c>
      <c r="D87" s="1835">
        <v>0.1</v>
      </c>
      <c r="E87" s="1835">
        <v>9.8000000000000004E-2</v>
      </c>
      <c r="F87" s="1843"/>
    </row>
    <row r="88" spans="1:6" ht="14.25" thickBot="1">
      <c r="A88" s="1830" t="s">
        <v>1609</v>
      </c>
      <c r="B88" s="1834" t="s">
        <v>1402</v>
      </c>
      <c r="C88" s="1835">
        <v>9.1999999999999998E-2</v>
      </c>
      <c r="D88" s="1835">
        <v>8.5000000000000006E-2</v>
      </c>
      <c r="E88" s="1835">
        <v>9.6000000000000002E-2</v>
      </c>
      <c r="F88" s="1843"/>
    </row>
    <row r="89" spans="1:6" ht="14.25" thickBot="1">
      <c r="A89" s="1830" t="s">
        <v>1609</v>
      </c>
      <c r="B89" s="1834" t="s">
        <v>1412</v>
      </c>
      <c r="C89" s="1835">
        <v>0.1</v>
      </c>
      <c r="D89" s="1835">
        <v>0.1</v>
      </c>
      <c r="E89" s="1835">
        <v>9.7000000000000003E-2</v>
      </c>
      <c r="F89" s="1843"/>
    </row>
    <row r="90" spans="1:6" ht="14.25" thickBot="1">
      <c r="A90" s="1830" t="s">
        <v>1609</v>
      </c>
      <c r="B90" s="1834" t="s">
        <v>1422</v>
      </c>
      <c r="C90" s="1835">
        <v>9.8000000000000004E-2</v>
      </c>
      <c r="D90" s="1835">
        <v>9.8000000000000004E-2</v>
      </c>
      <c r="E90" s="1835">
        <v>8.7999999999999995E-2</v>
      </c>
      <c r="F90" s="1843"/>
    </row>
    <row r="91" spans="1:6" ht="14.25" thickBot="1">
      <c r="A91" s="1830" t="s">
        <v>1609</v>
      </c>
      <c r="B91" s="1834" t="s">
        <v>1432</v>
      </c>
      <c r="C91" s="1835">
        <v>9.9000000000000005E-2</v>
      </c>
      <c r="D91" s="1835">
        <v>9.9000000000000005E-2</v>
      </c>
      <c r="E91" s="1835">
        <v>9.0999999999999998E-2</v>
      </c>
      <c r="F91" s="1843"/>
    </row>
    <row r="92" spans="1:6" ht="14.25" thickBot="1">
      <c r="A92" s="1830" t="s">
        <v>1609</v>
      </c>
      <c r="B92" s="1834" t="s">
        <v>1442</v>
      </c>
      <c r="C92" s="1835">
        <v>9.6000000000000002E-2</v>
      </c>
      <c r="D92" s="1835">
        <v>9.6000000000000002E-2</v>
      </c>
      <c r="E92" s="1835">
        <v>7.2999999999999995E-2</v>
      </c>
      <c r="F92" s="1843"/>
    </row>
    <row r="93" spans="1:6" ht="14.25" thickBot="1">
      <c r="A93" s="1830" t="s">
        <v>1609</v>
      </c>
      <c r="B93" s="1834" t="s">
        <v>1452</v>
      </c>
      <c r="C93" s="1835">
        <v>9.6000000000000002E-2</v>
      </c>
      <c r="D93" s="1835">
        <v>9.6000000000000002E-2</v>
      </c>
      <c r="E93" s="1835">
        <v>9.9000000000000005E-2</v>
      </c>
      <c r="F93" s="1843"/>
    </row>
    <row r="94" spans="1:6" ht="14.25" thickBot="1">
      <c r="A94" s="1830" t="s">
        <v>1609</v>
      </c>
      <c r="B94" s="1834" t="s">
        <v>1462</v>
      </c>
      <c r="C94" s="1835">
        <v>7.5999999999999998E-2</v>
      </c>
      <c r="D94" s="1835">
        <v>7.3999999999999996E-2</v>
      </c>
      <c r="E94" s="1835">
        <v>9.7000000000000003E-2</v>
      </c>
      <c r="F94" s="1843"/>
    </row>
    <row r="95" spans="1:6" ht="14.25" thickBot="1">
      <c r="A95" s="1830" t="s">
        <v>1609</v>
      </c>
      <c r="B95" s="1834" t="s">
        <v>1471</v>
      </c>
      <c r="C95" s="1835">
        <v>9.9000000000000005E-2</v>
      </c>
      <c r="D95" s="1835">
        <v>9.4E-2</v>
      </c>
      <c r="E95" s="1835">
        <v>9.6000000000000002E-2</v>
      </c>
      <c r="F95" s="1843"/>
    </row>
    <row r="96" spans="1:6" ht="14.25" thickBot="1">
      <c r="A96" s="1830" t="s">
        <v>1609</v>
      </c>
      <c r="B96" s="1834" t="s">
        <v>1480</v>
      </c>
      <c r="C96" s="1835">
        <v>9.9000000000000005E-2</v>
      </c>
      <c r="D96" s="1835">
        <v>9.9000000000000005E-2</v>
      </c>
      <c r="E96" s="1835">
        <v>9.9000000000000005E-2</v>
      </c>
      <c r="F96" s="1843"/>
    </row>
    <row r="97" spans="1:6" ht="14.25" thickBot="1">
      <c r="A97" s="1830" t="s">
        <v>1609</v>
      </c>
      <c r="B97" s="1834" t="s">
        <v>1488</v>
      </c>
      <c r="C97" s="1835">
        <v>9.8000000000000004E-2</v>
      </c>
      <c r="D97" s="1835">
        <v>9.8000000000000004E-2</v>
      </c>
      <c r="E97" s="1835">
        <v>9.7000000000000003E-2</v>
      </c>
      <c r="F97" s="1843"/>
    </row>
    <row r="98" spans="1:6" ht="14.25" thickBot="1">
      <c r="A98" s="1830" t="s">
        <v>1609</v>
      </c>
      <c r="B98" s="1834" t="s">
        <v>1495</v>
      </c>
      <c r="C98" s="1835">
        <v>0.1</v>
      </c>
      <c r="D98" s="1835">
        <v>0.1</v>
      </c>
      <c r="E98" s="1835">
        <v>9.7000000000000003E-2</v>
      </c>
      <c r="F98" s="1843"/>
    </row>
    <row r="99" spans="1:6" ht="14.25" thickBot="1">
      <c r="A99" s="1830" t="s">
        <v>1609</v>
      </c>
      <c r="B99" s="1834" t="s">
        <v>1502</v>
      </c>
      <c r="C99" s="1835">
        <v>0.1</v>
      </c>
      <c r="D99" s="1835">
        <v>0.1</v>
      </c>
      <c r="E99" s="1844"/>
      <c r="F99" s="1843"/>
    </row>
    <row r="100" spans="1:6" ht="14.25" thickBot="1">
      <c r="A100" s="1830" t="s">
        <v>1609</v>
      </c>
      <c r="B100" s="1834" t="s">
        <v>1509</v>
      </c>
      <c r="C100" s="1835">
        <v>0.09</v>
      </c>
      <c r="D100" s="1835">
        <v>8.8999999999999996E-2</v>
      </c>
      <c r="E100" s="1844"/>
      <c r="F100" s="1843"/>
    </row>
    <row r="101" spans="1:6" ht="14.25" thickBot="1">
      <c r="A101" s="1830" t="s">
        <v>1609</v>
      </c>
      <c r="B101" s="1834" t="s">
        <v>1516</v>
      </c>
      <c r="C101" s="1835">
        <v>9.8000000000000004E-2</v>
      </c>
      <c r="D101" s="1835">
        <v>9.7000000000000003E-2</v>
      </c>
      <c r="E101" s="1844"/>
      <c r="F101" s="1843"/>
    </row>
    <row r="102" spans="1:6" ht="14.25" thickBot="1">
      <c r="A102" s="1830" t="s">
        <v>1609</v>
      </c>
      <c r="B102" s="1834" t="s">
        <v>2326</v>
      </c>
      <c r="C102" s="1844"/>
      <c r="D102" s="1844"/>
      <c r="E102" s="1844"/>
      <c r="F102" s="1836">
        <v>0.05</v>
      </c>
    </row>
    <row r="103" spans="1:6" ht="24.75" thickBot="1">
      <c r="A103" s="1830" t="s">
        <v>1609</v>
      </c>
      <c r="B103" s="1834" t="s">
        <v>2327</v>
      </c>
      <c r="C103" s="1844"/>
      <c r="D103" s="1844"/>
      <c r="E103" s="1844"/>
      <c r="F103" s="1836">
        <v>0.05</v>
      </c>
    </row>
    <row r="104" spans="1:6" ht="14.25" thickBot="1">
      <c r="A104" s="1830" t="s">
        <v>1609</v>
      </c>
      <c r="B104" s="1834" t="s">
        <v>2328</v>
      </c>
      <c r="C104" s="1844"/>
      <c r="D104" s="1844"/>
      <c r="E104" s="1844"/>
      <c r="F104" s="1836">
        <v>0.05</v>
      </c>
    </row>
    <row r="105" spans="1:6" ht="14.25" thickBot="1">
      <c r="A105" s="1830" t="s">
        <v>1609</v>
      </c>
      <c r="B105" s="1834" t="s">
        <v>2329</v>
      </c>
      <c r="C105" s="1844"/>
      <c r="D105" s="1844"/>
      <c r="E105" s="1844"/>
      <c r="F105" s="1836">
        <v>0.05</v>
      </c>
    </row>
    <row r="106" spans="1:6" ht="14.25" thickBot="1">
      <c r="A106" s="1830" t="s">
        <v>1609</v>
      </c>
      <c r="B106" s="1834" t="s">
        <v>2330</v>
      </c>
      <c r="C106" s="1844"/>
      <c r="D106" s="1844"/>
      <c r="E106" s="1844"/>
      <c r="F106" s="1836">
        <v>0.05</v>
      </c>
    </row>
    <row r="107" spans="1:6" ht="24.75" thickBot="1">
      <c r="A107" s="1830" t="s">
        <v>1609</v>
      </c>
      <c r="B107" s="1834" t="s">
        <v>2331</v>
      </c>
      <c r="C107" s="1844"/>
      <c r="D107" s="1844"/>
      <c r="E107" s="1844"/>
      <c r="F107" s="1836">
        <v>0.05</v>
      </c>
    </row>
    <row r="108" spans="1:6" ht="24.75" thickBot="1">
      <c r="A108" s="1830" t="s">
        <v>1609</v>
      </c>
      <c r="B108" s="1834" t="s">
        <v>2332</v>
      </c>
      <c r="C108" s="1844"/>
      <c r="D108" s="1844"/>
      <c r="E108" s="1844"/>
      <c r="F108" s="1836">
        <v>0.05</v>
      </c>
    </row>
    <row r="109" spans="1:6" ht="24.75" thickBot="1">
      <c r="A109" s="1838" t="s">
        <v>1609</v>
      </c>
      <c r="B109" s="1845" t="s">
        <v>2333</v>
      </c>
      <c r="C109" s="1841"/>
      <c r="D109" s="1841"/>
      <c r="E109" s="1841"/>
      <c r="F109" s="1846">
        <v>0.05</v>
      </c>
    </row>
    <row r="110" spans="1:6" ht="14.25" thickBot="1">
      <c r="A110" s="1830" t="s">
        <v>1611</v>
      </c>
      <c r="B110" s="1831" t="s">
        <v>2334</v>
      </c>
      <c r="C110" s="1832">
        <v>0.129</v>
      </c>
      <c r="D110" s="1832">
        <v>0.129</v>
      </c>
      <c r="E110" s="1832">
        <v>0.126</v>
      </c>
      <c r="F110" s="1833">
        <v>0.13</v>
      </c>
    </row>
    <row r="111" spans="1:6" ht="14.25" thickBot="1">
      <c r="A111" s="1830" t="s">
        <v>1611</v>
      </c>
      <c r="B111" s="1834" t="s">
        <v>1277</v>
      </c>
      <c r="C111" s="1835">
        <v>0.11</v>
      </c>
      <c r="D111" s="1835">
        <v>0.11</v>
      </c>
      <c r="E111" s="1835">
        <v>9.9000000000000005E-2</v>
      </c>
      <c r="F111" s="1836">
        <v>0.128</v>
      </c>
    </row>
    <row r="112" spans="1:6" ht="14.25" thickBot="1">
      <c r="A112" s="1830" t="s">
        <v>1611</v>
      </c>
      <c r="B112" s="1834" t="s">
        <v>1291</v>
      </c>
      <c r="C112" s="1835">
        <v>0.125</v>
      </c>
      <c r="D112" s="1835">
        <v>0.125</v>
      </c>
      <c r="E112" s="1835">
        <v>0.12</v>
      </c>
      <c r="F112" s="1836">
        <v>0.125</v>
      </c>
    </row>
    <row r="113" spans="1:6" ht="14.25" thickBot="1">
      <c r="A113" s="1830" t="s">
        <v>1611</v>
      </c>
      <c r="B113" s="1834" t="s">
        <v>1304</v>
      </c>
      <c r="C113" s="1835">
        <v>0.13</v>
      </c>
      <c r="D113" s="1835">
        <v>0.13</v>
      </c>
      <c r="E113" s="1835">
        <v>0.13</v>
      </c>
      <c r="F113" s="1836">
        <v>0.13</v>
      </c>
    </row>
    <row r="114" spans="1:6" ht="14.25" thickBot="1">
      <c r="A114" s="1830" t="s">
        <v>1611</v>
      </c>
      <c r="B114" s="1834" t="s">
        <v>1318</v>
      </c>
      <c r="C114" s="1835">
        <v>0.123</v>
      </c>
      <c r="D114" s="1835">
        <v>0.123</v>
      </c>
      <c r="E114" s="1835">
        <v>0.12</v>
      </c>
      <c r="F114" s="1836">
        <v>0.13</v>
      </c>
    </row>
    <row r="115" spans="1:6" ht="14.25" thickBot="1">
      <c r="A115" s="1830" t="s">
        <v>1611</v>
      </c>
      <c r="B115" s="1834" t="s">
        <v>1329</v>
      </c>
      <c r="C115" s="1835">
        <v>0.125</v>
      </c>
      <c r="D115" s="1835">
        <v>0.125</v>
      </c>
      <c r="E115" s="1835">
        <v>0.11700000000000001</v>
      </c>
      <c r="F115" s="1836">
        <v>0.13</v>
      </c>
    </row>
    <row r="116" spans="1:6" ht="14.25" thickBot="1">
      <c r="A116" s="1830" t="s">
        <v>1611</v>
      </c>
      <c r="B116" s="1834" t="s">
        <v>1340</v>
      </c>
      <c r="C116" s="1835">
        <v>0.11700000000000001</v>
      </c>
      <c r="D116" s="1835">
        <v>0.11700000000000001</v>
      </c>
      <c r="E116" s="1835">
        <v>8.7999999999999995E-2</v>
      </c>
      <c r="F116" s="1836">
        <v>0.13</v>
      </c>
    </row>
    <row r="117" spans="1:6" ht="14.25" thickBot="1">
      <c r="A117" s="1830" t="s">
        <v>1611</v>
      </c>
      <c r="B117" s="1834" t="s">
        <v>1351</v>
      </c>
      <c r="C117" s="1835">
        <v>0.13</v>
      </c>
      <c r="D117" s="1835">
        <v>0.13</v>
      </c>
      <c r="E117" s="1835">
        <v>0.129</v>
      </c>
      <c r="F117" s="1836">
        <v>0.13</v>
      </c>
    </row>
    <row r="118" spans="1:6" ht="14.25" thickBot="1">
      <c r="A118" s="1830" t="s">
        <v>1611</v>
      </c>
      <c r="B118" s="1834" t="s">
        <v>1363</v>
      </c>
      <c r="C118" s="1835">
        <v>0.123</v>
      </c>
      <c r="D118" s="1835">
        <v>0.123</v>
      </c>
      <c r="E118" s="1835">
        <v>0.11600000000000001</v>
      </c>
      <c r="F118" s="1836">
        <v>0.13</v>
      </c>
    </row>
    <row r="119" spans="1:6" ht="14.25" thickBot="1">
      <c r="A119" s="1830" t="s">
        <v>1611</v>
      </c>
      <c r="B119" s="1834" t="s">
        <v>1373</v>
      </c>
      <c r="C119" s="1835">
        <v>0.127</v>
      </c>
      <c r="D119" s="1835">
        <v>0.127</v>
      </c>
      <c r="E119" s="1835">
        <v>0.124</v>
      </c>
      <c r="F119" s="1836">
        <v>0.13</v>
      </c>
    </row>
    <row r="120" spans="1:6" ht="14.25" thickBot="1">
      <c r="A120" s="1830" t="s">
        <v>1611</v>
      </c>
      <c r="B120" s="1834" t="s">
        <v>1383</v>
      </c>
      <c r="C120" s="1835">
        <v>0.125</v>
      </c>
      <c r="D120" s="1835">
        <v>0.125</v>
      </c>
      <c r="E120" s="1835">
        <v>0.122</v>
      </c>
      <c r="F120" s="1836">
        <v>0.13</v>
      </c>
    </row>
    <row r="121" spans="1:6" ht="14.25" thickBot="1">
      <c r="A121" s="1830" t="s">
        <v>1611</v>
      </c>
      <c r="B121" s="1834" t="s">
        <v>1393</v>
      </c>
      <c r="C121" s="1835">
        <v>0.13</v>
      </c>
      <c r="D121" s="1835">
        <v>0.13</v>
      </c>
      <c r="E121" s="1835">
        <v>0.13</v>
      </c>
      <c r="F121" s="1836">
        <v>0.13</v>
      </c>
    </row>
    <row r="122" spans="1:6" ht="14.25" thickBot="1">
      <c r="A122" s="1830" t="s">
        <v>1611</v>
      </c>
      <c r="B122" s="1834" t="s">
        <v>1403</v>
      </c>
      <c r="C122" s="1835">
        <v>0.13</v>
      </c>
      <c r="D122" s="1835">
        <v>0.13</v>
      </c>
      <c r="E122" s="1835">
        <v>0.125</v>
      </c>
      <c r="F122" s="1836">
        <v>0.13</v>
      </c>
    </row>
    <row r="123" spans="1:6" ht="14.25" thickBot="1">
      <c r="A123" s="1830" t="s">
        <v>1611</v>
      </c>
      <c r="B123" s="1834" t="s">
        <v>1413</v>
      </c>
      <c r="C123" s="1835">
        <v>0.129</v>
      </c>
      <c r="D123" s="1835">
        <v>0.129</v>
      </c>
      <c r="E123" s="1835">
        <v>0.123</v>
      </c>
      <c r="F123" s="1836">
        <v>0.13</v>
      </c>
    </row>
    <row r="124" spans="1:6" ht="14.25" thickBot="1">
      <c r="A124" s="1830" t="s">
        <v>1611</v>
      </c>
      <c r="B124" s="1834" t="s">
        <v>1423</v>
      </c>
      <c r="C124" s="1835">
        <v>0.10199999999999999</v>
      </c>
      <c r="D124" s="1835">
        <v>0.10100000000000001</v>
      </c>
      <c r="E124" s="1835">
        <v>0.08</v>
      </c>
      <c r="F124" s="1843"/>
    </row>
    <row r="125" spans="1:6" ht="14.25" thickBot="1">
      <c r="A125" s="1830" t="s">
        <v>1611</v>
      </c>
      <c r="B125" s="1834" t="s">
        <v>1433</v>
      </c>
      <c r="C125" s="1835">
        <v>0.13</v>
      </c>
      <c r="D125" s="1835">
        <v>0.13</v>
      </c>
      <c r="E125" s="1835">
        <v>0.129</v>
      </c>
      <c r="F125" s="1843"/>
    </row>
    <row r="126" spans="1:6" ht="14.25" thickBot="1">
      <c r="A126" s="1830" t="s">
        <v>1611</v>
      </c>
      <c r="B126" s="1834" t="s">
        <v>1443</v>
      </c>
      <c r="C126" s="1835">
        <v>0.13</v>
      </c>
      <c r="D126" s="1835">
        <v>0.13</v>
      </c>
      <c r="E126" s="1835">
        <v>0.126</v>
      </c>
      <c r="F126" s="1843"/>
    </row>
    <row r="127" spans="1:6" ht="14.25" thickBot="1">
      <c r="A127" s="1830" t="s">
        <v>1611</v>
      </c>
      <c r="B127" s="1834" t="s">
        <v>1453</v>
      </c>
      <c r="C127" s="1835">
        <v>0.125</v>
      </c>
      <c r="D127" s="1835">
        <v>0.125</v>
      </c>
      <c r="E127" s="1835">
        <v>0.121</v>
      </c>
      <c r="F127" s="1843"/>
    </row>
    <row r="128" spans="1:6" ht="14.25" thickBot="1">
      <c r="A128" s="1830" t="s">
        <v>1611</v>
      </c>
      <c r="B128" s="1834" t="s">
        <v>1463</v>
      </c>
      <c r="C128" s="1835">
        <v>0.12</v>
      </c>
      <c r="D128" s="1835">
        <v>0.12</v>
      </c>
      <c r="E128" s="1835">
        <v>0.105</v>
      </c>
      <c r="F128" s="1843"/>
    </row>
    <row r="129" spans="1:6" ht="14.25" thickBot="1">
      <c r="A129" s="1830" t="s">
        <v>1611</v>
      </c>
      <c r="B129" s="1834" t="s">
        <v>1472</v>
      </c>
      <c r="C129" s="1835">
        <v>0.13</v>
      </c>
      <c r="D129" s="1835">
        <v>0.13</v>
      </c>
      <c r="E129" s="1835">
        <v>0.126</v>
      </c>
      <c r="F129" s="1843"/>
    </row>
    <row r="130" spans="1:6" ht="14.25" thickBot="1">
      <c r="A130" s="1830" t="s">
        <v>1611</v>
      </c>
      <c r="B130" s="1834" t="s">
        <v>1481</v>
      </c>
      <c r="C130" s="1835">
        <v>0.125</v>
      </c>
      <c r="D130" s="1835">
        <v>0.125</v>
      </c>
      <c r="E130" s="1835">
        <v>0.122</v>
      </c>
      <c r="F130" s="1843"/>
    </row>
    <row r="131" spans="1:6" ht="14.25" thickBot="1">
      <c r="A131" s="1830" t="s">
        <v>1611</v>
      </c>
      <c r="B131" s="1834" t="s">
        <v>1489</v>
      </c>
      <c r="C131" s="1835">
        <v>0.127</v>
      </c>
      <c r="D131" s="1835">
        <v>0.126</v>
      </c>
      <c r="E131" s="1835">
        <v>0.123</v>
      </c>
      <c r="F131" s="1843"/>
    </row>
    <row r="132" spans="1:6" ht="14.25" thickBot="1">
      <c r="A132" s="1830" t="s">
        <v>1611</v>
      </c>
      <c r="B132" s="1834" t="s">
        <v>1496</v>
      </c>
      <c r="C132" s="1835">
        <v>9.0999999999999998E-2</v>
      </c>
      <c r="D132" s="1835">
        <v>0.121</v>
      </c>
      <c r="E132" s="1835">
        <v>9.9000000000000005E-2</v>
      </c>
      <c r="F132" s="1843"/>
    </row>
    <row r="133" spans="1:6" ht="14.25" thickBot="1">
      <c r="A133" s="1830" t="s">
        <v>1611</v>
      </c>
      <c r="B133" s="1834" t="s">
        <v>1503</v>
      </c>
      <c r="C133" s="1835">
        <v>0.13</v>
      </c>
      <c r="D133" s="1835">
        <v>0.13</v>
      </c>
      <c r="E133" s="1835">
        <v>0.129</v>
      </c>
      <c r="F133" s="1843"/>
    </row>
    <row r="134" spans="1:6" ht="14.25" thickBot="1">
      <c r="A134" s="1830" t="s">
        <v>1611</v>
      </c>
      <c r="B134" s="1834" t="s">
        <v>2335</v>
      </c>
      <c r="C134" s="1835">
        <v>6.8000000000000005E-2</v>
      </c>
      <c r="D134" s="1835">
        <v>6.5000000000000002E-2</v>
      </c>
      <c r="E134" s="1835">
        <v>6.5000000000000002E-2</v>
      </c>
      <c r="F134" s="1836">
        <v>0.13</v>
      </c>
    </row>
    <row r="135" spans="1:6" ht="14.25" thickBot="1">
      <c r="A135" s="1830" t="s">
        <v>1611</v>
      </c>
      <c r="B135" s="1834" t="s">
        <v>1517</v>
      </c>
      <c r="C135" s="1835">
        <v>0.123</v>
      </c>
      <c r="D135" s="1835">
        <v>0.123</v>
      </c>
      <c r="E135" s="1835">
        <v>0.11</v>
      </c>
      <c r="F135" s="1843"/>
    </row>
    <row r="136" spans="1:6" ht="14.25" thickBot="1">
      <c r="A136" s="1830" t="s">
        <v>1611</v>
      </c>
      <c r="B136" s="1834" t="s">
        <v>1524</v>
      </c>
      <c r="C136" s="1835">
        <v>0.13</v>
      </c>
      <c r="D136" s="1835">
        <v>0.13</v>
      </c>
      <c r="E136" s="1835">
        <v>0.125</v>
      </c>
      <c r="F136" s="1843"/>
    </row>
    <row r="137" spans="1:6" ht="14.25" thickBot="1">
      <c r="A137" s="1830" t="s">
        <v>1611</v>
      </c>
      <c r="B137" s="1834" t="s">
        <v>1531</v>
      </c>
      <c r="C137" s="1835">
        <v>0.121</v>
      </c>
      <c r="D137" s="1835">
        <v>0.122</v>
      </c>
      <c r="E137" s="1835">
        <v>0.115</v>
      </c>
      <c r="F137" s="1843"/>
    </row>
    <row r="138" spans="1:6" ht="14.25" thickBot="1">
      <c r="A138" s="1830" t="s">
        <v>1611</v>
      </c>
      <c r="B138" s="1834" t="s">
        <v>2336</v>
      </c>
      <c r="C138" s="1835">
        <v>0.105</v>
      </c>
      <c r="D138" s="1835">
        <v>0.125</v>
      </c>
      <c r="E138" s="1835">
        <v>0.112</v>
      </c>
      <c r="F138" s="1843"/>
    </row>
    <row r="139" spans="1:6" ht="14.25" thickBot="1">
      <c r="A139" s="1830" t="s">
        <v>1611</v>
      </c>
      <c r="B139" s="1834" t="s">
        <v>2337</v>
      </c>
      <c r="C139" s="1835">
        <v>0.127</v>
      </c>
      <c r="D139" s="1835">
        <v>0.127</v>
      </c>
      <c r="E139" s="1835">
        <v>0.122</v>
      </c>
      <c r="F139" s="1836">
        <v>0.13</v>
      </c>
    </row>
    <row r="140" spans="1:6" ht="14.25" thickBot="1">
      <c r="A140" s="1830" t="s">
        <v>1611</v>
      </c>
      <c r="B140" s="1834" t="s">
        <v>2338</v>
      </c>
      <c r="C140" s="1835">
        <v>0.125</v>
      </c>
      <c r="D140" s="1835">
        <v>0.125</v>
      </c>
      <c r="E140" s="1835">
        <v>0.11899999999999999</v>
      </c>
      <c r="F140" s="1836">
        <v>0.13</v>
      </c>
    </row>
    <row r="141" spans="1:6" ht="14.25" thickBot="1">
      <c r="A141" s="1830" t="s">
        <v>1611</v>
      </c>
      <c r="B141" s="1834" t="s">
        <v>1550</v>
      </c>
      <c r="C141" s="1835">
        <v>0.125</v>
      </c>
      <c r="D141" s="1835">
        <v>0.125</v>
      </c>
      <c r="E141" s="1835">
        <v>0.11700000000000001</v>
      </c>
      <c r="F141" s="1843"/>
    </row>
    <row r="142" spans="1:6" ht="14.25" thickBot="1">
      <c r="A142" s="1830" t="s">
        <v>1611</v>
      </c>
      <c r="B142" s="1834" t="s">
        <v>1555</v>
      </c>
      <c r="C142" s="1835">
        <v>0.125</v>
      </c>
      <c r="D142" s="1835">
        <v>0.125</v>
      </c>
      <c r="E142" s="1835">
        <v>0.115</v>
      </c>
      <c r="F142" s="1843"/>
    </row>
    <row r="143" spans="1:6" ht="14.25" thickBot="1">
      <c r="A143" s="1830" t="s">
        <v>1611</v>
      </c>
      <c r="B143" s="1834" t="s">
        <v>1560</v>
      </c>
      <c r="C143" s="1835">
        <v>0.121</v>
      </c>
      <c r="D143" s="1835">
        <v>0.121</v>
      </c>
      <c r="E143" s="1835">
        <v>0.108</v>
      </c>
      <c r="F143" s="1843"/>
    </row>
    <row r="144" spans="1:6" ht="14.25" thickBot="1">
      <c r="A144" s="1830" t="s">
        <v>1611</v>
      </c>
      <c r="B144" s="1847" t="s">
        <v>2339</v>
      </c>
      <c r="C144" s="1848">
        <v>0.126</v>
      </c>
      <c r="D144" s="1848">
        <v>0.126</v>
      </c>
      <c r="E144" s="1848">
        <v>0.121</v>
      </c>
      <c r="F144" s="1843"/>
    </row>
    <row r="145" spans="1:6" ht="14.25" thickBot="1">
      <c r="A145" s="1838" t="s">
        <v>1611</v>
      </c>
      <c r="B145" s="1849" t="s">
        <v>2340</v>
      </c>
      <c r="C145" s="1850"/>
      <c r="D145" s="1850"/>
      <c r="E145" s="1850"/>
      <c r="F145" s="1851">
        <v>0.05</v>
      </c>
    </row>
    <row r="146" spans="1:6" ht="24.75" thickBot="1">
      <c r="A146" s="1852" t="s">
        <v>1611</v>
      </c>
      <c r="B146" s="1837" t="s">
        <v>2341</v>
      </c>
      <c r="C146" s="1844"/>
      <c r="D146" s="1844"/>
      <c r="E146" s="1844"/>
      <c r="F146" s="1853">
        <v>0.05</v>
      </c>
    </row>
    <row r="147" spans="1:6" ht="24.75" thickBot="1">
      <c r="A147" s="1830" t="s">
        <v>1611</v>
      </c>
      <c r="B147" s="1834" t="s">
        <v>2342</v>
      </c>
      <c r="C147" s="1844"/>
      <c r="D147" s="1844"/>
      <c r="E147" s="1844"/>
      <c r="F147" s="1836">
        <v>0.05</v>
      </c>
    </row>
    <row r="148" spans="1:6" ht="24.75" thickBot="1">
      <c r="A148" s="1830" t="s">
        <v>1611</v>
      </c>
      <c r="B148" s="1834" t="s">
        <v>2343</v>
      </c>
      <c r="C148" s="1844"/>
      <c r="D148" s="1844"/>
      <c r="E148" s="1844"/>
      <c r="F148" s="1836">
        <v>0.05</v>
      </c>
    </row>
    <row r="149" spans="1:6" ht="24.75" thickBot="1">
      <c r="A149" s="1830" t="s">
        <v>1611</v>
      </c>
      <c r="B149" s="1834" t="s">
        <v>2344</v>
      </c>
      <c r="C149" s="1844"/>
      <c r="D149" s="1844"/>
      <c r="E149" s="1844"/>
      <c r="F149" s="1836">
        <v>0.05</v>
      </c>
    </row>
    <row r="150" spans="1:6" ht="24.75" thickBot="1">
      <c r="A150" s="1830" t="s">
        <v>1611</v>
      </c>
      <c r="B150" s="1834" t="s">
        <v>2345</v>
      </c>
      <c r="C150" s="1844"/>
      <c r="D150" s="1844"/>
      <c r="E150" s="1844"/>
      <c r="F150" s="1836">
        <v>0.05</v>
      </c>
    </row>
    <row r="151" spans="1:6" ht="24.75" thickBot="1">
      <c r="A151" s="1830" t="s">
        <v>1611</v>
      </c>
      <c r="B151" s="1834" t="s">
        <v>2346</v>
      </c>
      <c r="C151" s="1844"/>
      <c r="D151" s="1844"/>
      <c r="E151" s="1844"/>
      <c r="F151" s="1836">
        <v>0.05</v>
      </c>
    </row>
    <row r="152" spans="1:6" ht="24.75" thickBot="1">
      <c r="A152" s="1830" t="s">
        <v>1611</v>
      </c>
      <c r="B152" s="1834" t="s">
        <v>1593</v>
      </c>
      <c r="C152" s="1844"/>
      <c r="D152" s="1844"/>
      <c r="E152" s="1844"/>
      <c r="F152" s="1836">
        <v>0.05</v>
      </c>
    </row>
    <row r="153" spans="1:6" ht="14.25" thickBot="1">
      <c r="A153" s="1830" t="s">
        <v>1611</v>
      </c>
      <c r="B153" s="1834" t="s">
        <v>2347</v>
      </c>
      <c r="C153" s="1844"/>
      <c r="D153" s="1844"/>
      <c r="E153" s="1844"/>
      <c r="F153" s="1836">
        <v>0.05</v>
      </c>
    </row>
    <row r="154" spans="1:6" ht="14.25" thickBot="1">
      <c r="A154" s="1830" t="s">
        <v>1611</v>
      </c>
      <c r="B154" s="1834" t="s">
        <v>2348</v>
      </c>
      <c r="C154" s="1844"/>
      <c r="D154" s="1844"/>
      <c r="E154" s="1844"/>
      <c r="F154" s="1836">
        <v>0.05</v>
      </c>
    </row>
    <row r="155" spans="1:6" ht="24.75" thickBot="1">
      <c r="A155" s="1830" t="s">
        <v>1611</v>
      </c>
      <c r="B155" s="1834" t="s">
        <v>2349</v>
      </c>
      <c r="C155" s="1844"/>
      <c r="D155" s="1844"/>
      <c r="E155" s="1844"/>
      <c r="F155" s="1836">
        <v>0.05</v>
      </c>
    </row>
    <row r="156" spans="1:6" ht="24.75" thickBot="1">
      <c r="A156" s="1830" t="s">
        <v>1611</v>
      </c>
      <c r="B156" s="1834" t="s">
        <v>2350</v>
      </c>
      <c r="C156" s="1844"/>
      <c r="D156" s="1844"/>
      <c r="E156" s="1844"/>
      <c r="F156" s="1836">
        <v>0.05</v>
      </c>
    </row>
    <row r="157" spans="1:6" ht="14.25" thickBot="1">
      <c r="A157" s="1838" t="s">
        <v>1611</v>
      </c>
      <c r="B157" s="1845" t="s">
        <v>2351</v>
      </c>
      <c r="C157" s="1841"/>
      <c r="D157" s="1841"/>
      <c r="E157" s="1841"/>
      <c r="F157" s="1846">
        <v>0.05</v>
      </c>
    </row>
    <row r="158" spans="1:6" ht="14.25" thickBot="1">
      <c r="A158" s="1830" t="s">
        <v>1613</v>
      </c>
      <c r="B158" s="1831" t="s">
        <v>2352</v>
      </c>
      <c r="C158" s="1832">
        <v>0.13</v>
      </c>
      <c r="D158" s="1832">
        <v>0.13</v>
      </c>
      <c r="E158" s="1832">
        <v>0.13</v>
      </c>
      <c r="F158" s="1833">
        <v>0.13</v>
      </c>
    </row>
    <row r="159" spans="1:6" ht="14.25" thickBot="1">
      <c r="A159" s="1830" t="s">
        <v>1613</v>
      </c>
      <c r="B159" s="1834" t="s">
        <v>1278</v>
      </c>
      <c r="C159" s="1835">
        <v>0.13</v>
      </c>
      <c r="D159" s="1835">
        <v>0.13</v>
      </c>
      <c r="E159" s="1835">
        <v>0.13</v>
      </c>
      <c r="F159" s="1836">
        <v>0.13</v>
      </c>
    </row>
    <row r="160" spans="1:6" ht="14.25" thickBot="1">
      <c r="A160" s="1830" t="s">
        <v>1613</v>
      </c>
      <c r="B160" s="1834" t="s">
        <v>1292</v>
      </c>
      <c r="C160" s="1835">
        <v>0.13</v>
      </c>
      <c r="D160" s="1835">
        <v>0.13</v>
      </c>
      <c r="E160" s="1835">
        <v>0.129</v>
      </c>
      <c r="F160" s="1836">
        <v>0.13</v>
      </c>
    </row>
    <row r="161" spans="1:6" ht="14.25" thickBot="1">
      <c r="A161" s="1830" t="s">
        <v>1613</v>
      </c>
      <c r="B161" s="1834" t="s">
        <v>1305</v>
      </c>
      <c r="C161" s="1835">
        <v>0.128</v>
      </c>
      <c r="D161" s="1835">
        <v>0.128</v>
      </c>
      <c r="E161" s="1835">
        <v>0.125</v>
      </c>
      <c r="F161" s="1836">
        <v>0.13</v>
      </c>
    </row>
    <row r="162" spans="1:6" ht="14.25" thickBot="1">
      <c r="A162" s="1830" t="s">
        <v>1613</v>
      </c>
      <c r="B162" s="1834" t="s">
        <v>1319</v>
      </c>
      <c r="C162" s="1835">
        <v>0.122</v>
      </c>
      <c r="D162" s="1835">
        <v>0.122</v>
      </c>
      <c r="E162" s="1835">
        <v>0.126</v>
      </c>
      <c r="F162" s="1836">
        <v>0.122</v>
      </c>
    </row>
    <row r="163" spans="1:6" ht="14.25" thickBot="1">
      <c r="A163" s="1830" t="s">
        <v>1613</v>
      </c>
      <c r="B163" s="1834" t="s">
        <v>1330</v>
      </c>
      <c r="C163" s="1835">
        <v>0.13</v>
      </c>
      <c r="D163" s="1835">
        <v>0.13</v>
      </c>
      <c r="E163" s="1835">
        <v>0.125</v>
      </c>
      <c r="F163" s="1836">
        <v>0.13</v>
      </c>
    </row>
    <row r="164" spans="1:6" ht="14.25" thickBot="1">
      <c r="A164" s="1830" t="s">
        <v>1613</v>
      </c>
      <c r="B164" s="1834" t="s">
        <v>1341</v>
      </c>
      <c r="C164" s="1835">
        <v>0.13</v>
      </c>
      <c r="D164" s="1835">
        <v>0.13</v>
      </c>
      <c r="E164" s="1835">
        <v>0.13</v>
      </c>
      <c r="F164" s="1836">
        <v>0.13</v>
      </c>
    </row>
    <row r="165" spans="1:6" ht="14.25" thickBot="1">
      <c r="A165" s="1830" t="s">
        <v>1613</v>
      </c>
      <c r="B165" s="1834" t="s">
        <v>1352</v>
      </c>
      <c r="C165" s="1835">
        <v>0.13</v>
      </c>
      <c r="D165" s="1835">
        <v>0.13</v>
      </c>
      <c r="E165" s="1835">
        <v>0.124</v>
      </c>
      <c r="F165" s="1836">
        <v>0.13</v>
      </c>
    </row>
    <row r="166" spans="1:6" ht="14.25" thickBot="1">
      <c r="A166" s="1830" t="s">
        <v>1613</v>
      </c>
      <c r="B166" s="1834" t="s">
        <v>1364</v>
      </c>
      <c r="C166" s="1835">
        <v>0.13</v>
      </c>
      <c r="D166" s="1835">
        <v>0.13</v>
      </c>
      <c r="E166" s="1835">
        <v>0.13</v>
      </c>
      <c r="F166" s="1836">
        <v>0.13</v>
      </c>
    </row>
    <row r="167" spans="1:6" ht="14.25" thickBot="1">
      <c r="A167" s="1830" t="s">
        <v>1613</v>
      </c>
      <c r="B167" s="1834" t="s">
        <v>1374</v>
      </c>
      <c r="C167" s="1835">
        <v>0.125</v>
      </c>
      <c r="D167" s="1835">
        <v>0.125</v>
      </c>
      <c r="E167" s="1835">
        <v>0.121</v>
      </c>
      <c r="F167" s="1843"/>
    </row>
    <row r="168" spans="1:6" ht="14.25" thickBot="1">
      <c r="A168" s="1830" t="s">
        <v>1613</v>
      </c>
      <c r="B168" s="1834" t="s">
        <v>1384</v>
      </c>
      <c r="C168" s="1835">
        <v>0.13</v>
      </c>
      <c r="D168" s="1835">
        <v>0.13</v>
      </c>
      <c r="E168" s="1835">
        <v>0.126</v>
      </c>
      <c r="F168" s="1843"/>
    </row>
    <row r="169" spans="1:6" ht="14.25" thickBot="1">
      <c r="A169" s="1830" t="s">
        <v>1613</v>
      </c>
      <c r="B169" s="1834" t="s">
        <v>1394</v>
      </c>
      <c r="C169" s="1835">
        <v>0.128</v>
      </c>
      <c r="D169" s="1835">
        <v>0.129</v>
      </c>
      <c r="E169" s="1835">
        <v>0.13</v>
      </c>
      <c r="F169" s="1843"/>
    </row>
    <row r="170" spans="1:6" ht="14.25" thickBot="1">
      <c r="A170" s="1830" t="s">
        <v>1613</v>
      </c>
      <c r="B170" s="1834" t="s">
        <v>1404</v>
      </c>
      <c r="C170" s="1835">
        <v>0.14099999999999999</v>
      </c>
      <c r="D170" s="1835">
        <v>0.13</v>
      </c>
      <c r="E170" s="1835">
        <v>0.125</v>
      </c>
      <c r="F170" s="1843"/>
    </row>
    <row r="171" spans="1:6" ht="14.25" thickBot="1">
      <c r="A171" s="1830" t="s">
        <v>1613</v>
      </c>
      <c r="B171" s="1834" t="s">
        <v>2353</v>
      </c>
      <c r="C171" s="1835">
        <v>0.127</v>
      </c>
      <c r="D171" s="1835">
        <v>0.126</v>
      </c>
      <c r="E171" s="1835">
        <v>0.126</v>
      </c>
      <c r="F171" s="1836">
        <v>0.11799999999999999</v>
      </c>
    </row>
    <row r="172" spans="1:6" ht="14.25" thickBot="1">
      <c r="A172" s="1830" t="s">
        <v>1613</v>
      </c>
      <c r="B172" s="1834" t="s">
        <v>2354</v>
      </c>
      <c r="C172" s="1835">
        <v>0.13</v>
      </c>
      <c r="D172" s="1835">
        <v>0.13</v>
      </c>
      <c r="E172" s="1835">
        <v>0.13</v>
      </c>
      <c r="F172" s="1843"/>
    </row>
    <row r="173" spans="1:6" ht="14.25" thickBot="1">
      <c r="A173" s="1830" t="s">
        <v>1613</v>
      </c>
      <c r="B173" s="1834" t="s">
        <v>1434</v>
      </c>
      <c r="C173" s="1835">
        <v>0.13</v>
      </c>
      <c r="D173" s="1835">
        <v>0.13</v>
      </c>
      <c r="E173" s="1835">
        <v>0.13</v>
      </c>
      <c r="F173" s="1843"/>
    </row>
    <row r="174" spans="1:6" ht="14.25" thickBot="1">
      <c r="A174" s="1830" t="s">
        <v>1613</v>
      </c>
      <c r="B174" s="1834" t="s">
        <v>2355</v>
      </c>
      <c r="C174" s="1835">
        <v>0.13</v>
      </c>
      <c r="D174" s="1835">
        <v>0.13</v>
      </c>
      <c r="E174" s="1835">
        <v>0.13</v>
      </c>
      <c r="F174" s="1836">
        <v>0.13</v>
      </c>
    </row>
    <row r="175" spans="1:6" ht="14.25" thickBot="1">
      <c r="A175" s="1830" t="s">
        <v>1613</v>
      </c>
      <c r="B175" s="1834" t="s">
        <v>2356</v>
      </c>
      <c r="C175" s="1835">
        <v>0.13</v>
      </c>
      <c r="D175" s="1835">
        <v>0.13</v>
      </c>
      <c r="E175" s="1835">
        <v>0.13</v>
      </c>
      <c r="F175" s="1836">
        <v>0.13</v>
      </c>
    </row>
    <row r="176" spans="1:6" ht="14.25" thickBot="1">
      <c r="A176" s="1830" t="s">
        <v>1613</v>
      </c>
      <c r="B176" s="1834" t="s">
        <v>1464</v>
      </c>
      <c r="C176" s="1835">
        <v>0.13</v>
      </c>
      <c r="D176" s="1835">
        <v>0.13</v>
      </c>
      <c r="E176" s="1835">
        <v>0.13</v>
      </c>
      <c r="F176" s="1836">
        <v>0.13</v>
      </c>
    </row>
    <row r="177" spans="1:6" ht="14.25" thickBot="1">
      <c r="A177" s="1830" t="s">
        <v>1613</v>
      </c>
      <c r="B177" s="1834" t="s">
        <v>2357</v>
      </c>
      <c r="C177" s="1835">
        <v>0.13</v>
      </c>
      <c r="D177" s="1835">
        <v>0.13</v>
      </c>
      <c r="E177" s="1835">
        <v>0.13</v>
      </c>
      <c r="F177" s="1836">
        <v>0.13</v>
      </c>
    </row>
    <row r="178" spans="1:6" ht="14.25" thickBot="1">
      <c r="A178" s="1830" t="s">
        <v>1613</v>
      </c>
      <c r="B178" s="1834" t="s">
        <v>1482</v>
      </c>
      <c r="C178" s="1835">
        <v>0.13</v>
      </c>
      <c r="D178" s="1835">
        <v>0.13</v>
      </c>
      <c r="E178" s="1835">
        <v>0.13</v>
      </c>
      <c r="F178" s="1836">
        <v>0.127</v>
      </c>
    </row>
    <row r="179" spans="1:6" ht="14.25" thickBot="1">
      <c r="A179" s="1830" t="s">
        <v>1613</v>
      </c>
      <c r="B179" s="1834" t="s">
        <v>1490</v>
      </c>
      <c r="C179" s="1835">
        <v>0.13</v>
      </c>
      <c r="D179" s="1835">
        <v>0.13</v>
      </c>
      <c r="E179" s="1835">
        <v>0.13</v>
      </c>
      <c r="F179" s="1843"/>
    </row>
    <row r="180" spans="1:6" ht="14.25" thickBot="1">
      <c r="A180" s="1830" t="s">
        <v>1613</v>
      </c>
      <c r="B180" s="1834" t="s">
        <v>2358</v>
      </c>
      <c r="C180" s="1835">
        <v>0.13</v>
      </c>
      <c r="D180" s="1835">
        <v>0.13</v>
      </c>
      <c r="E180" s="1835">
        <v>0.125</v>
      </c>
      <c r="F180" s="1836">
        <v>0.13</v>
      </c>
    </row>
    <row r="181" spans="1:6" ht="14.25" thickBot="1">
      <c r="A181" s="1830" t="s">
        <v>1613</v>
      </c>
      <c r="B181" s="1834" t="s">
        <v>1504</v>
      </c>
      <c r="C181" s="1835">
        <v>0.122</v>
      </c>
      <c r="D181" s="1835">
        <v>0.123</v>
      </c>
      <c r="E181" s="1835">
        <v>0.126</v>
      </c>
      <c r="F181" s="1836">
        <v>0.121</v>
      </c>
    </row>
    <row r="182" spans="1:6" ht="14.25" thickBot="1">
      <c r="A182" s="1830" t="s">
        <v>1613</v>
      </c>
      <c r="B182" s="1834" t="s">
        <v>1511</v>
      </c>
      <c r="C182" s="1835">
        <v>0.125</v>
      </c>
      <c r="D182" s="1835">
        <v>0.125</v>
      </c>
      <c r="E182" s="1835">
        <v>0.11700000000000001</v>
      </c>
      <c r="F182" s="1836">
        <v>0.13</v>
      </c>
    </row>
    <row r="183" spans="1:6" ht="14.25" thickBot="1">
      <c r="A183" s="1830" t="s">
        <v>1613</v>
      </c>
      <c r="B183" s="1834" t="s">
        <v>1518</v>
      </c>
      <c r="C183" s="1835">
        <v>0.127</v>
      </c>
      <c r="D183" s="1835">
        <v>0.127</v>
      </c>
      <c r="E183" s="1835">
        <v>0.128</v>
      </c>
      <c r="F183" s="1843"/>
    </row>
    <row r="184" spans="1:6" ht="14.25" thickBot="1">
      <c r="A184" s="1830" t="s">
        <v>1613</v>
      </c>
      <c r="B184" s="1834" t="s">
        <v>1525</v>
      </c>
      <c r="C184" s="1835">
        <v>0.125</v>
      </c>
      <c r="D184" s="1835">
        <v>0.125</v>
      </c>
      <c r="E184" s="1835">
        <v>0.127</v>
      </c>
      <c r="F184" s="1843"/>
    </row>
    <row r="185" spans="1:6" ht="14.25" thickBot="1">
      <c r="A185" s="1830" t="s">
        <v>1613</v>
      </c>
      <c r="B185" s="1834" t="s">
        <v>2359</v>
      </c>
      <c r="C185" s="1835">
        <v>0.127</v>
      </c>
      <c r="D185" s="1835">
        <v>0.127</v>
      </c>
      <c r="E185" s="1835">
        <v>0.128</v>
      </c>
      <c r="F185" s="1836">
        <v>0.13</v>
      </c>
    </row>
    <row r="186" spans="1:6" ht="24.75" thickBot="1">
      <c r="A186" s="1830" t="s">
        <v>1613</v>
      </c>
      <c r="B186" s="1834" t="s">
        <v>2360</v>
      </c>
      <c r="C186" s="1844"/>
      <c r="D186" s="1844"/>
      <c r="E186" s="1844"/>
      <c r="F186" s="1836">
        <v>0.05</v>
      </c>
    </row>
    <row r="187" spans="1:6" ht="14.25" thickBot="1">
      <c r="A187" s="1830" t="s">
        <v>1613</v>
      </c>
      <c r="B187" s="1834" t="s">
        <v>2361</v>
      </c>
      <c r="C187" s="1844"/>
      <c r="D187" s="1844"/>
      <c r="E187" s="1844"/>
      <c r="F187" s="1836">
        <v>0.05</v>
      </c>
    </row>
    <row r="188" spans="1:6" ht="14.25" thickBot="1">
      <c r="A188" s="1830" t="s">
        <v>1613</v>
      </c>
      <c r="B188" s="1834" t="s">
        <v>2362</v>
      </c>
      <c r="C188" s="1844"/>
      <c r="D188" s="1844"/>
      <c r="E188" s="1844"/>
      <c r="F188" s="1836">
        <v>0.05</v>
      </c>
    </row>
    <row r="189" spans="1:6" ht="24.75" thickBot="1">
      <c r="A189" s="1830" t="s">
        <v>1613</v>
      </c>
      <c r="B189" s="1834" t="s">
        <v>2363</v>
      </c>
      <c r="C189" s="1844"/>
      <c r="D189" s="1844"/>
      <c r="E189" s="1844"/>
      <c r="F189" s="1836">
        <v>0.05</v>
      </c>
    </row>
    <row r="190" spans="1:6" ht="24.75" thickBot="1">
      <c r="A190" s="1830" t="s">
        <v>1613</v>
      </c>
      <c r="B190" s="1834" t="s">
        <v>2364</v>
      </c>
      <c r="C190" s="1844"/>
      <c r="D190" s="1844"/>
      <c r="E190" s="1844"/>
      <c r="F190" s="1836">
        <v>0.05</v>
      </c>
    </row>
    <row r="191" spans="1:6" ht="24.75" thickBot="1">
      <c r="A191" s="1830" t="s">
        <v>1613</v>
      </c>
      <c r="B191" s="1834" t="s">
        <v>2365</v>
      </c>
      <c r="C191" s="1844"/>
      <c r="D191" s="1844"/>
      <c r="E191" s="1844"/>
      <c r="F191" s="1836">
        <v>0.05</v>
      </c>
    </row>
    <row r="192" spans="1:6" ht="24.75" thickBot="1">
      <c r="A192" s="1830" t="s">
        <v>1613</v>
      </c>
      <c r="B192" s="1834" t="s">
        <v>2366</v>
      </c>
      <c r="C192" s="1844"/>
      <c r="D192" s="1844"/>
      <c r="E192" s="1844"/>
      <c r="F192" s="1836">
        <v>0.05</v>
      </c>
    </row>
    <row r="193" spans="1:6" ht="24.75" thickBot="1">
      <c r="A193" s="1830" t="s">
        <v>1613</v>
      </c>
      <c r="B193" s="1834" t="s">
        <v>2367</v>
      </c>
      <c r="C193" s="1844"/>
      <c r="D193" s="1844"/>
      <c r="E193" s="1844"/>
      <c r="F193" s="1836">
        <v>0.05</v>
      </c>
    </row>
    <row r="194" spans="1:6" ht="24.75" thickBot="1">
      <c r="A194" s="1830" t="s">
        <v>1613</v>
      </c>
      <c r="B194" s="1834" t="s">
        <v>2368</v>
      </c>
      <c r="C194" s="1844"/>
      <c r="D194" s="1844"/>
      <c r="E194" s="1844"/>
      <c r="F194" s="1836">
        <v>0.05</v>
      </c>
    </row>
    <row r="195" spans="1:6" ht="14.25" thickBot="1">
      <c r="A195" s="1830" t="s">
        <v>1613</v>
      </c>
      <c r="B195" s="1834" t="s">
        <v>2369</v>
      </c>
      <c r="C195" s="1844"/>
      <c r="D195" s="1844"/>
      <c r="E195" s="1844"/>
      <c r="F195" s="1836">
        <v>0.05</v>
      </c>
    </row>
    <row r="196" spans="1:6" ht="24.75" thickBot="1">
      <c r="A196" s="1830" t="s">
        <v>1613</v>
      </c>
      <c r="B196" s="1834" t="s">
        <v>2370</v>
      </c>
      <c r="C196" s="1844"/>
      <c r="D196" s="1844"/>
      <c r="E196" s="1844"/>
      <c r="F196" s="1836">
        <v>0.05</v>
      </c>
    </row>
    <row r="197" spans="1:6" ht="24.75" thickBot="1">
      <c r="A197" s="1830" t="s">
        <v>1613</v>
      </c>
      <c r="B197" s="1834" t="s">
        <v>2371</v>
      </c>
      <c r="C197" s="1844"/>
      <c r="D197" s="1844"/>
      <c r="E197" s="1844"/>
      <c r="F197" s="1836">
        <v>0.05</v>
      </c>
    </row>
    <row r="198" spans="1:6" ht="24.75" thickBot="1">
      <c r="A198" s="1830" t="s">
        <v>1613</v>
      </c>
      <c r="B198" s="1834" t="s">
        <v>2372</v>
      </c>
      <c r="C198" s="1844"/>
      <c r="D198" s="1844"/>
      <c r="E198" s="1844"/>
      <c r="F198" s="1836">
        <v>0.05</v>
      </c>
    </row>
    <row r="199" spans="1:6" ht="24.75" thickBot="1">
      <c r="A199" s="1830" t="s">
        <v>1613</v>
      </c>
      <c r="B199" s="1834" t="s">
        <v>2373</v>
      </c>
      <c r="C199" s="1844"/>
      <c r="D199" s="1844"/>
      <c r="E199" s="1844"/>
      <c r="F199" s="1836">
        <v>0.05</v>
      </c>
    </row>
    <row r="200" spans="1:6" ht="24.75" thickBot="1">
      <c r="A200" s="1830" t="s">
        <v>1613</v>
      </c>
      <c r="B200" s="1834" t="s">
        <v>2374</v>
      </c>
      <c r="C200" s="1844"/>
      <c r="D200" s="1844"/>
      <c r="E200" s="1844"/>
      <c r="F200" s="1836">
        <v>0.05</v>
      </c>
    </row>
    <row r="201" spans="1:6" ht="24.75" thickBot="1">
      <c r="A201" s="1830" t="s">
        <v>1613</v>
      </c>
      <c r="B201" s="1834" t="s">
        <v>2375</v>
      </c>
      <c r="C201" s="1844"/>
      <c r="D201" s="1844"/>
      <c r="E201" s="1844"/>
      <c r="F201" s="1836">
        <v>0.05</v>
      </c>
    </row>
    <row r="202" spans="1:6" ht="24.75" thickBot="1">
      <c r="A202" s="1830" t="s">
        <v>1613</v>
      </c>
      <c r="B202" s="1834" t="s">
        <v>2376</v>
      </c>
      <c r="C202" s="1844"/>
      <c r="D202" s="1844"/>
      <c r="E202" s="1844"/>
      <c r="F202" s="1836">
        <v>0.05</v>
      </c>
    </row>
    <row r="203" spans="1:6" ht="24.75" thickBot="1">
      <c r="A203" s="1830" t="s">
        <v>1613</v>
      </c>
      <c r="B203" s="1834" t="s">
        <v>2377</v>
      </c>
      <c r="C203" s="1844"/>
      <c r="D203" s="1844"/>
      <c r="E203" s="1844"/>
      <c r="F203" s="1836">
        <v>0.05</v>
      </c>
    </row>
    <row r="204" spans="1:6" ht="14.25" thickBot="1">
      <c r="A204" s="1830" t="s">
        <v>1613</v>
      </c>
      <c r="B204" s="1834" t="s">
        <v>2378</v>
      </c>
      <c r="C204" s="1844"/>
      <c r="D204" s="1844"/>
      <c r="E204" s="1844"/>
      <c r="F204" s="1836">
        <v>0.05</v>
      </c>
    </row>
    <row r="205" spans="1:6" ht="14.25" thickBot="1">
      <c r="A205" s="1838" t="s">
        <v>1613</v>
      </c>
      <c r="B205" s="1845" t="s">
        <v>2379</v>
      </c>
      <c r="C205" s="1841"/>
      <c r="D205" s="1841"/>
      <c r="E205" s="1841"/>
      <c r="F205" s="1846">
        <v>0.05</v>
      </c>
    </row>
    <row r="206" spans="1:6" ht="14.25" thickBot="1">
      <c r="A206" s="1830" t="s">
        <v>1615</v>
      </c>
      <c r="B206" s="1831" t="s">
        <v>2380</v>
      </c>
      <c r="C206" s="1832">
        <v>0.15</v>
      </c>
      <c r="D206" s="1832">
        <v>0.15</v>
      </c>
      <c r="E206" s="1832">
        <v>0.15</v>
      </c>
      <c r="F206" s="1833">
        <v>0.15</v>
      </c>
    </row>
    <row r="207" spans="1:6" ht="14.25" thickBot="1">
      <c r="A207" s="1830" t="s">
        <v>1615</v>
      </c>
      <c r="B207" s="1834" t="s">
        <v>1279</v>
      </c>
      <c r="C207" s="1835">
        <v>0.15</v>
      </c>
      <c r="D207" s="1835">
        <v>0.15</v>
      </c>
      <c r="E207" s="1835">
        <v>0.15</v>
      </c>
      <c r="F207" s="1836">
        <v>0.14399999999999999</v>
      </c>
    </row>
    <row r="208" spans="1:6" ht="14.25" thickBot="1">
      <c r="A208" s="1830" t="s">
        <v>1615</v>
      </c>
      <c r="B208" s="1834" t="s">
        <v>1293</v>
      </c>
      <c r="C208" s="1835">
        <v>0.15</v>
      </c>
      <c r="D208" s="1835">
        <v>0.15</v>
      </c>
      <c r="E208" s="1835">
        <v>0.15</v>
      </c>
      <c r="F208" s="1836">
        <v>0.15</v>
      </c>
    </row>
    <row r="209" spans="1:6" ht="14.25" thickBot="1">
      <c r="A209" s="1830" t="s">
        <v>1615</v>
      </c>
      <c r="B209" s="1834" t="s">
        <v>1306</v>
      </c>
      <c r="C209" s="1835">
        <v>0.13700000000000001</v>
      </c>
      <c r="D209" s="1835">
        <v>0.13700000000000001</v>
      </c>
      <c r="E209" s="1835">
        <v>0.14000000000000001</v>
      </c>
      <c r="F209" s="1836">
        <v>0.11700000000000001</v>
      </c>
    </row>
    <row r="210" spans="1:6" ht="14.25" thickBot="1">
      <c r="A210" s="1830" t="s">
        <v>1615</v>
      </c>
      <c r="B210" s="1834" t="s">
        <v>2381</v>
      </c>
      <c r="C210" s="1835">
        <v>0.15</v>
      </c>
      <c r="D210" s="1835">
        <v>0.15</v>
      </c>
      <c r="E210" s="1835">
        <v>0.15</v>
      </c>
      <c r="F210" s="1836">
        <v>0.13800000000000001</v>
      </c>
    </row>
    <row r="211" spans="1:6" ht="14.25" thickBot="1">
      <c r="A211" s="1830" t="s">
        <v>1615</v>
      </c>
      <c r="B211" s="1834" t="s">
        <v>2382</v>
      </c>
      <c r="C211" s="1835">
        <v>0.13700000000000001</v>
      </c>
      <c r="D211" s="1835">
        <v>0.13500000000000001</v>
      </c>
      <c r="E211" s="1835">
        <v>0.13600000000000001</v>
      </c>
      <c r="F211" s="1836">
        <v>0.1</v>
      </c>
    </row>
    <row r="212" spans="1:6" ht="14.25" thickBot="1">
      <c r="A212" s="1830" t="s">
        <v>1615</v>
      </c>
      <c r="B212" s="1834" t="s">
        <v>2383</v>
      </c>
      <c r="C212" s="1835">
        <v>0.15</v>
      </c>
      <c r="D212" s="1835">
        <v>0.15</v>
      </c>
      <c r="E212" s="1835">
        <v>0.14799999999999999</v>
      </c>
      <c r="F212" s="1836">
        <v>0.13600000000000001</v>
      </c>
    </row>
    <row r="213" spans="1:6" ht="14.25" thickBot="1">
      <c r="A213" s="1830" t="s">
        <v>1615</v>
      </c>
      <c r="B213" s="1834" t="s">
        <v>1353</v>
      </c>
      <c r="C213" s="1835">
        <v>0.15</v>
      </c>
      <c r="D213" s="1835">
        <v>0.15</v>
      </c>
      <c r="E213" s="1835">
        <v>0.15</v>
      </c>
      <c r="F213" s="1836">
        <v>0.13800000000000001</v>
      </c>
    </row>
    <row r="214" spans="1:6" ht="14.25" thickBot="1">
      <c r="A214" s="1830" t="s">
        <v>1615</v>
      </c>
      <c r="B214" s="1834" t="s">
        <v>1365</v>
      </c>
      <c r="C214" s="1835">
        <v>9.0999999999999998E-2</v>
      </c>
      <c r="D214" s="1835">
        <v>0.09</v>
      </c>
      <c r="E214" s="1835">
        <v>9.1999999999999998E-2</v>
      </c>
      <c r="F214" s="1843"/>
    </row>
    <row r="215" spans="1:6" ht="14.25" thickBot="1">
      <c r="A215" s="1830" t="s">
        <v>1615</v>
      </c>
      <c r="B215" s="1834" t="s">
        <v>2384</v>
      </c>
      <c r="C215" s="1835">
        <v>0.15</v>
      </c>
      <c r="D215" s="1835">
        <v>0.15</v>
      </c>
      <c r="E215" s="1835">
        <v>0.15</v>
      </c>
      <c r="F215" s="1836">
        <v>0.15</v>
      </c>
    </row>
    <row r="216" spans="1:6" ht="14.25" thickBot="1">
      <c r="A216" s="1830" t="s">
        <v>1615</v>
      </c>
      <c r="B216" s="1834" t="s">
        <v>1385</v>
      </c>
      <c r="C216" s="1835">
        <v>0.14699999999999999</v>
      </c>
      <c r="D216" s="1835">
        <v>0.14699999999999999</v>
      </c>
      <c r="E216" s="1835">
        <v>0.15</v>
      </c>
      <c r="F216" s="1836">
        <v>0.14000000000000001</v>
      </c>
    </row>
    <row r="217" spans="1:6" ht="14.25" thickBot="1">
      <c r="A217" s="1830" t="s">
        <v>1615</v>
      </c>
      <c r="B217" s="1834" t="s">
        <v>1395</v>
      </c>
      <c r="C217" s="1835">
        <v>0.15</v>
      </c>
      <c r="D217" s="1835">
        <v>0.15</v>
      </c>
      <c r="E217" s="1835">
        <v>0.15</v>
      </c>
      <c r="F217" s="1836">
        <v>0.15</v>
      </c>
    </row>
    <row r="218" spans="1:6" ht="14.25" thickBot="1">
      <c r="A218" s="1830" t="s">
        <v>1615</v>
      </c>
      <c r="B218" s="1834" t="s">
        <v>2385</v>
      </c>
      <c r="C218" s="1835">
        <v>0.15</v>
      </c>
      <c r="D218" s="1835">
        <v>0.15</v>
      </c>
      <c r="E218" s="1835">
        <v>0.15</v>
      </c>
      <c r="F218" s="1836">
        <v>0.15</v>
      </c>
    </row>
    <row r="219" spans="1:6" ht="14.25" thickBot="1">
      <c r="A219" s="1830" t="s">
        <v>1615</v>
      </c>
      <c r="B219" s="1834" t="s">
        <v>1415</v>
      </c>
      <c r="C219" s="1835">
        <v>0.15</v>
      </c>
      <c r="D219" s="1835">
        <v>0.15</v>
      </c>
      <c r="E219" s="1835">
        <v>0.15</v>
      </c>
      <c r="F219" s="1836">
        <v>0.14799999999999999</v>
      </c>
    </row>
    <row r="220" spans="1:6" ht="14.25" thickBot="1">
      <c r="A220" s="1830" t="s">
        <v>1615</v>
      </c>
      <c r="B220" s="1834" t="s">
        <v>2386</v>
      </c>
      <c r="C220" s="1835">
        <v>0.15</v>
      </c>
      <c r="D220" s="1835">
        <v>0.15</v>
      </c>
      <c r="E220" s="1835">
        <v>0.15</v>
      </c>
      <c r="F220" s="1836">
        <v>0.15</v>
      </c>
    </row>
    <row r="221" spans="1:6" ht="14.25" thickBot="1">
      <c r="A221" s="1830" t="s">
        <v>1615</v>
      </c>
      <c r="B221" s="1834" t="s">
        <v>1435</v>
      </c>
      <c r="C221" s="1835"/>
      <c r="D221" s="1844"/>
      <c r="E221" s="1844"/>
      <c r="F221" s="1836">
        <v>0.14799999999999999</v>
      </c>
    </row>
    <row r="222" spans="1:6" ht="14.25" thickBot="1">
      <c r="A222" s="1830" t="s">
        <v>1615</v>
      </c>
      <c r="B222" s="1834" t="s">
        <v>1445</v>
      </c>
      <c r="C222" s="1835"/>
      <c r="D222" s="1844"/>
      <c r="E222" s="1844"/>
      <c r="F222" s="1836">
        <v>0.1</v>
      </c>
    </row>
    <row r="223" spans="1:6" ht="14.25" thickBot="1">
      <c r="A223" s="1830" t="s">
        <v>1615</v>
      </c>
      <c r="B223" s="1834" t="s">
        <v>1455</v>
      </c>
      <c r="C223" s="1835"/>
      <c r="D223" s="1844"/>
      <c r="E223" s="1844"/>
      <c r="F223" s="1836">
        <v>0.15</v>
      </c>
    </row>
    <row r="224" spans="1:6" ht="14.25" thickBot="1">
      <c r="A224" s="1830" t="s">
        <v>1615</v>
      </c>
      <c r="B224" s="1834" t="s">
        <v>1465</v>
      </c>
      <c r="C224" s="1835"/>
      <c r="D224" s="1844"/>
      <c r="E224" s="1844"/>
      <c r="F224" s="1836">
        <v>0.15</v>
      </c>
    </row>
    <row r="225" spans="1:6" ht="14.25" thickBot="1">
      <c r="A225" s="1830" t="s">
        <v>1615</v>
      </c>
      <c r="B225" s="1834" t="s">
        <v>2387</v>
      </c>
      <c r="C225" s="1835">
        <v>0.15</v>
      </c>
      <c r="D225" s="1835">
        <v>0.15</v>
      </c>
      <c r="E225" s="1835">
        <v>0.15</v>
      </c>
      <c r="F225" s="1836">
        <v>0.15</v>
      </c>
    </row>
    <row r="226" spans="1:6" ht="14.25" thickBot="1">
      <c r="A226" s="1830" t="s">
        <v>1615</v>
      </c>
      <c r="B226" s="1834" t="s">
        <v>1483</v>
      </c>
      <c r="C226" s="1835">
        <v>0.15</v>
      </c>
      <c r="D226" s="1835">
        <v>0.15</v>
      </c>
      <c r="E226" s="1835">
        <v>0.15</v>
      </c>
      <c r="F226" s="1836">
        <v>0.14799999999999999</v>
      </c>
    </row>
    <row r="227" spans="1:6" ht="14.25" thickBot="1">
      <c r="A227" s="1830" t="s">
        <v>1615</v>
      </c>
      <c r="B227" s="1834" t="s">
        <v>2388</v>
      </c>
      <c r="C227" s="1835">
        <v>0.15</v>
      </c>
      <c r="D227" s="1835">
        <v>0.15</v>
      </c>
      <c r="E227" s="1835">
        <v>0.15</v>
      </c>
      <c r="F227" s="1836">
        <v>0.15</v>
      </c>
    </row>
    <row r="228" spans="1:6" ht="14.25" thickBot="1">
      <c r="A228" s="1830" t="s">
        <v>1615</v>
      </c>
      <c r="B228" s="1834" t="s">
        <v>1498</v>
      </c>
      <c r="C228" s="1835">
        <v>0.15</v>
      </c>
      <c r="D228" s="1835">
        <v>0.15</v>
      </c>
      <c r="E228" s="1835">
        <v>0.15</v>
      </c>
      <c r="F228" s="1836">
        <v>0.15</v>
      </c>
    </row>
    <row r="229" spans="1:6" ht="14.25" thickBot="1">
      <c r="A229" s="1830" t="s">
        <v>1615</v>
      </c>
      <c r="B229" s="1834" t="s">
        <v>1505</v>
      </c>
      <c r="C229" s="1835">
        <v>0.15</v>
      </c>
      <c r="D229" s="1835">
        <v>0.15</v>
      </c>
      <c r="E229" s="1835">
        <v>0.15</v>
      </c>
      <c r="F229" s="1843"/>
    </row>
    <row r="230" spans="1:6" ht="14.25" thickBot="1">
      <c r="A230" s="1830" t="s">
        <v>1615</v>
      </c>
      <c r="B230" s="1834" t="s">
        <v>1512</v>
      </c>
      <c r="C230" s="1835">
        <v>0.14499999999999999</v>
      </c>
      <c r="D230" s="1835">
        <v>0.14499999999999999</v>
      </c>
      <c r="E230" s="1835">
        <v>0.14399999999999999</v>
      </c>
      <c r="F230" s="1843"/>
    </row>
    <row r="231" spans="1:6" ht="14.25" thickBot="1">
      <c r="A231" s="1830" t="s">
        <v>1615</v>
      </c>
      <c r="B231" s="1834" t="s">
        <v>2389</v>
      </c>
      <c r="C231" s="1835">
        <v>0.128</v>
      </c>
      <c r="D231" s="1835">
        <v>0.125</v>
      </c>
      <c r="E231" s="1835">
        <v>0.13200000000000001</v>
      </c>
      <c r="F231" s="1843"/>
    </row>
    <row r="232" spans="1:6" ht="14.25" thickBot="1">
      <c r="A232" s="1830" t="s">
        <v>1615</v>
      </c>
      <c r="B232" s="1834" t="s">
        <v>2390</v>
      </c>
      <c r="C232" s="1835">
        <v>0.14499999999999999</v>
      </c>
      <c r="D232" s="1835">
        <v>0.14399999999999999</v>
      </c>
      <c r="E232" s="1835">
        <v>0.14599999999999999</v>
      </c>
      <c r="F232" s="1836">
        <v>0.13800000000000001</v>
      </c>
    </row>
    <row r="233" spans="1:6" ht="14.25" thickBot="1">
      <c r="A233" s="1830" t="s">
        <v>1615</v>
      </c>
      <c r="B233" s="1834" t="s">
        <v>2391</v>
      </c>
      <c r="C233" s="1835">
        <v>0.14499999999999999</v>
      </c>
      <c r="D233" s="1835">
        <v>0.14299999999999999</v>
      </c>
      <c r="E233" s="1835">
        <v>0.14199999999999999</v>
      </c>
      <c r="F233" s="1843"/>
    </row>
    <row r="234" spans="1:6" ht="14.25" thickBot="1">
      <c r="A234" s="1830" t="s">
        <v>1615</v>
      </c>
      <c r="B234" s="1834" t="s">
        <v>2392</v>
      </c>
      <c r="C234" s="1835">
        <v>0.14000000000000001</v>
      </c>
      <c r="D234" s="1835">
        <v>0.14000000000000001</v>
      </c>
      <c r="E234" s="1835">
        <v>0.14399999999999999</v>
      </c>
      <c r="F234" s="1843"/>
    </row>
    <row r="235" spans="1:6" ht="14.25" thickBot="1">
      <c r="A235" s="1830" t="s">
        <v>1615</v>
      </c>
      <c r="B235" s="1834" t="s">
        <v>2393</v>
      </c>
      <c r="C235" s="1835">
        <v>0.14099999999999999</v>
      </c>
      <c r="D235" s="1835">
        <v>0.14199999999999999</v>
      </c>
      <c r="E235" s="1835">
        <v>0.14499999999999999</v>
      </c>
      <c r="F235" s="1836">
        <v>0.15</v>
      </c>
    </row>
    <row r="236" spans="1:6" ht="14.25" thickBot="1">
      <c r="A236" s="1830" t="s">
        <v>1615</v>
      </c>
      <c r="B236" s="1834" t="s">
        <v>1547</v>
      </c>
      <c r="C236" s="1844"/>
      <c r="D236" s="1844"/>
      <c r="E236" s="1844"/>
      <c r="F236" s="1836">
        <v>0.14299999999999999</v>
      </c>
    </row>
    <row r="237" spans="1:6" ht="24.75" thickBot="1">
      <c r="A237" s="1830" t="s">
        <v>1615</v>
      </c>
      <c r="B237" s="1834" t="s">
        <v>2394</v>
      </c>
      <c r="C237" s="1844"/>
      <c r="D237" s="1844"/>
      <c r="E237" s="1844"/>
      <c r="F237" s="1836">
        <v>0.05</v>
      </c>
    </row>
    <row r="238" spans="1:6" ht="24.75" thickBot="1">
      <c r="A238" s="1830" t="s">
        <v>1615</v>
      </c>
      <c r="B238" s="1834" t="s">
        <v>2395</v>
      </c>
      <c r="C238" s="1844"/>
      <c r="D238" s="1844"/>
      <c r="E238" s="1844"/>
      <c r="F238" s="1836">
        <v>0.05</v>
      </c>
    </row>
    <row r="239" spans="1:6" ht="24.75" thickBot="1">
      <c r="A239" s="1830" t="s">
        <v>1615</v>
      </c>
      <c r="B239" s="1834" t="s">
        <v>2396</v>
      </c>
      <c r="C239" s="1844"/>
      <c r="D239" s="1844"/>
      <c r="E239" s="1844"/>
      <c r="F239" s="1836">
        <v>0.05</v>
      </c>
    </row>
    <row r="240" spans="1:6" ht="24.75" thickBot="1">
      <c r="A240" s="1830" t="s">
        <v>1615</v>
      </c>
      <c r="B240" s="1834" t="s">
        <v>2397</v>
      </c>
      <c r="C240" s="1844"/>
      <c r="D240" s="1844"/>
      <c r="E240" s="1844"/>
      <c r="F240" s="1836">
        <v>0.05</v>
      </c>
    </row>
    <row r="241" spans="1:6" ht="24.75" thickBot="1">
      <c r="A241" s="1830" t="s">
        <v>1615</v>
      </c>
      <c r="B241" s="1834" t="s">
        <v>2398</v>
      </c>
      <c r="C241" s="1844"/>
      <c r="D241" s="1844"/>
      <c r="E241" s="1844"/>
      <c r="F241" s="1836">
        <v>0.05</v>
      </c>
    </row>
    <row r="242" spans="1:6" ht="24.75" thickBot="1">
      <c r="A242" s="1830" t="s">
        <v>1615</v>
      </c>
      <c r="B242" s="1834" t="s">
        <v>2399</v>
      </c>
      <c r="C242" s="1844"/>
      <c r="D242" s="1844"/>
      <c r="E242" s="1844"/>
      <c r="F242" s="1836">
        <v>0.05</v>
      </c>
    </row>
    <row r="243" spans="1:6" ht="24.75" thickBot="1">
      <c r="A243" s="1830" t="s">
        <v>1615</v>
      </c>
      <c r="B243" s="1834" t="s">
        <v>2400</v>
      </c>
      <c r="C243" s="1844"/>
      <c r="D243" s="1844"/>
      <c r="E243" s="1844"/>
      <c r="F243" s="1836">
        <v>0.05</v>
      </c>
    </row>
    <row r="244" spans="1:6" ht="24.75" thickBot="1">
      <c r="A244" s="1838" t="s">
        <v>1615</v>
      </c>
      <c r="B244" s="1845" t="s">
        <v>2401</v>
      </c>
      <c r="C244" s="1841"/>
      <c r="D244" s="1841"/>
      <c r="E244" s="1841"/>
      <c r="F244" s="1846">
        <v>0.05</v>
      </c>
    </row>
    <row r="245" spans="1:6" ht="14.25" thickBot="1">
      <c r="A245" s="1830" t="s">
        <v>1617</v>
      </c>
      <c r="B245" s="1831" t="s">
        <v>2402</v>
      </c>
      <c r="C245" s="1832">
        <v>0.15</v>
      </c>
      <c r="D245" s="1832">
        <v>0.15</v>
      </c>
      <c r="E245" s="1832">
        <v>0.15</v>
      </c>
      <c r="F245" s="1833">
        <v>0.14299999999999999</v>
      </c>
    </row>
    <row r="246" spans="1:6" ht="14.25" thickBot="1">
      <c r="A246" s="1830" t="s">
        <v>1617</v>
      </c>
      <c r="B246" s="1834" t="s">
        <v>1280</v>
      </c>
      <c r="C246" s="1835">
        <v>0.15</v>
      </c>
      <c r="D246" s="1835">
        <v>0.15</v>
      </c>
      <c r="E246" s="1835">
        <v>0.15</v>
      </c>
      <c r="F246" s="1836">
        <v>0.114</v>
      </c>
    </row>
    <row r="247" spans="1:6" ht="14.25" thickBot="1">
      <c r="A247" s="1830" t="s">
        <v>1617</v>
      </c>
      <c r="B247" s="1834" t="s">
        <v>2403</v>
      </c>
      <c r="C247" s="1835">
        <v>0.15</v>
      </c>
      <c r="D247" s="1835">
        <v>0.15</v>
      </c>
      <c r="E247" s="1835">
        <v>0.15</v>
      </c>
      <c r="F247" s="1836">
        <v>0.15</v>
      </c>
    </row>
    <row r="248" spans="1:6" ht="14.25" thickBot="1">
      <c r="A248" s="1830" t="s">
        <v>1617</v>
      </c>
      <c r="B248" s="1834" t="s">
        <v>2404</v>
      </c>
      <c r="C248" s="1835">
        <v>0.15</v>
      </c>
      <c r="D248" s="1835">
        <v>0.15</v>
      </c>
      <c r="E248" s="1835">
        <v>0.15</v>
      </c>
      <c r="F248" s="1836">
        <v>0.14000000000000001</v>
      </c>
    </row>
    <row r="249" spans="1:6" ht="14.25" thickBot="1">
      <c r="A249" s="1830" t="s">
        <v>1617</v>
      </c>
      <c r="B249" s="1834" t="s">
        <v>2405</v>
      </c>
      <c r="C249" s="1835">
        <v>0.15</v>
      </c>
      <c r="D249" s="1835">
        <v>0.14899999999999999</v>
      </c>
      <c r="E249" s="1835">
        <v>0.15</v>
      </c>
      <c r="F249" s="1836">
        <v>0.1</v>
      </c>
    </row>
    <row r="250" spans="1:6" ht="14.25" thickBot="1">
      <c r="A250" s="1830" t="s">
        <v>1617</v>
      </c>
      <c r="B250" s="1834" t="s">
        <v>2406</v>
      </c>
      <c r="C250" s="1835">
        <v>0.15</v>
      </c>
      <c r="D250" s="1835">
        <v>0.15</v>
      </c>
      <c r="E250" s="1835">
        <v>0.15</v>
      </c>
      <c r="F250" s="1836">
        <v>0.14399999999999999</v>
      </c>
    </row>
    <row r="251" spans="1:6" ht="14.25" thickBot="1">
      <c r="A251" s="1830" t="s">
        <v>1617</v>
      </c>
      <c r="B251" s="1834" t="s">
        <v>1343</v>
      </c>
      <c r="C251" s="1835">
        <v>0.15</v>
      </c>
      <c r="D251" s="1835">
        <v>0.15</v>
      </c>
      <c r="E251" s="1835">
        <v>0.15</v>
      </c>
      <c r="F251" s="1836">
        <v>0.14299999999999999</v>
      </c>
    </row>
    <row r="252" spans="1:6" ht="14.25" thickBot="1">
      <c r="A252" s="1830" t="s">
        <v>1617</v>
      </c>
      <c r="B252" s="1834" t="s">
        <v>1354</v>
      </c>
      <c r="C252" s="1835">
        <v>0.15</v>
      </c>
      <c r="D252" s="1835">
        <v>0.15</v>
      </c>
      <c r="E252" s="1835">
        <v>0.15</v>
      </c>
      <c r="F252" s="1836">
        <v>0.1</v>
      </c>
    </row>
    <row r="253" spans="1:6" ht="14.25" thickBot="1">
      <c r="A253" s="1830" t="s">
        <v>1617</v>
      </c>
      <c r="B253" s="1834" t="s">
        <v>1366</v>
      </c>
      <c r="C253" s="1835">
        <v>0.15</v>
      </c>
      <c r="D253" s="1835">
        <v>0.15</v>
      </c>
      <c r="E253" s="1835">
        <v>0.15</v>
      </c>
      <c r="F253" s="1836">
        <v>0.1</v>
      </c>
    </row>
    <row r="254" spans="1:6" ht="14.25" thickBot="1">
      <c r="A254" s="1830" t="s">
        <v>1617</v>
      </c>
      <c r="B254" s="1834" t="s">
        <v>1376</v>
      </c>
      <c r="C254" s="1844"/>
      <c r="D254" s="1844"/>
      <c r="E254" s="1844"/>
      <c r="F254" s="1836">
        <v>0.15</v>
      </c>
    </row>
    <row r="255" spans="1:6" ht="14.25" thickBot="1">
      <c r="A255" s="1830" t="s">
        <v>1617</v>
      </c>
      <c r="B255" s="1834" t="s">
        <v>1386</v>
      </c>
      <c r="C255" s="1844"/>
      <c r="D255" s="1844"/>
      <c r="E255" s="1844"/>
      <c r="F255" s="1836">
        <v>0.14299999999999999</v>
      </c>
    </row>
    <row r="256" spans="1:6" ht="14.25" thickBot="1">
      <c r="A256" s="1830" t="s">
        <v>1617</v>
      </c>
      <c r="B256" s="1834" t="s">
        <v>2407</v>
      </c>
      <c r="C256" s="1835">
        <v>0.14599999999999999</v>
      </c>
      <c r="D256" s="1835">
        <v>0.14699999999999999</v>
      </c>
      <c r="E256" s="1835">
        <v>0.15</v>
      </c>
      <c r="F256" s="1836">
        <v>0.13200000000000001</v>
      </c>
    </row>
    <row r="257" spans="1:6" ht="14.25" thickBot="1">
      <c r="A257" s="1830" t="s">
        <v>1617</v>
      </c>
      <c r="B257" s="1834" t="s">
        <v>1406</v>
      </c>
      <c r="C257" s="1835">
        <v>0.15</v>
      </c>
      <c r="D257" s="1835">
        <v>0.15</v>
      </c>
      <c r="E257" s="1835">
        <v>0.15</v>
      </c>
      <c r="F257" s="1836">
        <v>0.13900000000000001</v>
      </c>
    </row>
    <row r="258" spans="1:6" ht="14.25" thickBot="1">
      <c r="A258" s="1830" t="s">
        <v>1617</v>
      </c>
      <c r="B258" s="1834" t="s">
        <v>1416</v>
      </c>
      <c r="C258" s="1835">
        <v>0.15</v>
      </c>
      <c r="D258" s="1835">
        <v>0.15</v>
      </c>
      <c r="E258" s="1835">
        <v>0.15</v>
      </c>
      <c r="F258" s="1836">
        <v>0.13</v>
      </c>
    </row>
    <row r="259" spans="1:6" ht="14.25" thickBot="1">
      <c r="A259" s="1830" t="s">
        <v>1617</v>
      </c>
      <c r="B259" s="1834" t="s">
        <v>2408</v>
      </c>
      <c r="C259" s="1835">
        <v>0.14799999999999999</v>
      </c>
      <c r="D259" s="1835">
        <v>0.14899999999999999</v>
      </c>
      <c r="E259" s="1835">
        <v>0.15</v>
      </c>
      <c r="F259" s="1836">
        <v>0.13700000000000001</v>
      </c>
    </row>
    <row r="260" spans="1:6" ht="14.25" thickBot="1">
      <c r="A260" s="1830" t="s">
        <v>1617</v>
      </c>
      <c r="B260" s="1834" t="s">
        <v>1436</v>
      </c>
      <c r="C260" s="1835">
        <v>0.15</v>
      </c>
      <c r="D260" s="1835">
        <v>0.15</v>
      </c>
      <c r="E260" s="1835">
        <v>0.15</v>
      </c>
      <c r="F260" s="1836">
        <v>0.14199999999999999</v>
      </c>
    </row>
    <row r="261" spans="1:6" ht="14.25" thickBot="1">
      <c r="A261" s="1830" t="s">
        <v>1617</v>
      </c>
      <c r="B261" s="1834" t="s">
        <v>1446</v>
      </c>
      <c r="C261" s="1835">
        <v>0.15</v>
      </c>
      <c r="D261" s="1835">
        <v>0.15</v>
      </c>
      <c r="E261" s="1835">
        <v>0.14899999999999999</v>
      </c>
      <c r="F261" s="1836">
        <v>0.14799999999999999</v>
      </c>
    </row>
    <row r="262" spans="1:6" ht="14.25" thickBot="1">
      <c r="A262" s="1830" t="s">
        <v>1617</v>
      </c>
      <c r="B262" s="1834" t="s">
        <v>1456</v>
      </c>
      <c r="C262" s="1835">
        <v>0.15</v>
      </c>
      <c r="D262" s="1835">
        <v>0.15</v>
      </c>
      <c r="E262" s="1835">
        <v>0.15</v>
      </c>
      <c r="F262" s="1843"/>
    </row>
    <row r="263" spans="1:6" ht="14.25" thickBot="1">
      <c r="A263" s="1830" t="s">
        <v>1617</v>
      </c>
      <c r="B263" s="1834" t="s">
        <v>2409</v>
      </c>
      <c r="C263" s="1835">
        <v>0.14899999999999999</v>
      </c>
      <c r="D263" s="1835">
        <v>0.14899999999999999</v>
      </c>
      <c r="E263" s="1835">
        <v>0.15</v>
      </c>
      <c r="F263" s="1836">
        <v>0.13</v>
      </c>
    </row>
    <row r="264" spans="1:6" ht="14.25" thickBot="1">
      <c r="A264" s="1830" t="s">
        <v>1617</v>
      </c>
      <c r="B264" s="1834" t="s">
        <v>1475</v>
      </c>
      <c r="C264" s="1835">
        <v>0.14799999999999999</v>
      </c>
      <c r="D264" s="1835">
        <v>0.14699999999999999</v>
      </c>
      <c r="E264" s="1835">
        <v>0.15</v>
      </c>
      <c r="F264" s="1836">
        <v>7.8E-2</v>
      </c>
    </row>
    <row r="265" spans="1:6" ht="14.25" thickBot="1">
      <c r="A265" s="1830" t="s">
        <v>1617</v>
      </c>
      <c r="B265" s="1834" t="s">
        <v>1484</v>
      </c>
      <c r="C265" s="1835">
        <v>0.15</v>
      </c>
      <c r="D265" s="1835">
        <v>0.15</v>
      </c>
      <c r="E265" s="1835">
        <v>0.15</v>
      </c>
      <c r="F265" s="1836">
        <v>7.3999999999999996E-2</v>
      </c>
    </row>
    <row r="266" spans="1:6" ht="14.25" thickBot="1">
      <c r="A266" s="1830" t="s">
        <v>1617</v>
      </c>
      <c r="B266" s="1834" t="s">
        <v>1492</v>
      </c>
      <c r="C266" s="1835">
        <v>0.14699999999999999</v>
      </c>
      <c r="D266" s="1835">
        <v>0.14699999999999999</v>
      </c>
      <c r="E266" s="1835">
        <v>0.15</v>
      </c>
      <c r="F266" s="1836">
        <v>0.14299999999999999</v>
      </c>
    </row>
    <row r="267" spans="1:6" ht="14.25" thickBot="1">
      <c r="A267" s="1830" t="s">
        <v>1617</v>
      </c>
      <c r="B267" s="1834" t="s">
        <v>1499</v>
      </c>
      <c r="C267" s="1835">
        <v>0.14199999999999999</v>
      </c>
      <c r="D267" s="1835">
        <v>0.14299999999999999</v>
      </c>
      <c r="E267" s="1835">
        <v>0.15</v>
      </c>
      <c r="F267" s="1843"/>
    </row>
    <row r="268" spans="1:6" ht="14.25" thickBot="1">
      <c r="A268" s="1830" t="s">
        <v>1617</v>
      </c>
      <c r="B268" s="1834" t="s">
        <v>2410</v>
      </c>
      <c r="C268" s="1835">
        <v>0.15</v>
      </c>
      <c r="D268" s="1835">
        <v>0.15</v>
      </c>
      <c r="E268" s="1835">
        <v>0.15</v>
      </c>
      <c r="F268" s="1836">
        <v>0.13</v>
      </c>
    </row>
    <row r="269" spans="1:6" ht="14.25" thickBot="1">
      <c r="A269" s="1830" t="s">
        <v>1617</v>
      </c>
      <c r="B269" s="1834" t="s">
        <v>1513</v>
      </c>
      <c r="C269" s="1835">
        <v>0.15</v>
      </c>
      <c r="D269" s="1835">
        <v>0.15</v>
      </c>
      <c r="E269" s="1835">
        <v>0.15</v>
      </c>
      <c r="F269" s="1836">
        <v>0.14299999999999999</v>
      </c>
    </row>
    <row r="270" spans="1:6" ht="14.25" thickBot="1">
      <c r="A270" s="1830" t="s">
        <v>1617</v>
      </c>
      <c r="B270" s="1834" t="s">
        <v>1520</v>
      </c>
      <c r="C270" s="1835">
        <v>0.14499999999999999</v>
      </c>
      <c r="D270" s="1835">
        <v>0.14499999999999999</v>
      </c>
      <c r="E270" s="1835">
        <v>0.15</v>
      </c>
      <c r="F270" s="1836">
        <v>0.14699999999999999</v>
      </c>
    </row>
    <row r="271" spans="1:6" ht="14.25" thickBot="1">
      <c r="A271" s="1830" t="s">
        <v>1617</v>
      </c>
      <c r="B271" s="1834" t="s">
        <v>1527</v>
      </c>
      <c r="C271" s="1835">
        <v>0.15</v>
      </c>
      <c r="D271" s="1835">
        <v>0.15</v>
      </c>
      <c r="E271" s="1835">
        <v>0.15</v>
      </c>
      <c r="F271" s="1836">
        <v>0.13800000000000001</v>
      </c>
    </row>
    <row r="272" spans="1:6" ht="14.25" thickBot="1">
      <c r="A272" s="1830" t="s">
        <v>1617</v>
      </c>
      <c r="B272" s="1834" t="s">
        <v>1534</v>
      </c>
      <c r="C272" s="1844"/>
      <c r="D272" s="1844"/>
      <c r="E272" s="1844"/>
      <c r="F272" s="1836">
        <v>0.14000000000000001</v>
      </c>
    </row>
    <row r="273" spans="1:6" ht="14.25" thickBot="1">
      <c r="A273" s="1830" t="s">
        <v>1617</v>
      </c>
      <c r="B273" s="1834" t="s">
        <v>2411</v>
      </c>
      <c r="C273" s="1835">
        <v>0.14199999999999999</v>
      </c>
      <c r="D273" s="1835">
        <v>0.14299999999999999</v>
      </c>
      <c r="E273" s="1835">
        <v>0.15</v>
      </c>
      <c r="F273" s="1836">
        <v>0.1</v>
      </c>
    </row>
    <row r="274" spans="1:6" ht="14.25" thickBot="1">
      <c r="A274" s="1830" t="s">
        <v>1617</v>
      </c>
      <c r="B274" s="1834" t="s">
        <v>2412</v>
      </c>
      <c r="C274" s="1835">
        <v>0.14799999999999999</v>
      </c>
      <c r="D274" s="1835">
        <v>0.14799999999999999</v>
      </c>
      <c r="E274" s="1835">
        <v>0.15</v>
      </c>
      <c r="F274" s="1836">
        <v>6.7000000000000004E-2</v>
      </c>
    </row>
    <row r="275" spans="1:6" ht="14.25" thickBot="1">
      <c r="A275" s="1830" t="s">
        <v>1617</v>
      </c>
      <c r="B275" s="1834" t="s">
        <v>2413</v>
      </c>
      <c r="C275" s="1835">
        <v>0.15</v>
      </c>
      <c r="D275" s="1835">
        <v>0.15</v>
      </c>
      <c r="E275" s="1835">
        <v>0.15</v>
      </c>
      <c r="F275" s="1836">
        <v>0.15</v>
      </c>
    </row>
    <row r="276" spans="1:6" ht="14.25" thickBot="1">
      <c r="A276" s="1830" t="s">
        <v>1617</v>
      </c>
      <c r="B276" s="1834" t="s">
        <v>2414</v>
      </c>
      <c r="C276" s="1835">
        <v>0.14499999999999999</v>
      </c>
      <c r="D276" s="1835">
        <v>0.14299999999999999</v>
      </c>
      <c r="E276" s="1835">
        <v>0.15</v>
      </c>
      <c r="F276" s="1836">
        <v>5.8999999999999997E-2</v>
      </c>
    </row>
    <row r="277" spans="1:6" ht="14.25" thickBot="1">
      <c r="A277" s="1830" t="s">
        <v>1617</v>
      </c>
      <c r="B277" s="1834" t="s">
        <v>2415</v>
      </c>
      <c r="C277" s="1835">
        <v>0.15</v>
      </c>
      <c r="D277" s="1835">
        <v>0.15</v>
      </c>
      <c r="E277" s="1835">
        <v>0.15</v>
      </c>
      <c r="F277" s="1836">
        <v>0.121</v>
      </c>
    </row>
    <row r="278" spans="1:6" ht="14.25" thickBot="1">
      <c r="A278" s="1830" t="s">
        <v>1617</v>
      </c>
      <c r="B278" s="1834" t="s">
        <v>2416</v>
      </c>
      <c r="C278" s="1835">
        <v>0.15</v>
      </c>
      <c r="D278" s="1835">
        <v>0.15</v>
      </c>
      <c r="E278" s="1835">
        <v>0.15</v>
      </c>
      <c r="F278" s="1836">
        <v>0.13800000000000001</v>
      </c>
    </row>
    <row r="279" spans="1:6" ht="24.75" thickBot="1">
      <c r="A279" s="1830" t="s">
        <v>1617</v>
      </c>
      <c r="B279" s="1834" t="s">
        <v>2417</v>
      </c>
      <c r="C279" s="1844"/>
      <c r="D279" s="1844"/>
      <c r="E279" s="1844"/>
      <c r="F279" s="1836">
        <v>0.05</v>
      </c>
    </row>
    <row r="280" spans="1:6" ht="24.75" thickBot="1">
      <c r="A280" s="1830" t="s">
        <v>1617</v>
      </c>
      <c r="B280" s="1834" t="s">
        <v>2418</v>
      </c>
      <c r="C280" s="1844"/>
      <c r="D280" s="1844"/>
      <c r="E280" s="1844"/>
      <c r="F280" s="1836">
        <v>0.05</v>
      </c>
    </row>
    <row r="281" spans="1:6" ht="24.75" thickBot="1">
      <c r="A281" s="1830" t="s">
        <v>1617</v>
      </c>
      <c r="B281" s="1834" t="s">
        <v>2419</v>
      </c>
      <c r="C281" s="1844"/>
      <c r="D281" s="1844"/>
      <c r="E281" s="1844"/>
      <c r="F281" s="1836">
        <v>0.05</v>
      </c>
    </row>
    <row r="282" spans="1:6" ht="24.75" thickBot="1">
      <c r="A282" s="1830" t="s">
        <v>1617</v>
      </c>
      <c r="B282" s="1834" t="s">
        <v>2420</v>
      </c>
      <c r="C282" s="1844"/>
      <c r="D282" s="1844"/>
      <c r="E282" s="1844"/>
      <c r="F282" s="1836">
        <v>0.05</v>
      </c>
    </row>
    <row r="283" spans="1:6" ht="24.75" thickBot="1">
      <c r="A283" s="1830" t="s">
        <v>1617</v>
      </c>
      <c r="B283" s="1834" t="s">
        <v>2421</v>
      </c>
      <c r="C283" s="1844"/>
      <c r="D283" s="1844"/>
      <c r="E283" s="1844"/>
      <c r="F283" s="1836">
        <v>0.05</v>
      </c>
    </row>
    <row r="284" spans="1:6" ht="24.75" thickBot="1">
      <c r="A284" s="1830" t="s">
        <v>1617</v>
      </c>
      <c r="B284" s="1834" t="s">
        <v>2422</v>
      </c>
      <c r="C284" s="1844"/>
      <c r="D284" s="1844"/>
      <c r="E284" s="1844"/>
      <c r="F284" s="1836">
        <v>0.05</v>
      </c>
    </row>
    <row r="285" spans="1:6" ht="24.75" thickBot="1">
      <c r="A285" s="1830" t="s">
        <v>1617</v>
      </c>
      <c r="B285" s="1834" t="s">
        <v>2423</v>
      </c>
      <c r="C285" s="1844"/>
      <c r="D285" s="1844"/>
      <c r="E285" s="1844"/>
      <c r="F285" s="1836">
        <v>0.05</v>
      </c>
    </row>
    <row r="286" spans="1:6" ht="24.75" thickBot="1">
      <c r="A286" s="1830" t="s">
        <v>1617</v>
      </c>
      <c r="B286" s="1834" t="s">
        <v>2424</v>
      </c>
      <c r="C286" s="1844"/>
      <c r="D286" s="1844"/>
      <c r="E286" s="1844"/>
      <c r="F286" s="1836">
        <v>0.05</v>
      </c>
    </row>
    <row r="287" spans="1:6" ht="24.75" thickBot="1">
      <c r="A287" s="1830" t="s">
        <v>1617</v>
      </c>
      <c r="B287" s="1834" t="s">
        <v>2425</v>
      </c>
      <c r="C287" s="1844"/>
      <c r="D287" s="1844"/>
      <c r="E287" s="1844"/>
      <c r="F287" s="1836">
        <v>0.05</v>
      </c>
    </row>
    <row r="288" spans="1:6" ht="24.75" thickBot="1">
      <c r="A288" s="1830" t="s">
        <v>1617</v>
      </c>
      <c r="B288" s="1834" t="s">
        <v>2426</v>
      </c>
      <c r="C288" s="1844"/>
      <c r="D288" s="1844"/>
      <c r="E288" s="1844"/>
      <c r="F288" s="1836">
        <v>0.05</v>
      </c>
    </row>
    <row r="289" spans="1:6" ht="24.75" thickBot="1">
      <c r="A289" s="1838" t="s">
        <v>1617</v>
      </c>
      <c r="B289" s="1845" t="s">
        <v>2427</v>
      </c>
      <c r="C289" s="1841"/>
      <c r="D289" s="1841"/>
      <c r="E289" s="1841"/>
      <c r="F289" s="1846">
        <v>0.05</v>
      </c>
    </row>
    <row r="290" spans="1:6" ht="14.25" thickBot="1">
      <c r="A290" s="1830" t="s">
        <v>1621</v>
      </c>
      <c r="B290" s="1831" t="s">
        <v>2428</v>
      </c>
      <c r="C290" s="1832">
        <v>0.15</v>
      </c>
      <c r="D290" s="1832">
        <v>0.15</v>
      </c>
      <c r="E290" s="1832">
        <v>0.15</v>
      </c>
      <c r="F290" s="1854"/>
    </row>
    <row r="291" spans="1:6" ht="14.25" thickBot="1">
      <c r="A291" s="1830" t="s">
        <v>1621</v>
      </c>
      <c r="B291" s="1834" t="s">
        <v>1281</v>
      </c>
      <c r="C291" s="1835">
        <v>0.15</v>
      </c>
      <c r="D291" s="1835">
        <v>0.15</v>
      </c>
      <c r="E291" s="1835">
        <v>0.15</v>
      </c>
      <c r="F291" s="1843"/>
    </row>
    <row r="292" spans="1:6" ht="14.25" thickBot="1">
      <c r="A292" s="1830" t="s">
        <v>1621</v>
      </c>
      <c r="B292" s="1834" t="s">
        <v>2429</v>
      </c>
      <c r="C292" s="1835">
        <v>0.15</v>
      </c>
      <c r="D292" s="1835">
        <v>0.15</v>
      </c>
      <c r="E292" s="1835">
        <v>0.15</v>
      </c>
      <c r="F292" s="1836">
        <v>0.14699999999999999</v>
      </c>
    </row>
    <row r="293" spans="1:6" ht="14.25" thickBot="1">
      <c r="A293" s="1830" t="s">
        <v>1621</v>
      </c>
      <c r="B293" s="1834" t="s">
        <v>2430</v>
      </c>
      <c r="C293" s="1844"/>
      <c r="D293" s="1844"/>
      <c r="E293" s="1844"/>
      <c r="F293" s="1836">
        <v>0.1</v>
      </c>
    </row>
    <row r="294" spans="1:6" ht="14.25" thickBot="1">
      <c r="A294" s="1830" t="s">
        <v>1621</v>
      </c>
      <c r="B294" s="1834" t="s">
        <v>2431</v>
      </c>
      <c r="C294" s="1835">
        <v>0.15</v>
      </c>
      <c r="D294" s="1835">
        <v>0.15</v>
      </c>
      <c r="E294" s="1835">
        <v>0.15</v>
      </c>
      <c r="F294" s="1836">
        <v>0.15</v>
      </c>
    </row>
    <row r="295" spans="1:6" ht="14.25" thickBot="1">
      <c r="A295" s="1830" t="s">
        <v>1621</v>
      </c>
      <c r="B295" s="1834" t="s">
        <v>1322</v>
      </c>
      <c r="C295" s="1835">
        <v>0.15</v>
      </c>
      <c r="D295" s="1835">
        <v>0.15</v>
      </c>
      <c r="E295" s="1835">
        <v>0.15</v>
      </c>
      <c r="F295" s="1836">
        <v>0.15</v>
      </c>
    </row>
    <row r="296" spans="1:6" ht="14.25" thickBot="1">
      <c r="A296" s="1830" t="s">
        <v>1621</v>
      </c>
      <c r="B296" s="1834" t="s">
        <v>2432</v>
      </c>
      <c r="C296" s="1835">
        <v>0.15</v>
      </c>
      <c r="D296" s="1835">
        <v>0.15</v>
      </c>
      <c r="E296" s="1835">
        <v>0.15</v>
      </c>
      <c r="F296" s="1836">
        <v>0.15</v>
      </c>
    </row>
    <row r="297" spans="1:6" ht="14.25" thickBot="1">
      <c r="A297" s="1830" t="s">
        <v>1621</v>
      </c>
      <c r="B297" s="1834" t="s">
        <v>2433</v>
      </c>
      <c r="C297" s="1835">
        <v>0.14799999999999999</v>
      </c>
      <c r="D297" s="1835">
        <v>0.14899999999999999</v>
      </c>
      <c r="E297" s="1835">
        <v>0.15</v>
      </c>
      <c r="F297" s="1836">
        <v>0.13700000000000001</v>
      </c>
    </row>
    <row r="298" spans="1:6" ht="14.25" thickBot="1">
      <c r="A298" s="1830" t="s">
        <v>1621</v>
      </c>
      <c r="B298" s="1834" t="s">
        <v>1355</v>
      </c>
      <c r="C298" s="1835">
        <v>0.13400000000000001</v>
      </c>
      <c r="D298" s="1835">
        <v>0.13400000000000001</v>
      </c>
      <c r="E298" s="1835">
        <v>0.14499999999999999</v>
      </c>
      <c r="F298" s="1836">
        <v>0.14799999999999999</v>
      </c>
    </row>
    <row r="299" spans="1:6" ht="14.25" thickBot="1">
      <c r="A299" s="1830" t="s">
        <v>1621</v>
      </c>
      <c r="B299" s="1834" t="s">
        <v>1367</v>
      </c>
      <c r="C299" s="1835">
        <v>0.15</v>
      </c>
      <c r="D299" s="1835">
        <v>0.15</v>
      </c>
      <c r="E299" s="1835">
        <v>0.15</v>
      </c>
      <c r="F299" s="1843"/>
    </row>
    <row r="300" spans="1:6" ht="14.25" thickBot="1">
      <c r="A300" s="1830" t="s">
        <v>1621</v>
      </c>
      <c r="B300" s="1834" t="s">
        <v>2434</v>
      </c>
      <c r="C300" s="1835">
        <v>0.15</v>
      </c>
      <c r="D300" s="1835">
        <v>0.15</v>
      </c>
      <c r="E300" s="1835">
        <v>0.15</v>
      </c>
      <c r="F300" s="1836">
        <v>0.15</v>
      </c>
    </row>
    <row r="301" spans="1:6" ht="14.25" thickBot="1">
      <c r="A301" s="1830" t="s">
        <v>1621</v>
      </c>
      <c r="B301" s="1834" t="s">
        <v>1387</v>
      </c>
      <c r="C301" s="1835">
        <v>0.15</v>
      </c>
      <c r="D301" s="1835">
        <v>0.15</v>
      </c>
      <c r="E301" s="1835">
        <v>0.15</v>
      </c>
      <c r="F301" s="1843"/>
    </row>
    <row r="302" spans="1:6" ht="14.25" thickBot="1">
      <c r="A302" s="1830" t="s">
        <v>1621</v>
      </c>
      <c r="B302" s="1834" t="s">
        <v>2435</v>
      </c>
      <c r="C302" s="1835">
        <v>0.15</v>
      </c>
      <c r="D302" s="1835">
        <v>0.15</v>
      </c>
      <c r="E302" s="1835">
        <v>0.15</v>
      </c>
      <c r="F302" s="1836">
        <v>0.15</v>
      </c>
    </row>
    <row r="303" spans="1:6" ht="14.25" thickBot="1">
      <c r="A303" s="1830" t="s">
        <v>1621</v>
      </c>
      <c r="B303" s="1834" t="s">
        <v>1407</v>
      </c>
      <c r="C303" s="1835">
        <v>0.15</v>
      </c>
      <c r="D303" s="1835">
        <v>0.15</v>
      </c>
      <c r="E303" s="1835">
        <v>0.15</v>
      </c>
      <c r="F303" s="1836">
        <v>0.15</v>
      </c>
    </row>
    <row r="304" spans="1:6" ht="14.25" thickBot="1">
      <c r="A304" s="1830" t="s">
        <v>1621</v>
      </c>
      <c r="B304" s="1834" t="s">
        <v>1417</v>
      </c>
      <c r="C304" s="1835">
        <v>0.15</v>
      </c>
      <c r="D304" s="1835">
        <v>0.15</v>
      </c>
      <c r="E304" s="1835">
        <v>0.15</v>
      </c>
      <c r="F304" s="1843"/>
    </row>
    <row r="305" spans="1:6" ht="14.25" thickBot="1">
      <c r="A305" s="1830" t="s">
        <v>1621</v>
      </c>
      <c r="B305" s="1834" t="s">
        <v>2436</v>
      </c>
      <c r="C305" s="1835">
        <v>0.15</v>
      </c>
      <c r="D305" s="1835">
        <v>0.15</v>
      </c>
      <c r="E305" s="1835">
        <v>0.15</v>
      </c>
      <c r="F305" s="1836">
        <v>0.14000000000000001</v>
      </c>
    </row>
    <row r="306" spans="1:6" ht="14.25" thickBot="1">
      <c r="A306" s="1830" t="s">
        <v>1621</v>
      </c>
      <c r="B306" s="1834" t="s">
        <v>1437</v>
      </c>
      <c r="C306" s="1835">
        <v>0.15</v>
      </c>
      <c r="D306" s="1835">
        <v>0.15</v>
      </c>
      <c r="E306" s="1835">
        <v>0.15</v>
      </c>
      <c r="F306" s="1843"/>
    </row>
    <row r="307" spans="1:6" ht="14.25" thickBot="1">
      <c r="A307" s="1830" t="s">
        <v>1621</v>
      </c>
      <c r="B307" s="1834" t="s">
        <v>2437</v>
      </c>
      <c r="C307" s="1835">
        <v>0.15</v>
      </c>
      <c r="D307" s="1835">
        <v>0.15</v>
      </c>
      <c r="E307" s="1835">
        <v>0.15</v>
      </c>
      <c r="F307" s="1836">
        <v>0.14299999999999999</v>
      </c>
    </row>
    <row r="308" spans="1:6" ht="14.25" thickBot="1">
      <c r="A308" s="1830" t="s">
        <v>1621</v>
      </c>
      <c r="B308" s="1834" t="s">
        <v>1457</v>
      </c>
      <c r="C308" s="1835">
        <v>0.15</v>
      </c>
      <c r="D308" s="1835">
        <v>0.15</v>
      </c>
      <c r="E308" s="1835">
        <v>0.15</v>
      </c>
      <c r="F308" s="1836">
        <v>0.15</v>
      </c>
    </row>
    <row r="309" spans="1:6" ht="14.25" thickBot="1">
      <c r="A309" s="1830" t="s">
        <v>1621</v>
      </c>
      <c r="B309" s="1834" t="s">
        <v>1467</v>
      </c>
      <c r="C309" s="1835">
        <v>0.15</v>
      </c>
      <c r="D309" s="1835">
        <v>0.15</v>
      </c>
      <c r="E309" s="1835">
        <v>0.15</v>
      </c>
      <c r="F309" s="1843"/>
    </row>
    <row r="310" spans="1:6" ht="14.25" thickBot="1">
      <c r="A310" s="1830" t="s">
        <v>1621</v>
      </c>
      <c r="B310" s="1834" t="s">
        <v>2438</v>
      </c>
      <c r="C310" s="1835">
        <v>0.15</v>
      </c>
      <c r="D310" s="1835">
        <v>0.15</v>
      </c>
      <c r="E310" s="1835">
        <v>0.15</v>
      </c>
      <c r="F310" s="1836">
        <v>0.13700000000000001</v>
      </c>
    </row>
    <row r="311" spans="1:6" ht="14.25" thickBot="1">
      <c r="A311" s="1830" t="s">
        <v>1621</v>
      </c>
      <c r="B311" s="1834" t="s">
        <v>2439</v>
      </c>
      <c r="C311" s="1835">
        <v>0.15</v>
      </c>
      <c r="D311" s="1835">
        <v>0.15</v>
      </c>
      <c r="E311" s="1835">
        <v>0.15</v>
      </c>
      <c r="F311" s="1836">
        <v>0.15</v>
      </c>
    </row>
    <row r="312" spans="1:6" ht="14.25" thickBot="1">
      <c r="A312" s="1830" t="s">
        <v>1621</v>
      </c>
      <c r="B312" s="1834" t="s">
        <v>1493</v>
      </c>
      <c r="C312" s="1835">
        <v>0.15</v>
      </c>
      <c r="D312" s="1835">
        <v>0.15</v>
      </c>
      <c r="E312" s="1835">
        <v>0.15</v>
      </c>
      <c r="F312" s="1836">
        <v>0.1</v>
      </c>
    </row>
    <row r="313" spans="1:6" ht="14.25" thickBot="1">
      <c r="A313" s="1830" t="s">
        <v>1621</v>
      </c>
      <c r="B313" s="1834" t="s">
        <v>2440</v>
      </c>
      <c r="C313" s="1835">
        <v>0.15</v>
      </c>
      <c r="D313" s="1835">
        <v>0.15</v>
      </c>
      <c r="E313" s="1835">
        <v>0.15</v>
      </c>
      <c r="F313" s="1836">
        <v>0.15</v>
      </c>
    </row>
    <row r="314" spans="1:6" ht="24.75" thickBot="1">
      <c r="A314" s="1830" t="s">
        <v>1621</v>
      </c>
      <c r="B314" s="1834" t="s">
        <v>2441</v>
      </c>
      <c r="C314" s="1844"/>
      <c r="D314" s="1844"/>
      <c r="E314" s="1844"/>
      <c r="F314" s="1836">
        <v>0.05</v>
      </c>
    </row>
    <row r="315" spans="1:6" ht="24.75" thickBot="1">
      <c r="A315" s="1830" t="s">
        <v>1621</v>
      </c>
      <c r="B315" s="1834" t="s">
        <v>2442</v>
      </c>
      <c r="C315" s="1844"/>
      <c r="D315" s="1844"/>
      <c r="E315" s="1844"/>
      <c r="F315" s="1836">
        <v>0.05</v>
      </c>
    </row>
    <row r="316" spans="1:6" ht="24.75" thickBot="1">
      <c r="A316" s="1838" t="s">
        <v>1621</v>
      </c>
      <c r="B316" s="1845" t="s">
        <v>2443</v>
      </c>
      <c r="C316" s="1841"/>
      <c r="D316" s="1841"/>
      <c r="E316" s="1841"/>
      <c r="F316" s="1846">
        <v>0.05</v>
      </c>
    </row>
    <row r="317" spans="1:6" ht="14.25" thickBot="1">
      <c r="A317" s="1830" t="s">
        <v>2444</v>
      </c>
      <c r="B317" s="1831" t="s">
        <v>2445</v>
      </c>
      <c r="C317" s="1832">
        <v>0.15</v>
      </c>
      <c r="D317" s="1832">
        <v>0.15</v>
      </c>
      <c r="E317" s="1832">
        <v>0.15</v>
      </c>
      <c r="F317" s="1833">
        <v>0.15</v>
      </c>
    </row>
    <row r="318" spans="1:6" ht="14.25" thickBot="1">
      <c r="A318" s="1830" t="s">
        <v>2444</v>
      </c>
      <c r="B318" s="1834" t="s">
        <v>2446</v>
      </c>
      <c r="C318" s="1835">
        <v>0.107</v>
      </c>
      <c r="D318" s="1835">
        <v>0.11</v>
      </c>
      <c r="E318" s="1835">
        <v>0.112</v>
      </c>
      <c r="F318" s="1843"/>
    </row>
    <row r="319" spans="1:6" ht="14.25" thickBot="1">
      <c r="A319" s="1830" t="s">
        <v>2444</v>
      </c>
      <c r="B319" s="1834" t="s">
        <v>2447</v>
      </c>
      <c r="C319" s="1835">
        <v>0.15</v>
      </c>
      <c r="D319" s="1835">
        <v>0.15</v>
      </c>
      <c r="E319" s="1835">
        <v>0.15</v>
      </c>
      <c r="F319" s="1836">
        <v>0.15</v>
      </c>
    </row>
    <row r="320" spans="1:6" ht="14.25" thickBot="1">
      <c r="A320" s="1830" t="s">
        <v>2444</v>
      </c>
      <c r="B320" s="1834" t="s">
        <v>1309</v>
      </c>
      <c r="C320" s="1835">
        <v>0.15</v>
      </c>
      <c r="D320" s="1835">
        <v>0.15</v>
      </c>
      <c r="E320" s="1835">
        <v>0.15</v>
      </c>
      <c r="F320" s="1843"/>
    </row>
    <row r="321" spans="1:6" ht="14.25" thickBot="1">
      <c r="A321" s="1830" t="s">
        <v>2444</v>
      </c>
      <c r="B321" s="1834" t="s">
        <v>2448</v>
      </c>
      <c r="C321" s="1835">
        <v>0.15</v>
      </c>
      <c r="D321" s="1835">
        <v>0.15</v>
      </c>
      <c r="E321" s="1835">
        <v>0.15</v>
      </c>
      <c r="F321" s="1843"/>
    </row>
    <row r="322" spans="1:6" ht="14.25" thickBot="1">
      <c r="A322" s="1830" t="s">
        <v>2444</v>
      </c>
      <c r="B322" s="1834" t="s">
        <v>2449</v>
      </c>
      <c r="C322" s="1835">
        <v>0.15</v>
      </c>
      <c r="D322" s="1835">
        <v>0.15</v>
      </c>
      <c r="E322" s="1835">
        <v>0.15</v>
      </c>
      <c r="F322" s="1836">
        <v>0.15</v>
      </c>
    </row>
    <row r="323" spans="1:6" ht="14.25" thickBot="1">
      <c r="A323" s="1830" t="s">
        <v>2444</v>
      </c>
      <c r="B323" s="1834" t="s">
        <v>2450</v>
      </c>
      <c r="C323" s="1835">
        <v>0.15</v>
      </c>
      <c r="D323" s="1835">
        <v>0.15</v>
      </c>
      <c r="E323" s="1835">
        <v>0.15</v>
      </c>
      <c r="F323" s="1843"/>
    </row>
    <row r="324" spans="1:6" ht="14.25" thickBot="1">
      <c r="A324" s="1830" t="s">
        <v>2444</v>
      </c>
      <c r="B324" s="1834" t="s">
        <v>2451</v>
      </c>
      <c r="C324" s="1835">
        <v>0.15</v>
      </c>
      <c r="D324" s="1835">
        <v>0.15</v>
      </c>
      <c r="E324" s="1835">
        <v>0.15</v>
      </c>
      <c r="F324" s="1843"/>
    </row>
    <row r="325" spans="1:6" ht="14.25" thickBot="1">
      <c r="A325" s="1830" t="s">
        <v>2444</v>
      </c>
      <c r="B325" s="1834" t="s">
        <v>2452</v>
      </c>
      <c r="C325" s="1835">
        <v>0.15</v>
      </c>
      <c r="D325" s="1835">
        <v>0.15</v>
      </c>
      <c r="E325" s="1835">
        <v>0.15</v>
      </c>
      <c r="F325" s="1836">
        <v>0.14699999999999999</v>
      </c>
    </row>
    <row r="326" spans="1:6" ht="14.25" thickBot="1">
      <c r="A326" s="1830" t="s">
        <v>2444</v>
      </c>
      <c r="B326" s="1834" t="s">
        <v>1378</v>
      </c>
      <c r="C326" s="1835">
        <v>0.15</v>
      </c>
      <c r="D326" s="1835">
        <v>0.15</v>
      </c>
      <c r="E326" s="1835">
        <v>0.15</v>
      </c>
      <c r="F326" s="1843"/>
    </row>
    <row r="327" spans="1:6" ht="14.25" thickBot="1">
      <c r="A327" s="1830" t="s">
        <v>2444</v>
      </c>
      <c r="B327" s="1834" t="s">
        <v>2453</v>
      </c>
      <c r="C327" s="1835">
        <v>0.15</v>
      </c>
      <c r="D327" s="1835">
        <v>0.15</v>
      </c>
      <c r="E327" s="1835">
        <v>0.15</v>
      </c>
      <c r="F327" s="1836">
        <v>0.15</v>
      </c>
    </row>
    <row r="328" spans="1:6" ht="14.25" thickBot="1">
      <c r="A328" s="1830" t="s">
        <v>2444</v>
      </c>
      <c r="B328" s="1834" t="s">
        <v>1398</v>
      </c>
      <c r="C328" s="1835">
        <v>0.15</v>
      </c>
      <c r="D328" s="1835">
        <v>0.15</v>
      </c>
      <c r="E328" s="1835">
        <v>0.15</v>
      </c>
      <c r="F328" s="1836">
        <v>0.14099999999999999</v>
      </c>
    </row>
    <row r="329" spans="1:6" ht="14.25" thickBot="1">
      <c r="A329" s="1830" t="s">
        <v>2444</v>
      </c>
      <c r="B329" s="1834" t="s">
        <v>1408</v>
      </c>
      <c r="C329" s="1835">
        <v>0.15</v>
      </c>
      <c r="D329" s="1835">
        <v>0.15</v>
      </c>
      <c r="E329" s="1835">
        <v>0.15</v>
      </c>
      <c r="F329" s="1836">
        <v>0.15</v>
      </c>
    </row>
    <row r="330" spans="1:6" ht="14.25" thickBot="1">
      <c r="A330" s="1830" t="s">
        <v>2444</v>
      </c>
      <c r="B330" s="1834" t="s">
        <v>1418</v>
      </c>
      <c r="C330" s="1835">
        <v>0.15</v>
      </c>
      <c r="D330" s="1835">
        <v>0.15</v>
      </c>
      <c r="E330" s="1835">
        <v>0.15</v>
      </c>
      <c r="F330" s="1843"/>
    </row>
    <row r="331" spans="1:6" ht="14.25" thickBot="1">
      <c r="A331" s="1830" t="s">
        <v>2444</v>
      </c>
      <c r="B331" s="1834" t="s">
        <v>2454</v>
      </c>
      <c r="C331" s="1835">
        <v>0.15</v>
      </c>
      <c r="D331" s="1835">
        <v>0.15</v>
      </c>
      <c r="E331" s="1835">
        <v>0.15</v>
      </c>
      <c r="F331" s="1836">
        <v>0.15</v>
      </c>
    </row>
    <row r="332" spans="1:6" ht="14.25" thickBot="1">
      <c r="A332" s="1830" t="s">
        <v>2444</v>
      </c>
      <c r="B332" s="1834" t="s">
        <v>1438</v>
      </c>
      <c r="C332" s="1835">
        <v>0.15</v>
      </c>
      <c r="D332" s="1835">
        <v>0.15</v>
      </c>
      <c r="E332" s="1835">
        <v>0.15</v>
      </c>
      <c r="F332" s="1836">
        <v>0.15</v>
      </c>
    </row>
    <row r="333" spans="1:6" ht="14.25" thickBot="1">
      <c r="A333" s="1830" t="s">
        <v>2444</v>
      </c>
      <c r="B333" s="1834" t="s">
        <v>2455</v>
      </c>
      <c r="C333" s="1835">
        <v>0.15</v>
      </c>
      <c r="D333" s="1835">
        <v>0.15</v>
      </c>
      <c r="E333" s="1835">
        <v>0.15</v>
      </c>
      <c r="F333" s="1836">
        <v>0.14099999999999999</v>
      </c>
    </row>
    <row r="334" spans="1:6" ht="14.25" thickBot="1">
      <c r="A334" s="1830" t="s">
        <v>2444</v>
      </c>
      <c r="B334" s="1834" t="s">
        <v>1458</v>
      </c>
      <c r="C334" s="1835">
        <v>0.15</v>
      </c>
      <c r="D334" s="1835">
        <v>0.15</v>
      </c>
      <c r="E334" s="1835">
        <v>0.15</v>
      </c>
      <c r="F334" s="1836">
        <v>0.15</v>
      </c>
    </row>
    <row r="335" spans="1:6" ht="14.25" thickBot="1">
      <c r="A335" s="1830" t="s">
        <v>2444</v>
      </c>
      <c r="B335" s="1834" t="s">
        <v>1468</v>
      </c>
      <c r="C335" s="1835">
        <v>0.15</v>
      </c>
      <c r="D335" s="1835">
        <v>0.15</v>
      </c>
      <c r="E335" s="1835">
        <v>0.15</v>
      </c>
      <c r="F335" s="1843"/>
    </row>
    <row r="336" spans="1:6" ht="14.25" thickBot="1">
      <c r="A336" s="1830" t="s">
        <v>2444</v>
      </c>
      <c r="B336" s="1834" t="s">
        <v>2456</v>
      </c>
      <c r="C336" s="1835">
        <v>0.15</v>
      </c>
      <c r="D336" s="1835">
        <v>0.15</v>
      </c>
      <c r="E336" s="1835">
        <v>0.15</v>
      </c>
      <c r="F336" s="1836">
        <v>0.11799999999999999</v>
      </c>
    </row>
    <row r="337" spans="1:6" ht="14.25" thickBot="1">
      <c r="A337" s="1838" t="s">
        <v>2444</v>
      </c>
      <c r="B337" s="1845" t="s">
        <v>1486</v>
      </c>
      <c r="C337" s="1841"/>
      <c r="D337" s="1841"/>
      <c r="E337" s="1841"/>
      <c r="F337" s="1846">
        <v>0.14299999999999999</v>
      </c>
    </row>
    <row r="338" spans="1:6" ht="14.25" thickBot="1">
      <c r="A338" s="1830" t="s">
        <v>2457</v>
      </c>
      <c r="B338" s="1831" t="s">
        <v>2458</v>
      </c>
      <c r="C338" s="1832">
        <v>0.15</v>
      </c>
      <c r="D338" s="1832">
        <v>0.15</v>
      </c>
      <c r="E338" s="1832">
        <v>0.15</v>
      </c>
      <c r="F338" s="1854"/>
    </row>
    <row r="339" spans="1:6" ht="14.25" thickBot="1">
      <c r="A339" s="1830" t="s">
        <v>2457</v>
      </c>
      <c r="B339" s="1834" t="s">
        <v>2459</v>
      </c>
      <c r="C339" s="1835">
        <v>0.15</v>
      </c>
      <c r="D339" s="1835">
        <v>0.15</v>
      </c>
      <c r="E339" s="1835">
        <v>0.15</v>
      </c>
      <c r="F339" s="1843"/>
    </row>
    <row r="340" spans="1:6" ht="14.25" thickBot="1">
      <c r="A340" s="1830" t="s">
        <v>2457</v>
      </c>
      <c r="B340" s="1834" t="s">
        <v>2460</v>
      </c>
      <c r="C340" s="1835">
        <v>0.15</v>
      </c>
      <c r="D340" s="1835">
        <v>0.15</v>
      </c>
      <c r="E340" s="1835">
        <v>0.15</v>
      </c>
      <c r="F340" s="1843"/>
    </row>
    <row r="341" spans="1:6" ht="14.25" thickBot="1">
      <c r="A341" s="1830" t="s">
        <v>2461</v>
      </c>
      <c r="B341" s="1834" t="s">
        <v>2462</v>
      </c>
      <c r="C341" s="1835">
        <v>0.15</v>
      </c>
      <c r="D341" s="1835">
        <v>0.15</v>
      </c>
      <c r="E341" s="1835">
        <v>0.15</v>
      </c>
      <c r="F341" s="1836">
        <v>0.15</v>
      </c>
    </row>
    <row r="342" spans="1:6" ht="14.25" thickBot="1">
      <c r="A342" s="1830" t="s">
        <v>2457</v>
      </c>
      <c r="B342" s="1834" t="s">
        <v>2463</v>
      </c>
      <c r="C342" s="1835">
        <v>0.15</v>
      </c>
      <c r="D342" s="1835">
        <v>0.15</v>
      </c>
      <c r="E342" s="1835">
        <v>0.15</v>
      </c>
      <c r="F342" s="1836">
        <v>0.15</v>
      </c>
    </row>
    <row r="343" spans="1:6" ht="14.25" thickBot="1">
      <c r="A343" s="1830" t="s">
        <v>2457</v>
      </c>
      <c r="B343" s="1834" t="s">
        <v>2464</v>
      </c>
      <c r="C343" s="1835">
        <v>0.15</v>
      </c>
      <c r="D343" s="1835">
        <v>0.15</v>
      </c>
      <c r="E343" s="1835">
        <v>0.15</v>
      </c>
      <c r="F343" s="1836">
        <v>0.15</v>
      </c>
    </row>
    <row r="344" spans="1:6" ht="14.25" thickBot="1">
      <c r="A344" s="1838" t="s">
        <v>2457</v>
      </c>
      <c r="B344" s="1845" t="s">
        <v>2465</v>
      </c>
      <c r="C344" s="1840">
        <v>0.15</v>
      </c>
      <c r="D344" s="1840">
        <v>0.15</v>
      </c>
      <c r="E344" s="1840">
        <v>0.15</v>
      </c>
      <c r="F344" s="1846">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78"/>
    <col min="2" max="6" width="9" style="2678" customWidth="1"/>
    <col min="7" max="7" width="9" style="2694" customWidth="1"/>
    <col min="8" max="12" width="9" style="2678" customWidth="1"/>
    <col min="13" max="13" width="2.25" style="2678" customWidth="1"/>
    <col min="14" max="14" width="9" style="2694" customWidth="1"/>
    <col min="15" max="17" width="9" style="2678" customWidth="1"/>
    <col min="18" max="18" width="2.375" style="2678" customWidth="1"/>
    <col min="19" max="19" width="7.125" style="2694" customWidth="1"/>
    <col min="20" max="22" width="7.125" style="2678" customWidth="1"/>
    <col min="23" max="23" width="24" style="2678" customWidth="1"/>
    <col min="24" max="25" width="9" style="2678"/>
    <col min="26" max="27" width="11.625" style="2678" customWidth="1"/>
    <col min="28" max="28" width="9" style="2678"/>
    <col min="29" max="29" width="2" style="2678" customWidth="1"/>
    <col min="30" max="16384" width="9" style="2678"/>
  </cols>
  <sheetData>
    <row r="1" spans="1:34" s="2667" customFormat="1">
      <c r="B1" s="3479" t="s">
        <v>2849</v>
      </c>
      <c r="C1" s="3479"/>
      <c r="D1" s="3479"/>
      <c r="E1" s="3479"/>
      <c r="F1" s="3479"/>
      <c r="G1" s="3478" t="s">
        <v>2850</v>
      </c>
      <c r="H1" s="3478"/>
      <c r="I1" s="3478"/>
      <c r="J1" s="3478"/>
      <c r="K1" s="3478"/>
      <c r="L1" s="3478"/>
      <c r="N1" s="3478" t="s">
        <v>2851</v>
      </c>
      <c r="O1" s="3478"/>
      <c r="P1" s="3478"/>
      <c r="Q1" s="3478"/>
      <c r="R1" s="2668"/>
      <c r="S1" s="3478" t="s">
        <v>2852</v>
      </c>
      <c r="T1" s="3478"/>
      <c r="U1" s="3478"/>
      <c r="V1" s="3478"/>
      <c r="X1" s="3477" t="s">
        <v>2914</v>
      </c>
      <c r="Y1" s="3478"/>
      <c r="Z1" s="3478"/>
      <c r="AA1" s="3478"/>
      <c r="AB1" s="3478"/>
      <c r="AD1" s="3477" t="s">
        <v>2920</v>
      </c>
      <c r="AE1" s="3478"/>
      <c r="AF1" s="3478"/>
      <c r="AG1" s="3478"/>
      <c r="AH1" s="3478"/>
    </row>
    <row r="2" spans="1:34" s="2771" customFormat="1" ht="14.25" thickBot="1">
      <c r="B2" s="2781" t="s">
        <v>2853</v>
      </c>
      <c r="C2" s="2781" t="s">
        <v>2917</v>
      </c>
      <c r="D2" s="2772" t="s">
        <v>1845</v>
      </c>
      <c r="E2" s="2772" t="s">
        <v>2169</v>
      </c>
      <c r="F2" s="2781" t="s">
        <v>2918</v>
      </c>
      <c r="G2" s="2775"/>
      <c r="H2" s="2774"/>
      <c r="I2" s="2774"/>
      <c r="J2" s="2774"/>
      <c r="K2" s="2774"/>
      <c r="L2" s="2774"/>
      <c r="N2" s="2775"/>
      <c r="O2" s="2774"/>
      <c r="P2" s="2774"/>
      <c r="Q2" s="2774"/>
      <c r="R2" s="2773"/>
      <c r="S2" s="2775"/>
      <c r="T2" s="2774"/>
      <c r="U2" s="2774"/>
      <c r="V2" s="2774"/>
      <c r="X2" s="2781" t="s">
        <v>2853</v>
      </c>
      <c r="Y2" s="2781" t="s">
        <v>2917</v>
      </c>
      <c r="Z2" s="2772" t="s">
        <v>1845</v>
      </c>
      <c r="AA2" s="2772" t="s">
        <v>2169</v>
      </c>
      <c r="AB2" s="2781" t="s">
        <v>2918</v>
      </c>
      <c r="AD2" s="2781" t="s">
        <v>2853</v>
      </c>
      <c r="AE2" s="2781" t="s">
        <v>2917</v>
      </c>
      <c r="AF2" s="2772" t="s">
        <v>1845</v>
      </c>
      <c r="AG2" s="2772" t="s">
        <v>2169</v>
      </c>
      <c r="AH2" s="2781" t="s">
        <v>2918</v>
      </c>
    </row>
    <row r="3" spans="1:34" s="2764" customFormat="1" ht="15" thickBot="1">
      <c r="B3" s="2765"/>
      <c r="C3" s="2765"/>
      <c r="D3" s="2766"/>
      <c r="E3" s="2766"/>
      <c r="F3" s="2765"/>
      <c r="G3" s="2770"/>
      <c r="H3" s="2767"/>
      <c r="I3" s="2767"/>
      <c r="J3" s="2767"/>
      <c r="K3" s="2767"/>
      <c r="L3" s="2767"/>
      <c r="N3" s="2770"/>
      <c r="O3" s="2768"/>
      <c r="P3" s="2768"/>
      <c r="Q3" s="2768"/>
      <c r="R3" s="2768"/>
      <c r="S3" s="2770"/>
      <c r="T3" s="2768"/>
      <c r="U3" s="2768"/>
      <c r="V3" s="2768"/>
      <c r="X3" s="2769">
        <f>ROUND(SUMPRODUCT(PRODUCT(1+N3:N$18)),4)</f>
        <v>1.3494999999999999</v>
      </c>
      <c r="Y3" s="2769">
        <f>ROUND(SUMPRODUCT(PRODUCT(1+O3:O$18)),4)</f>
        <v>1.2154</v>
      </c>
      <c r="Z3" s="2769">
        <f t="shared" ref="Z3:Z16" si="0">Y3</f>
        <v>1.2154</v>
      </c>
      <c r="AA3" s="2769">
        <f>ROUND(SUMPRODUCT(PRODUCT(1+P3:P$18)),4)</f>
        <v>1.3962000000000001</v>
      </c>
      <c r="AB3" s="2769">
        <f>ROUND(SUMPRODUCT(PRODUCT(1+Q3:Q$18)),4)</f>
        <v>1.1890000000000001</v>
      </c>
      <c r="AD3" s="2689">
        <f>ROUND(AVERAGE(I3:I$19)/100,4)</f>
        <v>2.3900000000000001E-2</v>
      </c>
      <c r="AE3" s="2689">
        <f>ROUND(AVERAGE(J3:J$19)/100,4)</f>
        <v>1.5699999999999999E-2</v>
      </c>
      <c r="AF3" s="2689">
        <f t="shared" ref="AF3:AF17" si="1">AE3</f>
        <v>1.5699999999999999E-2</v>
      </c>
      <c r="AG3" s="2689">
        <f>ROUND(AVERAGE(K3:K$19)/100,4)</f>
        <v>2.6599999999999999E-2</v>
      </c>
      <c r="AH3" s="2689">
        <f>ROUND(AVERAGE(L3:L$19)/100,4)</f>
        <v>1.34E-2</v>
      </c>
    </row>
    <row r="4" spans="1:34" s="2667" customFormat="1">
      <c r="A4" s="2669" t="s">
        <v>2854</v>
      </c>
      <c r="B4" s="2670"/>
      <c r="C4" s="2670"/>
      <c r="D4" s="2670"/>
      <c r="E4" s="2670"/>
      <c r="F4" s="2670"/>
      <c r="G4" s="3476">
        <v>2017</v>
      </c>
      <c r="H4" s="2671">
        <v>4</v>
      </c>
      <c r="I4" s="2671"/>
      <c r="J4" s="2671"/>
      <c r="K4" s="2671"/>
      <c r="L4" s="2672"/>
      <c r="N4" s="2673"/>
      <c r="O4" s="2668"/>
      <c r="P4" s="2668"/>
      <c r="Q4" s="2668"/>
      <c r="R4" s="2668"/>
      <c r="S4" s="2673"/>
      <c r="T4" s="2668"/>
      <c r="U4" s="2668"/>
      <c r="V4" s="2668"/>
      <c r="X4" s="2769">
        <f>ROUND(SUMPRODUCT(PRODUCT(1+N4:N$18)),4)</f>
        <v>1.3494999999999999</v>
      </c>
      <c r="Y4" s="2769">
        <f>ROUND(SUMPRODUCT(PRODUCT(1+O4:O$18)),4)</f>
        <v>1.2154</v>
      </c>
      <c r="Z4" s="2769">
        <f t="shared" si="0"/>
        <v>1.2154</v>
      </c>
      <c r="AA4" s="2769">
        <f>ROUND(SUMPRODUCT(PRODUCT(1+P4:P$18)),4)</f>
        <v>1.3962000000000001</v>
      </c>
      <c r="AB4" s="2769">
        <f>ROUND(SUMPRODUCT(PRODUCT(1+Q4:Q$18)),4)</f>
        <v>1.1890000000000001</v>
      </c>
      <c r="AD4" s="2689">
        <f>ROUND(AVERAGE(I4:I$19)/100,4)</f>
        <v>2.3900000000000001E-2</v>
      </c>
      <c r="AE4" s="2689">
        <f>ROUND(AVERAGE(J4:J$19)/100,4)</f>
        <v>1.5699999999999999E-2</v>
      </c>
      <c r="AF4" s="2689">
        <f t="shared" si="1"/>
        <v>1.5699999999999999E-2</v>
      </c>
      <c r="AG4" s="2689">
        <f>ROUND(AVERAGE(K4:K$19)/100,4)</f>
        <v>2.6599999999999999E-2</v>
      </c>
      <c r="AH4" s="2689">
        <f>ROUND(AVERAGE(L4:L$19)/100,4)</f>
        <v>1.34E-2</v>
      </c>
    </row>
    <row r="5" spans="1:34" s="2667" customFormat="1">
      <c r="A5" s="2669" t="s">
        <v>2855</v>
      </c>
      <c r="B5" s="2670"/>
      <c r="C5" s="2670"/>
      <c r="D5" s="2670"/>
      <c r="E5" s="2670"/>
      <c r="F5" s="2670"/>
      <c r="G5" s="3474"/>
      <c r="H5" s="2674">
        <v>3</v>
      </c>
      <c r="I5" s="2670"/>
      <c r="J5" s="2670"/>
      <c r="K5" s="2670"/>
      <c r="L5" s="2670"/>
      <c r="N5" s="2673"/>
      <c r="O5" s="2668"/>
      <c r="P5" s="2668"/>
      <c r="Q5" s="2668"/>
      <c r="R5" s="2668"/>
      <c r="S5" s="2673"/>
      <c r="T5" s="2668"/>
      <c r="U5" s="2668"/>
      <c r="V5" s="2668"/>
      <c r="X5" s="2769">
        <f>ROUND(SUMPRODUCT(PRODUCT(1+N5:N$18)),4)</f>
        <v>1.3494999999999999</v>
      </c>
      <c r="Y5" s="2769">
        <f>ROUND(SUMPRODUCT(PRODUCT(1+O5:O$18)),4)</f>
        <v>1.2154</v>
      </c>
      <c r="Z5" s="2769">
        <f t="shared" si="0"/>
        <v>1.2154</v>
      </c>
      <c r="AA5" s="2769">
        <f>ROUND(SUMPRODUCT(PRODUCT(1+P5:P$18)),4)</f>
        <v>1.3962000000000001</v>
      </c>
      <c r="AB5" s="2769">
        <f>ROUND(SUMPRODUCT(PRODUCT(1+Q5:Q$18)),4)</f>
        <v>1.1890000000000001</v>
      </c>
      <c r="AD5" s="2689">
        <f>ROUND(AVERAGE(I5:I$19)/100,4)</f>
        <v>2.3900000000000001E-2</v>
      </c>
      <c r="AE5" s="2689">
        <f>ROUND(AVERAGE(J5:J$19)/100,4)</f>
        <v>1.5699999999999999E-2</v>
      </c>
      <c r="AF5" s="2689">
        <f t="shared" si="1"/>
        <v>1.5699999999999999E-2</v>
      </c>
      <c r="AG5" s="2689">
        <f>ROUND(AVERAGE(K5:K$19)/100,4)</f>
        <v>2.6599999999999999E-2</v>
      </c>
      <c r="AH5" s="2689">
        <f>ROUND(AVERAGE(L5:L$19)/100,4)</f>
        <v>1.34E-2</v>
      </c>
    </row>
    <row r="6" spans="1:34" s="2667" customFormat="1">
      <c r="A6" s="2669" t="s">
        <v>2856</v>
      </c>
      <c r="B6" s="2813">
        <f>B7*(1+N6)</f>
        <v>415.21602360000003</v>
      </c>
      <c r="C6" s="2813">
        <f>C7*(1+O6)</f>
        <v>312.63083488000001</v>
      </c>
      <c r="D6" s="2813">
        <f>C6</f>
        <v>312.63083488000001</v>
      </c>
      <c r="E6" s="2813">
        <f>E7*(1+P6)</f>
        <v>589.96402416000001</v>
      </c>
      <c r="F6" s="2813">
        <f>F7*(1+Q6)</f>
        <v>273.82351752000005</v>
      </c>
      <c r="G6" s="3474"/>
      <c r="H6" s="2675">
        <v>2</v>
      </c>
      <c r="I6" s="2776">
        <f>ROUND(AVERAGE(I7:I19),2)</f>
        <v>2.39</v>
      </c>
      <c r="J6" s="2776">
        <f t="shared" ref="J6:L6" si="2">ROUND(AVERAGE(J7:J19),2)</f>
        <v>1.57</v>
      </c>
      <c r="K6" s="2776">
        <f t="shared" si="2"/>
        <v>2.66</v>
      </c>
      <c r="L6" s="2776">
        <f t="shared" si="2"/>
        <v>1.34</v>
      </c>
      <c r="N6" s="2778">
        <f>I6/100</f>
        <v>2.3900000000000001E-2</v>
      </c>
      <c r="O6" s="2778">
        <f t="shared" ref="O6" si="3">J6/100</f>
        <v>1.5700000000000002E-2</v>
      </c>
      <c r="P6" s="2778">
        <f t="shared" ref="P6" si="4">K6/100</f>
        <v>2.6600000000000002E-2</v>
      </c>
      <c r="Q6" s="2778">
        <f t="shared" ref="Q6" si="5">L6/100</f>
        <v>1.34E-2</v>
      </c>
      <c r="R6" s="2668"/>
      <c r="S6" s="2673"/>
      <c r="T6" s="2668"/>
      <c r="U6" s="2668"/>
      <c r="V6" s="2668"/>
      <c r="W6" s="2779" t="s">
        <v>2915</v>
      </c>
      <c r="X6" s="2769">
        <f>ROUND(SUMPRODUCT(PRODUCT(1+N6:N$18)),4)</f>
        <v>1.3494999999999999</v>
      </c>
      <c r="Y6" s="2769">
        <f>ROUND(SUMPRODUCT(PRODUCT(1+O6:O$18)),4)</f>
        <v>1.2154</v>
      </c>
      <c r="Z6" s="2769">
        <f t="shared" si="0"/>
        <v>1.2154</v>
      </c>
      <c r="AA6" s="2769">
        <f>ROUND(SUMPRODUCT(PRODUCT(1+P6:P$18)),4)</f>
        <v>1.3962000000000001</v>
      </c>
      <c r="AB6" s="2769">
        <f>ROUND(SUMPRODUCT(PRODUCT(1+Q6:Q$18)),4)</f>
        <v>1.1890000000000001</v>
      </c>
      <c r="AD6" s="2689">
        <f>ROUND(AVERAGE(I6:I$19)/100,4)</f>
        <v>2.3900000000000001E-2</v>
      </c>
      <c r="AE6" s="2689">
        <f>ROUND(AVERAGE(J6:J$19)/100,4)</f>
        <v>1.5699999999999999E-2</v>
      </c>
      <c r="AF6" s="2689">
        <f t="shared" si="1"/>
        <v>1.5699999999999999E-2</v>
      </c>
      <c r="AG6" s="2689">
        <f>ROUND(AVERAGE(K6:K$19)/100,4)</f>
        <v>2.6599999999999999E-2</v>
      </c>
      <c r="AH6" s="2689">
        <f>ROUND(AVERAGE(L6:L$19)/100,4)</f>
        <v>1.34E-2</v>
      </c>
    </row>
    <row r="7" spans="1:34" s="2777" customFormat="1" ht="13.5" thickBot="1">
      <c r="A7" s="2669" t="s">
        <v>2857</v>
      </c>
      <c r="B7" s="2684">
        <f>B8*(1+N7)</f>
        <v>405.524</v>
      </c>
      <c r="C7" s="2684">
        <f>C8*(1+O7)</f>
        <v>307.79840000000002</v>
      </c>
      <c r="D7" s="2684">
        <f>C7</f>
        <v>307.79840000000002</v>
      </c>
      <c r="E7" s="2684">
        <f>E8*(1+P7)</f>
        <v>574.67759999999998</v>
      </c>
      <c r="F7" s="2684">
        <f>F8*(1+Q7)</f>
        <v>270.20280000000002</v>
      </c>
      <c r="G7" s="3475"/>
      <c r="H7" s="2674">
        <v>1</v>
      </c>
      <c r="I7" s="2674">
        <v>3.45</v>
      </c>
      <c r="J7" s="2674">
        <v>1.92</v>
      </c>
      <c r="K7" s="2674">
        <v>3.92</v>
      </c>
      <c r="L7" s="2685">
        <v>1.58</v>
      </c>
      <c r="M7" s="2678"/>
      <c r="N7" s="2679">
        <f>I7/100</f>
        <v>3.4500000000000003E-2</v>
      </c>
      <c r="O7" s="2680">
        <f t="shared" ref="O7" si="6">J7/100</f>
        <v>1.9199999999999998E-2</v>
      </c>
      <c r="P7" s="2680">
        <f t="shared" ref="P7" si="7">K7/100</f>
        <v>3.9199999999999999E-2</v>
      </c>
      <c r="Q7" s="2680">
        <f t="shared" ref="Q7" si="8">L7/100</f>
        <v>1.5800000000000002E-2</v>
      </c>
      <c r="R7" s="2681"/>
      <c r="S7" s="2687">
        <f>B7/B8-1</f>
        <v>3.4499999999999975E-2</v>
      </c>
      <c r="T7" s="2688">
        <f>C7/C8-1</f>
        <v>1.9200000000000106E-2</v>
      </c>
      <c r="U7" s="2688">
        <f>E7/E8-1</f>
        <v>3.9199999999999902E-2</v>
      </c>
      <c r="V7" s="2688">
        <f>F7/F8-1</f>
        <v>1.5800000000000036E-2</v>
      </c>
      <c r="W7" s="2678"/>
      <c r="X7" s="2769">
        <f>ROUND(SUMPRODUCT(PRODUCT(1+N7:N$18)),4)</f>
        <v>1.3180000000000001</v>
      </c>
      <c r="Y7" s="2769">
        <f>ROUND(SUMPRODUCT(PRODUCT(1+O7:O$18)),4)</f>
        <v>1.1966000000000001</v>
      </c>
      <c r="Z7" s="2769">
        <f t="shared" si="0"/>
        <v>1.1966000000000001</v>
      </c>
      <c r="AA7" s="2769">
        <f>ROUND(SUMPRODUCT(PRODUCT(1+P7:P$18)),4)</f>
        <v>1.36</v>
      </c>
      <c r="AB7" s="2769">
        <f>ROUND(SUMPRODUCT(PRODUCT(1+Q7:Q$18)),4)</f>
        <v>1.1733</v>
      </c>
      <c r="AC7" s="2678"/>
      <c r="AD7" s="2689">
        <f>ROUND(AVERAGE(I7:I$19)/100,4)</f>
        <v>2.3900000000000001E-2</v>
      </c>
      <c r="AE7" s="2689">
        <f>ROUND(AVERAGE(J7:J$19)/100,4)</f>
        <v>1.5699999999999999E-2</v>
      </c>
      <c r="AF7" s="2689">
        <f t="shared" si="1"/>
        <v>1.5699999999999999E-2</v>
      </c>
      <c r="AG7" s="2689">
        <f>ROUND(AVERAGE(K7:K$19)/100,4)</f>
        <v>2.6599999999999999E-2</v>
      </c>
      <c r="AH7" s="2689">
        <f>ROUND(AVERAGE(L7:L$19)/100,4)</f>
        <v>1.34E-2</v>
      </c>
    </row>
    <row r="8" spans="1:34">
      <c r="A8" s="2669" t="s">
        <v>1168</v>
      </c>
      <c r="B8" s="2676">
        <v>392</v>
      </c>
      <c r="C8" s="2676">
        <v>302</v>
      </c>
      <c r="D8" s="2676">
        <f>C8</f>
        <v>302</v>
      </c>
      <c r="E8" s="2676">
        <v>553</v>
      </c>
      <c r="F8" s="2677">
        <v>266</v>
      </c>
      <c r="G8" s="3476">
        <v>2016</v>
      </c>
      <c r="H8" s="2671">
        <v>4</v>
      </c>
      <c r="I8" s="2671">
        <v>4.5599999999999996</v>
      </c>
      <c r="J8" s="2671">
        <v>2.15</v>
      </c>
      <c r="K8" s="2671">
        <v>5.32</v>
      </c>
      <c r="L8" s="2672">
        <v>1.57</v>
      </c>
      <c r="N8" s="2679">
        <f>I8/100</f>
        <v>4.5599999999999995E-2</v>
      </c>
      <c r="O8" s="2680">
        <f t="shared" ref="O8:Q23" si="9">J8/100</f>
        <v>2.1499999999999998E-2</v>
      </c>
      <c r="P8" s="2680">
        <f t="shared" si="9"/>
        <v>5.3200000000000004E-2</v>
      </c>
      <c r="Q8" s="2680">
        <f t="shared" si="9"/>
        <v>1.5700000000000002E-2</v>
      </c>
      <c r="R8" s="2681"/>
      <c r="S8" s="2682"/>
      <c r="T8" s="2683"/>
      <c r="U8" s="2683"/>
      <c r="V8" s="2683"/>
      <c r="X8" s="2769">
        <f>ROUND(SUMPRODUCT(PRODUCT(1+N8:N$18)),4)</f>
        <v>1.274</v>
      </c>
      <c r="Y8" s="2769">
        <f>ROUND(SUMPRODUCT(PRODUCT(1+O8:O$18)),4)</f>
        <v>1.1740999999999999</v>
      </c>
      <c r="Z8" s="2769">
        <f t="shared" si="0"/>
        <v>1.1740999999999999</v>
      </c>
      <c r="AA8" s="2769">
        <f>ROUND(SUMPRODUCT(PRODUCT(1+P8:P$18)),4)</f>
        <v>1.3087</v>
      </c>
      <c r="AB8" s="2769">
        <f>ROUND(SUMPRODUCT(PRODUCT(1+Q8:Q$18)),4)</f>
        <v>1.1551</v>
      </c>
      <c r="AD8" s="2689">
        <f>ROUND(AVERAGE(I8:I$19)/100,4)</f>
        <v>2.3E-2</v>
      </c>
      <c r="AE8" s="2689">
        <f>ROUND(AVERAGE(J8:J$19)/100,4)</f>
        <v>1.55E-2</v>
      </c>
      <c r="AF8" s="2689">
        <f t="shared" si="1"/>
        <v>1.55E-2</v>
      </c>
      <c r="AG8" s="2689">
        <f>ROUND(AVERAGE(K8:K$19)/100,4)</f>
        <v>2.5600000000000001E-2</v>
      </c>
      <c r="AH8" s="2689">
        <f>ROUND(AVERAGE(L8:L$19)/100,4)</f>
        <v>1.32E-2</v>
      </c>
    </row>
    <row r="9" spans="1:34">
      <c r="A9" s="2669" t="s">
        <v>1167</v>
      </c>
      <c r="B9" s="2684">
        <f t="shared" ref="B9:C11" si="10">B8/(1+N8)</f>
        <v>374.90436113236416</v>
      </c>
      <c r="C9" s="2684">
        <f t="shared" si="10"/>
        <v>295.64366128242779</v>
      </c>
      <c r="D9" s="2684">
        <f t="shared" ref="D9:D68" si="11">C9</f>
        <v>295.64366128242779</v>
      </c>
      <c r="E9" s="2684">
        <f t="shared" ref="E9:F11" si="12">E8/(1+P8)</f>
        <v>525.06646410938095</v>
      </c>
      <c r="F9" s="2684">
        <f t="shared" si="12"/>
        <v>261.88835286009646</v>
      </c>
      <c r="G9" s="3474"/>
      <c r="H9" s="2674">
        <v>3</v>
      </c>
      <c r="I9" s="2674">
        <v>4.12</v>
      </c>
      <c r="J9" s="2674">
        <v>2</v>
      </c>
      <c r="K9" s="2674">
        <v>4.79</v>
      </c>
      <c r="L9" s="2685">
        <v>1.97</v>
      </c>
      <c r="N9" s="2679">
        <f t="shared" ref="N9:Q43" si="13">I9/100</f>
        <v>4.1200000000000001E-2</v>
      </c>
      <c r="O9" s="2680">
        <f t="shared" si="9"/>
        <v>0.02</v>
      </c>
      <c r="P9" s="2680">
        <f t="shared" si="9"/>
        <v>4.7899999999999998E-2</v>
      </c>
      <c r="Q9" s="2680">
        <f t="shared" si="9"/>
        <v>1.9699999999999999E-2</v>
      </c>
      <c r="R9" s="2681"/>
      <c r="S9" s="2679"/>
      <c r="T9" s="2680"/>
      <c r="U9" s="2680"/>
      <c r="V9" s="2680"/>
      <c r="X9" s="2769">
        <f>ROUND(SUMPRODUCT(PRODUCT(1+N9:N$18)),4)</f>
        <v>1.2184999999999999</v>
      </c>
      <c r="Y9" s="2769">
        <f>ROUND(SUMPRODUCT(PRODUCT(1+O9:O$18)),4)</f>
        <v>1.1494</v>
      </c>
      <c r="Z9" s="2769">
        <f t="shared" si="0"/>
        <v>1.1494</v>
      </c>
      <c r="AA9" s="2769">
        <f>ROUND(SUMPRODUCT(PRODUCT(1+P9:P$18)),4)</f>
        <v>1.2425999999999999</v>
      </c>
      <c r="AB9" s="2769">
        <f>ROUND(SUMPRODUCT(PRODUCT(1+Q9:Q$18)),4)</f>
        <v>1.1372</v>
      </c>
      <c r="AD9" s="2689">
        <f>ROUND(AVERAGE(I9:I$19)/100,4)</f>
        <v>2.0899999999999998E-2</v>
      </c>
      <c r="AE9" s="2689">
        <f>ROUND(AVERAGE(J9:J$19)/100,4)</f>
        <v>1.49E-2</v>
      </c>
      <c r="AF9" s="2689">
        <f t="shared" si="1"/>
        <v>1.49E-2</v>
      </c>
      <c r="AG9" s="2689">
        <f>ROUND(AVERAGE(K9:K$19)/100,4)</f>
        <v>2.3099999999999999E-2</v>
      </c>
      <c r="AH9" s="2689">
        <f>ROUND(AVERAGE(L9:L$19)/100,4)</f>
        <v>1.2999999999999999E-2</v>
      </c>
    </row>
    <row r="10" spans="1:34">
      <c r="A10" s="2669" t="s">
        <v>1157</v>
      </c>
      <c r="B10" s="2684">
        <f t="shared" si="10"/>
        <v>360.06949782209392</v>
      </c>
      <c r="C10" s="2684">
        <f t="shared" si="10"/>
        <v>289.84672674747821</v>
      </c>
      <c r="D10" s="2684">
        <f t="shared" si="11"/>
        <v>289.84672674747821</v>
      </c>
      <c r="E10" s="2684">
        <f t="shared" si="12"/>
        <v>501.06543001181495</v>
      </c>
      <c r="F10" s="2684">
        <f t="shared" si="12"/>
        <v>256.82882500744967</v>
      </c>
      <c r="G10" s="3474"/>
      <c r="H10" s="2675">
        <v>2</v>
      </c>
      <c r="I10" s="2675">
        <v>3.85</v>
      </c>
      <c r="J10" s="2675">
        <v>1.95</v>
      </c>
      <c r="K10" s="2675">
        <v>4.4800000000000004</v>
      </c>
      <c r="L10" s="2686">
        <v>1.41</v>
      </c>
      <c r="N10" s="2679">
        <f t="shared" si="13"/>
        <v>3.85E-2</v>
      </c>
      <c r="O10" s="2680">
        <f t="shared" si="9"/>
        <v>1.95E-2</v>
      </c>
      <c r="P10" s="2680">
        <f t="shared" si="9"/>
        <v>4.4800000000000006E-2</v>
      </c>
      <c r="Q10" s="2680">
        <f t="shared" si="9"/>
        <v>1.41E-2</v>
      </c>
      <c r="R10" s="2681"/>
      <c r="S10" s="2679"/>
      <c r="T10" s="2680"/>
      <c r="U10" s="2680"/>
      <c r="V10" s="2680"/>
      <c r="X10" s="2769">
        <f>ROUND(SUMPRODUCT(PRODUCT(1+N10:N$18)),4)</f>
        <v>1.1702999999999999</v>
      </c>
      <c r="Y10" s="2769">
        <f>ROUND(SUMPRODUCT(PRODUCT(1+O10:O$18)),4)</f>
        <v>1.1269</v>
      </c>
      <c r="Z10" s="2769">
        <f t="shared" si="0"/>
        <v>1.1269</v>
      </c>
      <c r="AA10" s="2769">
        <f>ROUND(SUMPRODUCT(PRODUCT(1+P10:P$18)),4)</f>
        <v>1.1858</v>
      </c>
      <c r="AB10" s="2769">
        <f>ROUND(SUMPRODUCT(PRODUCT(1+Q10:Q$18)),4)</f>
        <v>1.1152</v>
      </c>
      <c r="AD10" s="2689">
        <f>ROUND(AVERAGE(I10:I$19)/100,4)</f>
        <v>1.89E-2</v>
      </c>
      <c r="AE10" s="2689">
        <f>ROUND(AVERAGE(J10:J$19)/100,4)</f>
        <v>1.44E-2</v>
      </c>
      <c r="AF10" s="2689">
        <f t="shared" si="1"/>
        <v>1.44E-2</v>
      </c>
      <c r="AG10" s="2689">
        <f>ROUND(AVERAGE(K10:K$19)/100,4)</f>
        <v>2.06E-2</v>
      </c>
      <c r="AH10" s="2689">
        <f>ROUND(AVERAGE(L10:L$19)/100,4)</f>
        <v>1.23E-2</v>
      </c>
    </row>
    <row r="11" spans="1:34" ht="13.5" thickBot="1">
      <c r="A11" s="2669" t="s">
        <v>1166</v>
      </c>
      <c r="B11" s="2684">
        <f t="shared" si="10"/>
        <v>346.720748986128</v>
      </c>
      <c r="C11" s="2684">
        <f t="shared" si="10"/>
        <v>284.30282172386285</v>
      </c>
      <c r="D11" s="2684">
        <f t="shared" si="11"/>
        <v>284.30282172386285</v>
      </c>
      <c r="E11" s="2684">
        <f t="shared" si="12"/>
        <v>479.58023546306947</v>
      </c>
      <c r="F11" s="2684">
        <f t="shared" si="12"/>
        <v>253.25788877571213</v>
      </c>
      <c r="G11" s="3475"/>
      <c r="H11" s="2674">
        <v>1</v>
      </c>
      <c r="I11" s="2674">
        <v>4.09</v>
      </c>
      <c r="J11" s="2674">
        <v>2.93</v>
      </c>
      <c r="K11" s="2674">
        <v>4.54</v>
      </c>
      <c r="L11" s="2685">
        <v>1.48</v>
      </c>
      <c r="N11" s="2679">
        <f t="shared" si="13"/>
        <v>4.0899999999999999E-2</v>
      </c>
      <c r="O11" s="2680">
        <f t="shared" si="9"/>
        <v>2.9300000000000003E-2</v>
      </c>
      <c r="P11" s="2680">
        <f t="shared" si="9"/>
        <v>4.5400000000000003E-2</v>
      </c>
      <c r="Q11" s="2680">
        <f t="shared" si="9"/>
        <v>1.4800000000000001E-2</v>
      </c>
      <c r="R11" s="2681"/>
      <c r="S11" s="2687">
        <f>B11/B12-1</f>
        <v>4.1203450408792808E-2</v>
      </c>
      <c r="T11" s="2688">
        <f>C11/C12-1</f>
        <v>2.6363977342465095E-2</v>
      </c>
      <c r="U11" s="2688">
        <f>E11/E12-1</f>
        <v>4.4837114298626357E-2</v>
      </c>
      <c r="V11" s="2688">
        <f>F11/F12-1</f>
        <v>1.7099954922538574E-2</v>
      </c>
      <c r="X11" s="2769">
        <f>ROUND(SUMPRODUCT(PRODUCT(1+N11:N$18)),4)</f>
        <v>1.1269</v>
      </c>
      <c r="Y11" s="2769">
        <f>ROUND(SUMPRODUCT(PRODUCT(1+O11:O$18)),4)</f>
        <v>1.1052999999999999</v>
      </c>
      <c r="Z11" s="2769">
        <f t="shared" si="0"/>
        <v>1.1052999999999999</v>
      </c>
      <c r="AA11" s="2769">
        <f>ROUND(SUMPRODUCT(PRODUCT(1+P11:P$18)),4)</f>
        <v>1.1349</v>
      </c>
      <c r="AB11" s="2769">
        <f>ROUND(SUMPRODUCT(PRODUCT(1+Q11:Q$18)),4)</f>
        <v>1.0996999999999999</v>
      </c>
      <c r="AD11" s="2689">
        <f>ROUND(AVERAGE(I11:I$19)/100,4)</f>
        <v>1.67E-2</v>
      </c>
      <c r="AE11" s="2689">
        <f>ROUND(AVERAGE(J11:J$19)/100,4)</f>
        <v>1.38E-2</v>
      </c>
      <c r="AF11" s="2689">
        <f t="shared" si="1"/>
        <v>1.38E-2</v>
      </c>
      <c r="AG11" s="2689">
        <f>ROUND(AVERAGE(K11:K$19)/100,4)</f>
        <v>1.7899999999999999E-2</v>
      </c>
      <c r="AH11" s="2689">
        <f>ROUND(AVERAGE(L11:L$19)/100,4)</f>
        <v>1.21E-2</v>
      </c>
    </row>
    <row r="12" spans="1:34" ht="13.5" thickBot="1">
      <c r="A12" s="2669" t="s">
        <v>1165</v>
      </c>
      <c r="B12" s="2676">
        <v>333</v>
      </c>
      <c r="C12" s="2676">
        <v>277</v>
      </c>
      <c r="D12" s="2676">
        <f t="shared" si="11"/>
        <v>277</v>
      </c>
      <c r="E12" s="2676">
        <v>459</v>
      </c>
      <c r="F12" s="2677">
        <v>249</v>
      </c>
      <c r="G12" s="3473">
        <v>2015</v>
      </c>
      <c r="H12" s="2690">
        <v>4</v>
      </c>
      <c r="I12" s="2690">
        <v>1.63</v>
      </c>
      <c r="J12" s="2690">
        <v>1.1100000000000001</v>
      </c>
      <c r="K12" s="2690">
        <v>1.77</v>
      </c>
      <c r="L12" s="2691">
        <v>1.89</v>
      </c>
      <c r="N12" s="2692">
        <f t="shared" si="13"/>
        <v>1.6299999999999999E-2</v>
      </c>
      <c r="O12" s="2693">
        <f t="shared" si="9"/>
        <v>1.11E-2</v>
      </c>
      <c r="P12" s="2693">
        <f t="shared" si="9"/>
        <v>1.77E-2</v>
      </c>
      <c r="Q12" s="2693">
        <f t="shared" si="9"/>
        <v>1.89E-2</v>
      </c>
      <c r="R12" s="2681"/>
      <c r="X12" s="2769">
        <f>ROUND(SUMPRODUCT(PRODUCT(1+N12:N$18)),4)</f>
        <v>1.0826</v>
      </c>
      <c r="Y12" s="2769">
        <f>ROUND(SUMPRODUCT(PRODUCT(1+O12:O$18)),4)</f>
        <v>1.0738000000000001</v>
      </c>
      <c r="Z12" s="2769">
        <f t="shared" si="0"/>
        <v>1.0738000000000001</v>
      </c>
      <c r="AA12" s="2769">
        <f>ROUND(SUMPRODUCT(PRODUCT(1+P12:P$18)),4)</f>
        <v>1.0855999999999999</v>
      </c>
      <c r="AB12" s="2769">
        <f>ROUND(SUMPRODUCT(PRODUCT(1+Q12:Q$18)),4)</f>
        <v>1.0837000000000001</v>
      </c>
      <c r="AD12" s="2689">
        <f>ROUND(AVERAGE(I12:I$19)/100,4)</f>
        <v>1.37E-2</v>
      </c>
      <c r="AE12" s="2689">
        <f>ROUND(AVERAGE(J12:J$19)/100,4)</f>
        <v>1.1900000000000001E-2</v>
      </c>
      <c r="AF12" s="2689">
        <f t="shared" si="1"/>
        <v>1.1900000000000001E-2</v>
      </c>
      <c r="AG12" s="2689">
        <f>ROUND(AVERAGE(K12:K$19)/100,4)</f>
        <v>1.4500000000000001E-2</v>
      </c>
      <c r="AH12" s="2689">
        <f>ROUND(AVERAGE(L12:L$19)/100,4)</f>
        <v>1.18E-2</v>
      </c>
    </row>
    <row r="13" spans="1:34">
      <c r="A13" s="2669" t="s">
        <v>1164</v>
      </c>
      <c r="B13" s="2684">
        <f t="shared" ref="B13:C15" si="14">B12/(1+N12)</f>
        <v>327.65915576109415</v>
      </c>
      <c r="C13" s="2684">
        <f t="shared" si="14"/>
        <v>273.95905449510434</v>
      </c>
      <c r="D13" s="2684">
        <f t="shared" si="11"/>
        <v>273.95905449510434</v>
      </c>
      <c r="E13" s="2684">
        <f t="shared" ref="E13:F15" si="15">E12/(1+P12)</f>
        <v>451.01699911565294</v>
      </c>
      <c r="F13" s="2684">
        <f t="shared" si="15"/>
        <v>244.38119540681129</v>
      </c>
      <c r="G13" s="3474"/>
      <c r="H13" s="2695">
        <v>3</v>
      </c>
      <c r="I13" s="2695">
        <v>1.65</v>
      </c>
      <c r="J13" s="2695">
        <v>0.92</v>
      </c>
      <c r="K13" s="2695">
        <v>1.88</v>
      </c>
      <c r="L13" s="2696">
        <v>1.26</v>
      </c>
      <c r="N13" s="2679">
        <f t="shared" si="13"/>
        <v>1.6500000000000001E-2</v>
      </c>
      <c r="O13" s="2697">
        <f t="shared" si="9"/>
        <v>9.1999999999999998E-3</v>
      </c>
      <c r="P13" s="2697">
        <f t="shared" si="9"/>
        <v>1.8799999999999997E-2</v>
      </c>
      <c r="Q13" s="2697">
        <f t="shared" si="9"/>
        <v>1.26E-2</v>
      </c>
      <c r="R13" s="2681"/>
      <c r="S13" s="2679"/>
      <c r="T13" s="2680"/>
      <c r="U13" s="2680"/>
      <c r="V13" s="2680"/>
      <c r="X13" s="2769">
        <f>ROUND(SUMPRODUCT(PRODUCT(1+N13:N$18)),4)</f>
        <v>1.0651999999999999</v>
      </c>
      <c r="Y13" s="2769">
        <f>ROUND(SUMPRODUCT(PRODUCT(1+O13:O$18)),4)</f>
        <v>1.0621</v>
      </c>
      <c r="Z13" s="2769">
        <f t="shared" si="0"/>
        <v>1.0621</v>
      </c>
      <c r="AA13" s="2769">
        <f>ROUND(SUMPRODUCT(PRODUCT(1+P13:P$18)),4)</f>
        <v>1.0668</v>
      </c>
      <c r="AB13" s="2769">
        <f>ROUND(SUMPRODUCT(PRODUCT(1+Q13:Q$18)),4)</f>
        <v>1.0636000000000001</v>
      </c>
      <c r="AD13" s="2689">
        <f>ROUND(AVERAGE(I13:I$19)/100,4)</f>
        <v>1.3299999999999999E-2</v>
      </c>
      <c r="AE13" s="2689">
        <f>ROUND(AVERAGE(J13:J$19)/100,4)</f>
        <v>1.2E-2</v>
      </c>
      <c r="AF13" s="2689">
        <f t="shared" si="1"/>
        <v>1.2E-2</v>
      </c>
      <c r="AG13" s="2689">
        <f>ROUND(AVERAGE(K13:K$19)/100,4)</f>
        <v>1.4E-2</v>
      </c>
      <c r="AH13" s="2689">
        <f>ROUND(AVERAGE(L13:L$19)/100,4)</f>
        <v>1.0800000000000001E-2</v>
      </c>
    </row>
    <row r="14" spans="1:34">
      <c r="A14" s="2669" t="s">
        <v>1163</v>
      </c>
      <c r="B14" s="2684">
        <f t="shared" si="14"/>
        <v>322.34053690220776</v>
      </c>
      <c r="C14" s="2684">
        <f t="shared" si="14"/>
        <v>271.46160770422546</v>
      </c>
      <c r="D14" s="2684">
        <f t="shared" si="11"/>
        <v>271.46160770422546</v>
      </c>
      <c r="E14" s="2684">
        <f t="shared" si="15"/>
        <v>442.69434542172456</v>
      </c>
      <c r="F14" s="2684">
        <f t="shared" si="15"/>
        <v>241.34030753190925</v>
      </c>
      <c r="G14" s="3474"/>
      <c r="H14" s="2675">
        <v>2</v>
      </c>
      <c r="I14" s="2675">
        <v>0.77</v>
      </c>
      <c r="J14" s="2675">
        <v>0.69</v>
      </c>
      <c r="K14" s="2675">
        <v>0.8</v>
      </c>
      <c r="L14" s="2686">
        <v>0.88</v>
      </c>
      <c r="N14" s="2679">
        <f t="shared" si="13"/>
        <v>7.7000000000000002E-3</v>
      </c>
      <c r="O14" s="2697">
        <f t="shared" si="9"/>
        <v>6.8999999999999999E-3</v>
      </c>
      <c r="P14" s="2697">
        <f t="shared" si="9"/>
        <v>8.0000000000000002E-3</v>
      </c>
      <c r="Q14" s="2697">
        <f t="shared" si="9"/>
        <v>8.8000000000000005E-3</v>
      </c>
      <c r="R14" s="2681"/>
      <c r="S14" s="2679"/>
      <c r="T14" s="2680"/>
      <c r="U14" s="2680"/>
      <c r="V14" s="2680"/>
      <c r="X14" s="2769">
        <f>ROUND(SUMPRODUCT(PRODUCT(1+N14:N$18)),4)</f>
        <v>1.048</v>
      </c>
      <c r="Y14" s="2769">
        <f>ROUND(SUMPRODUCT(PRODUCT(1+O14:O$18)),4)</f>
        <v>1.0524</v>
      </c>
      <c r="Z14" s="2769">
        <f t="shared" si="0"/>
        <v>1.0524</v>
      </c>
      <c r="AA14" s="2769">
        <f>ROUND(SUMPRODUCT(PRODUCT(1+P14:P$18)),4)</f>
        <v>1.0470999999999999</v>
      </c>
      <c r="AB14" s="2769">
        <f>ROUND(SUMPRODUCT(PRODUCT(1+Q14:Q$18)),4)</f>
        <v>1.0504</v>
      </c>
      <c r="AD14" s="2689">
        <f>ROUND(AVERAGE(I14:I$19)/100,4)</f>
        <v>1.2800000000000001E-2</v>
      </c>
      <c r="AE14" s="2689">
        <f>ROUND(AVERAGE(J14:J$19)/100,4)</f>
        <v>1.2500000000000001E-2</v>
      </c>
      <c r="AF14" s="2689">
        <f t="shared" si="1"/>
        <v>1.2500000000000001E-2</v>
      </c>
      <c r="AG14" s="2689">
        <f>ROUND(AVERAGE(K14:K$19)/100,4)</f>
        <v>1.32E-2</v>
      </c>
      <c r="AH14" s="2689">
        <f>ROUND(AVERAGE(L14:L$19)/100,4)</f>
        <v>1.0500000000000001E-2</v>
      </c>
    </row>
    <row r="15" spans="1:34">
      <c r="A15" s="2669" t="s">
        <v>1162</v>
      </c>
      <c r="B15" s="2684">
        <f t="shared" si="14"/>
        <v>319.87748030386797</v>
      </c>
      <c r="C15" s="2684">
        <f t="shared" si="14"/>
        <v>269.60135833173649</v>
      </c>
      <c r="D15" s="2684">
        <f t="shared" si="11"/>
        <v>269.60135833173649</v>
      </c>
      <c r="E15" s="2684">
        <f t="shared" si="15"/>
        <v>439.18089823583784</v>
      </c>
      <c r="F15" s="2684">
        <f t="shared" si="15"/>
        <v>239.23503918706311</v>
      </c>
      <c r="G15" s="3475"/>
      <c r="H15" s="2674">
        <v>1</v>
      </c>
      <c r="I15" s="2674">
        <v>0.51</v>
      </c>
      <c r="J15" s="2674">
        <v>0.54</v>
      </c>
      <c r="K15" s="2674">
        <v>0.48</v>
      </c>
      <c r="L15" s="2685">
        <v>0.93</v>
      </c>
      <c r="N15" s="2687">
        <f t="shared" si="13"/>
        <v>5.1000000000000004E-3</v>
      </c>
      <c r="O15" s="2688">
        <f t="shared" si="9"/>
        <v>5.4000000000000003E-3</v>
      </c>
      <c r="P15" s="2688">
        <f t="shared" si="9"/>
        <v>4.7999999999999996E-3</v>
      </c>
      <c r="Q15" s="2688">
        <f t="shared" si="9"/>
        <v>9.300000000000001E-3</v>
      </c>
      <c r="R15" s="2681"/>
      <c r="S15" s="2687">
        <f>B15/B16-1</f>
        <v>5.9040261127922822E-3</v>
      </c>
      <c r="T15" s="2688">
        <f>C15/C16-1</f>
        <v>5.9752176557332781E-3</v>
      </c>
      <c r="U15" s="2688">
        <f>E15/E16-1</f>
        <v>4.9906138119859556E-3</v>
      </c>
      <c r="V15" s="2688">
        <f>F15/F16-1</f>
        <v>9.4305450930933787E-3</v>
      </c>
      <c r="X15" s="2769">
        <f>ROUND(SUMPRODUCT(PRODUCT(1+N15:N$18)),4)</f>
        <v>1.0399</v>
      </c>
      <c r="Y15" s="2769">
        <f>ROUND(SUMPRODUCT(PRODUCT(1+O15:O$18)),4)</f>
        <v>1.0451999999999999</v>
      </c>
      <c r="Z15" s="2769">
        <f t="shared" si="0"/>
        <v>1.0451999999999999</v>
      </c>
      <c r="AA15" s="2769">
        <f>ROUND(SUMPRODUCT(PRODUCT(1+P15:P$18)),4)</f>
        <v>1.0387999999999999</v>
      </c>
      <c r="AB15" s="2769">
        <f>ROUND(SUMPRODUCT(PRODUCT(1+Q15:Q$18)),4)</f>
        <v>1.0411999999999999</v>
      </c>
      <c r="AD15" s="2689">
        <f>ROUND(AVERAGE(I15:I$19)/100,4)</f>
        <v>1.38E-2</v>
      </c>
      <c r="AE15" s="2689">
        <f>ROUND(AVERAGE(J15:J$19)/100,4)</f>
        <v>1.3599999999999999E-2</v>
      </c>
      <c r="AF15" s="2689">
        <f t="shared" si="1"/>
        <v>1.3599999999999999E-2</v>
      </c>
      <c r="AG15" s="2689">
        <f>ROUND(AVERAGE(K15:K$19)/100,4)</f>
        <v>1.4200000000000001E-2</v>
      </c>
      <c r="AH15" s="2689">
        <f>ROUND(AVERAGE(L15:L$19)/100,4)</f>
        <v>1.0800000000000001E-2</v>
      </c>
    </row>
    <row r="16" spans="1:34" ht="13.5" thickBot="1">
      <c r="A16" s="2669" t="s">
        <v>1161</v>
      </c>
      <c r="B16" s="2698">
        <v>318</v>
      </c>
      <c r="C16" s="2698">
        <v>268</v>
      </c>
      <c r="D16" s="2698">
        <f t="shared" si="11"/>
        <v>268</v>
      </c>
      <c r="E16" s="2698">
        <v>437</v>
      </c>
      <c r="F16" s="2699">
        <v>237</v>
      </c>
      <c r="G16" s="3473">
        <v>2014</v>
      </c>
      <c r="H16" s="2690">
        <v>4</v>
      </c>
      <c r="I16" s="2690">
        <v>0.21</v>
      </c>
      <c r="J16" s="2690">
        <v>0.41</v>
      </c>
      <c r="K16" s="2690">
        <v>0.12</v>
      </c>
      <c r="L16" s="2691">
        <v>0.89</v>
      </c>
      <c r="N16" s="2679">
        <f t="shared" si="13"/>
        <v>2.0999999999999999E-3</v>
      </c>
      <c r="O16" s="2680">
        <f t="shared" si="9"/>
        <v>4.0999999999999995E-3</v>
      </c>
      <c r="P16" s="2680">
        <f t="shared" si="9"/>
        <v>1.1999999999999999E-3</v>
      </c>
      <c r="Q16" s="2680">
        <f t="shared" si="9"/>
        <v>8.8999999999999999E-3</v>
      </c>
      <c r="R16" s="2681"/>
      <c r="S16" s="2682"/>
      <c r="T16" s="2683"/>
      <c r="U16" s="2683"/>
      <c r="V16" s="2683"/>
      <c r="X16" s="2769">
        <f>ROUND(SUMPRODUCT(PRODUCT(1+N16:N$18)),4)</f>
        <v>1.0347</v>
      </c>
      <c r="Y16" s="2769">
        <f>ROUND(SUMPRODUCT(PRODUCT(1+O16:O$18)),4)</f>
        <v>1.0395000000000001</v>
      </c>
      <c r="Z16" s="2769">
        <f t="shared" si="0"/>
        <v>1.0395000000000001</v>
      </c>
      <c r="AA16" s="2769">
        <f>ROUND(SUMPRODUCT(PRODUCT(1+P16:P$18)),4)</f>
        <v>1.0338000000000001</v>
      </c>
      <c r="AB16" s="2769">
        <f>ROUND(SUMPRODUCT(PRODUCT(1+Q16:Q$18)),4)</f>
        <v>1.0316000000000001</v>
      </c>
      <c r="AD16" s="2689">
        <f>ROUND(AVERAGE(I16:I$19)/100,4)</f>
        <v>1.6E-2</v>
      </c>
      <c r="AE16" s="2689">
        <f>ROUND(AVERAGE(J16:J$19)/100,4)</f>
        <v>1.5599999999999999E-2</v>
      </c>
      <c r="AF16" s="2689">
        <f t="shared" si="1"/>
        <v>1.5599999999999999E-2</v>
      </c>
      <c r="AG16" s="2689">
        <f>ROUND(AVERAGE(K16:K$19)/100,4)</f>
        <v>1.66E-2</v>
      </c>
      <c r="AH16" s="2689">
        <f>ROUND(AVERAGE(L16:L$19)/100,4)</f>
        <v>1.12E-2</v>
      </c>
    </row>
    <row r="17" spans="1:34">
      <c r="A17" s="2669" t="s">
        <v>1160</v>
      </c>
      <c r="B17" s="2684">
        <f t="shared" ref="B17:C19" si="16">B16/(1+N16)</f>
        <v>317.33359944117353</v>
      </c>
      <c r="C17" s="2684">
        <f t="shared" si="16"/>
        <v>266.90568668459315</v>
      </c>
      <c r="D17" s="2684">
        <f t="shared" si="11"/>
        <v>266.90568668459315</v>
      </c>
      <c r="E17" s="2684">
        <f t="shared" ref="E17:F19" si="17">E16/(1+P16)</f>
        <v>436.47622852576905</v>
      </c>
      <c r="F17" s="2684">
        <f t="shared" si="17"/>
        <v>234.90930716622066</v>
      </c>
      <c r="G17" s="3474"/>
      <c r="H17" s="2700">
        <v>3</v>
      </c>
      <c r="I17" s="2700">
        <v>0.83</v>
      </c>
      <c r="J17" s="2700">
        <v>1.47</v>
      </c>
      <c r="K17" s="2700">
        <v>0.65</v>
      </c>
      <c r="L17" s="2701">
        <v>0.72</v>
      </c>
      <c r="N17" s="2679">
        <f t="shared" si="13"/>
        <v>8.3000000000000001E-3</v>
      </c>
      <c r="O17" s="2680">
        <f t="shared" si="9"/>
        <v>1.47E-2</v>
      </c>
      <c r="P17" s="2680">
        <f t="shared" si="9"/>
        <v>6.5000000000000006E-3</v>
      </c>
      <c r="Q17" s="2680">
        <f t="shared" si="9"/>
        <v>7.1999999999999998E-3</v>
      </c>
      <c r="R17" s="2681"/>
      <c r="S17" s="2679"/>
      <c r="T17" s="2680"/>
      <c r="U17" s="2680"/>
      <c r="V17" s="2680"/>
      <c r="X17" s="2769">
        <f>ROUND(SUMPRODUCT(PRODUCT(1+N17:N$18)),4)</f>
        <v>1.0325</v>
      </c>
      <c r="Y17" s="2769">
        <f>ROUND(SUMPRODUCT(PRODUCT(1+O17:O$18)),4)</f>
        <v>1.0353000000000001</v>
      </c>
      <c r="Z17" s="2769">
        <f t="shared" ref="Z17:Z18" si="18">Y17</f>
        <v>1.0353000000000001</v>
      </c>
      <c r="AA17" s="2769">
        <f>ROUND(SUMPRODUCT(PRODUCT(1+P17:P$18)),4)</f>
        <v>1.0326</v>
      </c>
      <c r="AB17" s="2769">
        <f>ROUND(SUMPRODUCT(PRODUCT(1+Q17:Q$18)),4)</f>
        <v>1.0225</v>
      </c>
      <c r="AD17" s="2689">
        <f>ROUND(AVERAGE(I17:I$19)/100,4)</f>
        <v>2.07E-2</v>
      </c>
      <c r="AE17" s="2689">
        <f>ROUND(AVERAGE(J17:J$19)/100,4)</f>
        <v>1.95E-2</v>
      </c>
      <c r="AF17" s="2689">
        <f t="shared" si="1"/>
        <v>1.95E-2</v>
      </c>
      <c r="AG17" s="2689">
        <f>ROUND(AVERAGE(K17:K$19)/100,4)</f>
        <v>2.1700000000000001E-2</v>
      </c>
      <c r="AH17" s="2689">
        <f>ROUND(AVERAGE(L17:L$19)/100,4)</f>
        <v>1.2E-2</v>
      </c>
    </row>
    <row r="18" spans="1:34" ht="13.5" thickBot="1">
      <c r="A18" s="2669" t="s">
        <v>1159</v>
      </c>
      <c r="B18" s="2684">
        <f t="shared" si="16"/>
        <v>314.72141172386546</v>
      </c>
      <c r="C18" s="2684">
        <f t="shared" si="16"/>
        <v>263.03901319069001</v>
      </c>
      <c r="D18" s="2684">
        <f t="shared" si="11"/>
        <v>263.03901319069001</v>
      </c>
      <c r="E18" s="2684">
        <f t="shared" si="17"/>
        <v>433.65745506782821</v>
      </c>
      <c r="F18" s="2684">
        <f t="shared" si="17"/>
        <v>233.23005080045735</v>
      </c>
      <c r="G18" s="3474"/>
      <c r="H18" s="2690">
        <v>2</v>
      </c>
      <c r="I18" s="2690">
        <v>2.4</v>
      </c>
      <c r="J18" s="2690">
        <v>2.0299999999999998</v>
      </c>
      <c r="K18" s="2690">
        <v>2.59</v>
      </c>
      <c r="L18" s="2691">
        <v>1.52</v>
      </c>
      <c r="N18" s="2679">
        <f t="shared" si="13"/>
        <v>2.4E-2</v>
      </c>
      <c r="O18" s="2680">
        <f t="shared" si="9"/>
        <v>2.0299999999999999E-2</v>
      </c>
      <c r="P18" s="2680">
        <f t="shared" si="9"/>
        <v>2.5899999999999999E-2</v>
      </c>
      <c r="Q18" s="2680">
        <f t="shared" si="9"/>
        <v>1.52E-2</v>
      </c>
      <c r="R18" s="2681"/>
      <c r="S18" s="2679"/>
      <c r="T18" s="2680"/>
      <c r="U18" s="2680"/>
      <c r="V18" s="2680"/>
      <c r="X18" s="2769">
        <f>1+N18</f>
        <v>1.024</v>
      </c>
      <c r="Y18" s="2769">
        <f>1+O18</f>
        <v>1.0203</v>
      </c>
      <c r="Z18" s="2769">
        <f t="shared" si="18"/>
        <v>1.0203</v>
      </c>
      <c r="AA18" s="2769">
        <f>1+P18</f>
        <v>1.0259</v>
      </c>
      <c r="AB18" s="2769">
        <f>1+Q18</f>
        <v>1.0152000000000001</v>
      </c>
      <c r="AD18" s="2689">
        <f>ROUND(AVERAGE(I18:I$19)/100,4)</f>
        <v>2.69E-2</v>
      </c>
      <c r="AE18" s="2689">
        <f>ROUND(AVERAGE(J18:J$19)/100,4)</f>
        <v>2.1899999999999999E-2</v>
      </c>
      <c r="AF18" s="2689">
        <f t="shared" ref="AF18" si="19">AE18</f>
        <v>2.1899999999999999E-2</v>
      </c>
      <c r="AG18" s="2689">
        <f>ROUND(AVERAGE(K18:K$19)/100,4)</f>
        <v>2.9399999999999999E-2</v>
      </c>
      <c r="AH18" s="2689">
        <f>ROUND(AVERAGE(L18:L$19)/100,4)</f>
        <v>1.44E-2</v>
      </c>
    </row>
    <row r="19" spans="1:34" s="2706" customFormat="1" ht="13.5" thickBot="1">
      <c r="A19" s="2702" t="s">
        <v>1158</v>
      </c>
      <c r="B19" s="2703">
        <f t="shared" si="16"/>
        <v>307.34512863658733</v>
      </c>
      <c r="C19" s="2703">
        <f t="shared" si="16"/>
        <v>257.80556031626975</v>
      </c>
      <c r="D19" s="2703">
        <f t="shared" si="11"/>
        <v>257.80556031626975</v>
      </c>
      <c r="E19" s="2703">
        <f t="shared" si="17"/>
        <v>422.70928459677179</v>
      </c>
      <c r="F19" s="2703">
        <f t="shared" si="17"/>
        <v>229.73803270336617</v>
      </c>
      <c r="G19" s="3475"/>
      <c r="H19" s="2704">
        <v>1</v>
      </c>
      <c r="I19" s="2704">
        <v>2.97</v>
      </c>
      <c r="J19" s="2704">
        <v>2.34</v>
      </c>
      <c r="K19" s="2704">
        <v>3.28</v>
      </c>
      <c r="L19" s="2705">
        <v>1.36</v>
      </c>
      <c r="N19" s="2707">
        <f t="shared" si="13"/>
        <v>2.9700000000000001E-2</v>
      </c>
      <c r="O19" s="2708">
        <f t="shared" si="9"/>
        <v>2.3399999999999997E-2</v>
      </c>
      <c r="P19" s="2708">
        <f t="shared" si="9"/>
        <v>3.2799999999999996E-2</v>
      </c>
      <c r="Q19" s="2708">
        <f t="shared" si="9"/>
        <v>1.3600000000000001E-2</v>
      </c>
      <c r="R19" s="2709"/>
      <c r="S19" s="2710">
        <f>B19/B20-1</f>
        <v>2.7910129219355539E-2</v>
      </c>
      <c r="T19" s="2711">
        <f>C19/C20-1</f>
        <v>2.3037937762975247E-2</v>
      </c>
      <c r="U19" s="2711">
        <f>E19/E20-1</f>
        <v>3.3519033243940788E-2</v>
      </c>
      <c r="V19" s="2711">
        <f>F19/F20-1</f>
        <v>1.2061818076502862E-2</v>
      </c>
      <c r="W19" s="2780" t="s">
        <v>2916</v>
      </c>
      <c r="X19" s="2782">
        <v>1</v>
      </c>
      <c r="Y19" s="2782">
        <v>1</v>
      </c>
      <c r="Z19" s="2782">
        <v>1</v>
      </c>
      <c r="AA19" s="2782">
        <v>1</v>
      </c>
      <c r="AB19" s="2782">
        <v>1</v>
      </c>
      <c r="AD19" s="3027">
        <f>I19/100</f>
        <v>2.9700000000000001E-2</v>
      </c>
      <c r="AE19" s="3027">
        <f>J19/100</f>
        <v>2.3399999999999997E-2</v>
      </c>
      <c r="AF19" s="3027">
        <f>AE19</f>
        <v>2.3399999999999997E-2</v>
      </c>
      <c r="AG19" s="3027">
        <f>K19/100</f>
        <v>3.2799999999999996E-2</v>
      </c>
      <c r="AH19" s="3027">
        <f>L19/100</f>
        <v>1.3600000000000001E-2</v>
      </c>
    </row>
    <row r="20" spans="1:34" ht="13.5" thickBot="1">
      <c r="A20" s="2669" t="s">
        <v>2858</v>
      </c>
      <c r="B20" s="2676">
        <v>299</v>
      </c>
      <c r="C20" s="2676">
        <v>252</v>
      </c>
      <c r="D20" s="2676">
        <f t="shared" si="11"/>
        <v>252</v>
      </c>
      <c r="E20" s="2676">
        <v>409</v>
      </c>
      <c r="F20" s="2677">
        <v>227</v>
      </c>
      <c r="G20" s="3480">
        <v>2013</v>
      </c>
      <c r="H20" s="2712">
        <v>4</v>
      </c>
      <c r="I20" s="2712">
        <v>1.83</v>
      </c>
      <c r="J20" s="2712">
        <v>1.68</v>
      </c>
      <c r="K20" s="2712">
        <v>1.97</v>
      </c>
      <c r="L20" s="2713">
        <v>0.87</v>
      </c>
      <c r="N20" s="2692">
        <f t="shared" si="13"/>
        <v>1.83E-2</v>
      </c>
      <c r="O20" s="2693">
        <f t="shared" si="9"/>
        <v>1.6799999999999999E-2</v>
      </c>
      <c r="P20" s="2693">
        <f t="shared" si="9"/>
        <v>1.9699999999999999E-2</v>
      </c>
      <c r="Q20" s="2693">
        <f t="shared" si="9"/>
        <v>8.6999999999999994E-3</v>
      </c>
      <c r="R20" s="2681"/>
      <c r="S20" s="2682"/>
      <c r="T20" s="2683"/>
      <c r="U20" s="2683"/>
      <c r="V20" s="2683"/>
      <c r="X20" s="2683"/>
      <c r="Y20" s="2683"/>
      <c r="Z20" s="2683"/>
    </row>
    <row r="21" spans="1:34">
      <c r="A21" s="2669" t="s">
        <v>2859</v>
      </c>
      <c r="B21" s="2684">
        <f t="shared" ref="B21:C23" si="20">B20/(1+N20)</f>
        <v>293.62663262299913</v>
      </c>
      <c r="C21" s="2684">
        <f t="shared" si="20"/>
        <v>247.83634933123525</v>
      </c>
      <c r="D21" s="2684">
        <f t="shared" si="11"/>
        <v>247.83634933123525</v>
      </c>
      <c r="E21" s="2684">
        <f t="shared" ref="E21:F23" si="21">E20/(1+P20)</f>
        <v>401.09836226341076</v>
      </c>
      <c r="F21" s="2684">
        <f t="shared" si="21"/>
        <v>225.04213343908003</v>
      </c>
      <c r="G21" s="3481"/>
      <c r="H21" s="2695">
        <v>3</v>
      </c>
      <c r="I21" s="2695">
        <v>1.86</v>
      </c>
      <c r="J21" s="2695">
        <v>1.72</v>
      </c>
      <c r="K21" s="2695">
        <v>1.98</v>
      </c>
      <c r="L21" s="2696">
        <v>0.88</v>
      </c>
      <c r="N21" s="2679">
        <f t="shared" si="13"/>
        <v>1.8600000000000002E-2</v>
      </c>
      <c r="O21" s="2697">
        <f t="shared" si="9"/>
        <v>1.72E-2</v>
      </c>
      <c r="P21" s="2697">
        <f t="shared" si="9"/>
        <v>1.9799999999999998E-2</v>
      </c>
      <c r="Q21" s="2697">
        <f t="shared" si="9"/>
        <v>8.8000000000000005E-3</v>
      </c>
      <c r="R21" s="2681"/>
      <c r="S21" s="2679"/>
      <c r="T21" s="2680"/>
      <c r="U21" s="2680"/>
      <c r="V21" s="2680"/>
    </row>
    <row r="22" spans="1:34">
      <c r="A22" s="2669" t="s">
        <v>2860</v>
      </c>
      <c r="B22" s="2684">
        <f t="shared" si="20"/>
        <v>288.2649053828776</v>
      </c>
      <c r="C22" s="2684">
        <f t="shared" si="20"/>
        <v>243.64564425013293</v>
      </c>
      <c r="D22" s="2684">
        <f t="shared" si="11"/>
        <v>243.64564425013293</v>
      </c>
      <c r="E22" s="2684">
        <f t="shared" si="21"/>
        <v>393.31080825986544</v>
      </c>
      <c r="F22" s="2684">
        <f t="shared" si="21"/>
        <v>223.07903790551154</v>
      </c>
      <c r="G22" s="3481"/>
      <c r="H22" s="2675">
        <v>2</v>
      </c>
      <c r="I22" s="2675">
        <v>2.04</v>
      </c>
      <c r="J22" s="2675">
        <v>2.33</v>
      </c>
      <c r="K22" s="2675">
        <v>2.0699999999999998</v>
      </c>
      <c r="L22" s="2686">
        <v>0.69</v>
      </c>
      <c r="N22" s="2679">
        <f t="shared" si="13"/>
        <v>2.0400000000000001E-2</v>
      </c>
      <c r="O22" s="2697">
        <f t="shared" si="9"/>
        <v>2.3300000000000001E-2</v>
      </c>
      <c r="P22" s="2697">
        <f t="shared" si="9"/>
        <v>2.07E-2</v>
      </c>
      <c r="Q22" s="2697">
        <f t="shared" si="9"/>
        <v>6.8999999999999999E-3</v>
      </c>
      <c r="R22" s="2681"/>
      <c r="S22" s="2679"/>
      <c r="T22" s="2680"/>
      <c r="U22" s="2680"/>
      <c r="V22" s="2680"/>
      <c r="X22" s="2783"/>
      <c r="Y22" s="2785"/>
    </row>
    <row r="23" spans="1:34">
      <c r="A23" s="2669" t="s">
        <v>2861</v>
      </c>
      <c r="B23" s="2684">
        <f t="shared" si="20"/>
        <v>282.50186729015837</v>
      </c>
      <c r="C23" s="2684">
        <f t="shared" si="20"/>
        <v>238.09796174155468</v>
      </c>
      <c r="D23" s="2684">
        <f t="shared" si="11"/>
        <v>238.09796174155468</v>
      </c>
      <c r="E23" s="2684">
        <f t="shared" si="21"/>
        <v>385.33438646014054</v>
      </c>
      <c r="F23" s="2684">
        <f t="shared" si="21"/>
        <v>221.55034055567739</v>
      </c>
      <c r="G23" s="3482"/>
      <c r="H23" s="2674">
        <v>1</v>
      </c>
      <c r="I23" s="2674">
        <v>1.67</v>
      </c>
      <c r="J23" s="2674">
        <v>1.31</v>
      </c>
      <c r="K23" s="2674">
        <v>1.85</v>
      </c>
      <c r="L23" s="2685">
        <v>0.96</v>
      </c>
      <c r="N23" s="2687">
        <f t="shared" si="13"/>
        <v>1.67E-2</v>
      </c>
      <c r="O23" s="2688">
        <f t="shared" si="9"/>
        <v>1.3100000000000001E-2</v>
      </c>
      <c r="P23" s="2688">
        <f t="shared" si="9"/>
        <v>1.8500000000000003E-2</v>
      </c>
      <c r="Q23" s="2688">
        <f t="shared" si="9"/>
        <v>9.5999999999999992E-3</v>
      </c>
      <c r="R23" s="2681"/>
      <c r="S23" s="2687">
        <f>B23/B24-1</f>
        <v>1.6193767230785472E-2</v>
      </c>
      <c r="T23" s="2688">
        <f>C23/C24-1</f>
        <v>1.7512657015190891E-2</v>
      </c>
      <c r="U23" s="2688">
        <f>E23/E24-1</f>
        <v>1.6713420739157048E-2</v>
      </c>
      <c r="V23" s="2688">
        <f>F23/F24-1</f>
        <v>7.0470025258062563E-3</v>
      </c>
      <c r="X23" s="2784"/>
      <c r="Y23" s="2689"/>
      <c r="Z23" s="2689"/>
    </row>
    <row r="24" spans="1:34" ht="13.5" thickBot="1">
      <c r="A24" s="2669" t="s">
        <v>2862</v>
      </c>
      <c r="B24" s="2714">
        <v>278</v>
      </c>
      <c r="C24" s="2714">
        <v>234</v>
      </c>
      <c r="D24" s="2714">
        <f t="shared" si="11"/>
        <v>234</v>
      </c>
      <c r="E24" s="2714">
        <v>379</v>
      </c>
      <c r="F24" s="2715">
        <v>220</v>
      </c>
      <c r="G24" s="3473">
        <v>2012</v>
      </c>
      <c r="H24" s="2690">
        <v>4</v>
      </c>
      <c r="I24" s="2690">
        <v>0.91</v>
      </c>
      <c r="J24" s="2690">
        <v>0.68</v>
      </c>
      <c r="K24" s="2690">
        <v>0.98</v>
      </c>
      <c r="L24" s="2691">
        <v>0.9</v>
      </c>
      <c r="N24" s="2679">
        <f t="shared" si="13"/>
        <v>9.1000000000000004E-3</v>
      </c>
      <c r="O24" s="2680">
        <f t="shared" si="13"/>
        <v>6.8000000000000005E-3</v>
      </c>
      <c r="P24" s="2680">
        <f t="shared" si="13"/>
        <v>9.7999999999999997E-3</v>
      </c>
      <c r="Q24" s="2680">
        <f t="shared" si="13"/>
        <v>9.0000000000000011E-3</v>
      </c>
      <c r="R24" s="2681"/>
      <c r="S24" s="2682"/>
      <c r="T24" s="2683"/>
      <c r="U24" s="2683"/>
      <c r="V24" s="2683"/>
      <c r="X24" s="2683"/>
      <c r="Y24" s="2683"/>
      <c r="Z24" s="2683"/>
    </row>
    <row r="25" spans="1:34">
      <c r="A25" s="2669" t="s">
        <v>2863</v>
      </c>
      <c r="B25" s="2684">
        <f>B24/(1+N24)</f>
        <v>275.49301357645425</v>
      </c>
      <c r="C25" s="2684">
        <f>C24/(1+O24)</f>
        <v>232.41954707985698</v>
      </c>
      <c r="D25" s="2684">
        <f t="shared" si="11"/>
        <v>232.41954707985698</v>
      </c>
      <c r="E25" s="2684">
        <f t="shared" ref="E25:F27" si="22">E24/(1+P24)</f>
        <v>375.32184591008121</v>
      </c>
      <c r="F25" s="2684">
        <f t="shared" si="22"/>
        <v>218.03766105054513</v>
      </c>
      <c r="G25" s="3474"/>
      <c r="H25" s="2695">
        <v>3</v>
      </c>
      <c r="I25" s="2695">
        <v>0.09</v>
      </c>
      <c r="J25" s="2695">
        <v>0.28999999999999998</v>
      </c>
      <c r="K25" s="2695">
        <v>-0.01</v>
      </c>
      <c r="L25" s="2696">
        <v>0.57999999999999996</v>
      </c>
      <c r="N25" s="2679">
        <f t="shared" si="13"/>
        <v>8.9999999999999998E-4</v>
      </c>
      <c r="O25" s="2680">
        <f t="shared" si="13"/>
        <v>2.8999999999999998E-3</v>
      </c>
      <c r="P25" s="2680">
        <f t="shared" si="13"/>
        <v>-1E-4</v>
      </c>
      <c r="Q25" s="2680">
        <f t="shared" si="13"/>
        <v>5.7999999999999996E-3</v>
      </c>
      <c r="R25" s="2681"/>
      <c r="S25" s="2679"/>
      <c r="T25" s="2680"/>
      <c r="U25" s="2680"/>
      <c r="V25" s="2680"/>
    </row>
    <row r="26" spans="1:34">
      <c r="A26" s="2669" t="s">
        <v>2864</v>
      </c>
      <c r="B26" s="2684">
        <f>B25/(1+N25)</f>
        <v>275.24529281292263</v>
      </c>
      <c r="C26" s="2684">
        <f>C25/(1+O25)</f>
        <v>231.74747938962707</v>
      </c>
      <c r="D26" s="2684">
        <f t="shared" si="11"/>
        <v>231.74747938962707</v>
      </c>
      <c r="E26" s="2684">
        <f t="shared" si="22"/>
        <v>375.35938184826603</v>
      </c>
      <c r="F26" s="2684">
        <f t="shared" si="22"/>
        <v>216.78033510692495</v>
      </c>
      <c r="G26" s="3474"/>
      <c r="H26" s="2675">
        <v>2</v>
      </c>
      <c r="I26" s="2675">
        <v>0.02</v>
      </c>
      <c r="J26" s="2675">
        <v>0.12</v>
      </c>
      <c r="K26" s="2675">
        <v>-0.08</v>
      </c>
      <c r="L26" s="2686">
        <v>1.24</v>
      </c>
      <c r="N26" s="2679">
        <f t="shared" si="13"/>
        <v>2.0000000000000001E-4</v>
      </c>
      <c r="O26" s="2680">
        <f t="shared" si="13"/>
        <v>1.1999999999999999E-3</v>
      </c>
      <c r="P26" s="2680">
        <f t="shared" si="13"/>
        <v>-8.0000000000000004E-4</v>
      </c>
      <c r="Q26" s="2680">
        <f t="shared" si="13"/>
        <v>1.24E-2</v>
      </c>
      <c r="R26" s="2681"/>
      <c r="S26" s="2679"/>
      <c r="T26" s="2680"/>
      <c r="U26" s="2680"/>
      <c r="V26" s="2680"/>
    </row>
    <row r="27" spans="1:34" ht="13.5" thickBot="1">
      <c r="A27" s="2669" t="s">
        <v>2865</v>
      </c>
      <c r="B27" s="2684">
        <f>B26/(1+N26)</f>
        <v>275.19025476197027</v>
      </c>
      <c r="C27" s="2716">
        <v>232</v>
      </c>
      <c r="D27" s="2716">
        <f t="shared" si="11"/>
        <v>232</v>
      </c>
      <c r="E27" s="2684">
        <f t="shared" si="22"/>
        <v>375.65990977608692</v>
      </c>
      <c r="F27" s="2684">
        <f t="shared" si="22"/>
        <v>214.12518283971252</v>
      </c>
      <c r="G27" s="3475"/>
      <c r="H27" s="2674">
        <v>1</v>
      </c>
      <c r="I27" s="2674">
        <v>0.02</v>
      </c>
      <c r="J27" s="2674">
        <v>0.13</v>
      </c>
      <c r="K27" s="2674">
        <v>-0.04</v>
      </c>
      <c r="L27" s="2685">
        <v>0.46</v>
      </c>
      <c r="N27" s="2679">
        <f t="shared" si="13"/>
        <v>2.0000000000000001E-4</v>
      </c>
      <c r="O27" s="2680">
        <f t="shared" si="13"/>
        <v>1.2999999999999999E-3</v>
      </c>
      <c r="P27" s="2680">
        <f t="shared" si="13"/>
        <v>-4.0000000000000002E-4</v>
      </c>
      <c r="Q27" s="2680">
        <f t="shared" si="13"/>
        <v>4.5999999999999999E-3</v>
      </c>
      <c r="R27" s="2681"/>
      <c r="S27" s="2687">
        <f>B27/B28-1</f>
        <v>6.9183549807361189E-4</v>
      </c>
      <c r="T27" s="2688">
        <f>C27/C28-1</f>
        <v>0</v>
      </c>
      <c r="U27" s="2688">
        <f>E27/E28-1</f>
        <v>-9.0449527636460303E-4</v>
      </c>
      <c r="V27" s="2688">
        <f>F27/F28-1</f>
        <v>5.2825485432512753E-3</v>
      </c>
      <c r="X27" s="2689"/>
      <c r="Y27" s="2689"/>
      <c r="Z27" s="2689"/>
    </row>
    <row r="28" spans="1:34" ht="13.5" thickBot="1">
      <c r="A28" s="2669" t="s">
        <v>2866</v>
      </c>
      <c r="B28" s="2676">
        <v>275</v>
      </c>
      <c r="C28" s="2676">
        <v>232</v>
      </c>
      <c r="D28" s="2676">
        <f t="shared" si="11"/>
        <v>232</v>
      </c>
      <c r="E28" s="2676">
        <v>376</v>
      </c>
      <c r="F28" s="2677">
        <v>213</v>
      </c>
      <c r="G28" s="3473">
        <v>2011</v>
      </c>
      <c r="H28" s="2690">
        <v>4</v>
      </c>
      <c r="I28" s="2690">
        <v>-0.2</v>
      </c>
      <c r="J28" s="2690">
        <v>0.04</v>
      </c>
      <c r="K28" s="2690">
        <v>-0.34</v>
      </c>
      <c r="L28" s="2691">
        <v>0.46</v>
      </c>
      <c r="N28" s="2692">
        <f t="shared" si="13"/>
        <v>-2E-3</v>
      </c>
      <c r="O28" s="2693">
        <f t="shared" si="13"/>
        <v>4.0000000000000002E-4</v>
      </c>
      <c r="P28" s="2693">
        <f t="shared" si="13"/>
        <v>-3.4000000000000002E-3</v>
      </c>
      <c r="Q28" s="2693">
        <f t="shared" si="13"/>
        <v>4.5999999999999999E-3</v>
      </c>
      <c r="R28" s="2681"/>
      <c r="S28" s="2682"/>
      <c r="T28" s="2683"/>
      <c r="U28" s="2683"/>
      <c r="V28" s="2683"/>
      <c r="X28" s="2683"/>
      <c r="Y28" s="2683"/>
      <c r="Z28" s="2683"/>
    </row>
    <row r="29" spans="1:34">
      <c r="A29" s="2669" t="s">
        <v>2867</v>
      </c>
      <c r="B29" s="2684">
        <f t="shared" ref="B29:C31" si="23">B28/(1+N28)</f>
        <v>275.55110220440883</v>
      </c>
      <c r="C29" s="2684">
        <f t="shared" si="23"/>
        <v>231.90723710515795</v>
      </c>
      <c r="D29" s="2684">
        <f t="shared" si="11"/>
        <v>231.90723710515795</v>
      </c>
      <c r="E29" s="2684">
        <f t="shared" ref="E29:F31" si="24">E28/(1+P28)</f>
        <v>377.28276138872161</v>
      </c>
      <c r="F29" s="2684">
        <f t="shared" si="24"/>
        <v>212.02468644236512</v>
      </c>
      <c r="G29" s="3474">
        <v>2011</v>
      </c>
      <c r="H29" s="2695">
        <v>3</v>
      </c>
      <c r="I29" s="2695">
        <v>0.13</v>
      </c>
      <c r="J29" s="2695">
        <v>0.75</v>
      </c>
      <c r="K29" s="2695">
        <v>-0.08</v>
      </c>
      <c r="L29" s="2696">
        <v>0.53</v>
      </c>
      <c r="N29" s="2679">
        <f t="shared" si="13"/>
        <v>1.2999999999999999E-3</v>
      </c>
      <c r="O29" s="2697">
        <f t="shared" si="13"/>
        <v>7.4999999999999997E-3</v>
      </c>
      <c r="P29" s="2697">
        <f t="shared" si="13"/>
        <v>-8.0000000000000004E-4</v>
      </c>
      <c r="Q29" s="2697">
        <f t="shared" si="13"/>
        <v>5.3E-3</v>
      </c>
      <c r="R29" s="2681"/>
      <c r="S29" s="2679"/>
      <c r="T29" s="2680"/>
      <c r="U29" s="2680"/>
      <c r="V29" s="2680"/>
    </row>
    <row r="30" spans="1:34">
      <c r="A30" s="2669" t="s">
        <v>2868</v>
      </c>
      <c r="B30" s="2684">
        <f t="shared" si="23"/>
        <v>275.19335084830601</v>
      </c>
      <c r="C30" s="2684">
        <f t="shared" si="23"/>
        <v>230.18088050139744</v>
      </c>
      <c r="D30" s="2684">
        <f t="shared" si="11"/>
        <v>230.18088050139744</v>
      </c>
      <c r="E30" s="2684">
        <f t="shared" si="24"/>
        <v>377.58482925212331</v>
      </c>
      <c r="F30" s="2684">
        <f t="shared" si="24"/>
        <v>210.90687997847917</v>
      </c>
      <c r="G30" s="3474">
        <v>2011</v>
      </c>
      <c r="H30" s="2675">
        <v>2</v>
      </c>
      <c r="I30" s="2675">
        <v>-0.4</v>
      </c>
      <c r="J30" s="2675">
        <v>0.17</v>
      </c>
      <c r="K30" s="2675">
        <v>-0.57999999999999996</v>
      </c>
      <c r="L30" s="2686">
        <v>-0.2</v>
      </c>
      <c r="N30" s="2679">
        <f t="shared" si="13"/>
        <v>-4.0000000000000001E-3</v>
      </c>
      <c r="O30" s="2697">
        <f t="shared" si="13"/>
        <v>1.7000000000000001E-3</v>
      </c>
      <c r="P30" s="2697">
        <f t="shared" si="13"/>
        <v>-5.7999999999999996E-3</v>
      </c>
      <c r="Q30" s="2697">
        <f t="shared" si="13"/>
        <v>-2E-3</v>
      </c>
      <c r="R30" s="2681"/>
      <c r="S30" s="2679"/>
      <c r="T30" s="2680"/>
      <c r="U30" s="2680"/>
      <c r="V30" s="2680"/>
    </row>
    <row r="31" spans="1:34" ht="13.5" thickBot="1">
      <c r="A31" s="2669" t="s">
        <v>2869</v>
      </c>
      <c r="B31" s="2684">
        <f t="shared" si="23"/>
        <v>276.29854502841971</v>
      </c>
      <c r="C31" s="2684">
        <f t="shared" si="23"/>
        <v>229.79023709833027</v>
      </c>
      <c r="D31" s="2684">
        <f t="shared" si="11"/>
        <v>229.79023709833027</v>
      </c>
      <c r="E31" s="2684">
        <f t="shared" si="24"/>
        <v>379.78759731655936</v>
      </c>
      <c r="F31" s="2684">
        <f t="shared" si="24"/>
        <v>211.32953905659235</v>
      </c>
      <c r="G31" s="3475">
        <v>2011</v>
      </c>
      <c r="H31" s="2674">
        <v>1</v>
      </c>
      <c r="I31" s="2674">
        <v>2.65</v>
      </c>
      <c r="J31" s="2674">
        <v>3.76</v>
      </c>
      <c r="K31" s="2674">
        <v>1.89</v>
      </c>
      <c r="L31" s="2685">
        <v>7.95</v>
      </c>
      <c r="N31" s="2687">
        <f t="shared" si="13"/>
        <v>2.6499999999999999E-2</v>
      </c>
      <c r="O31" s="2688">
        <f t="shared" si="13"/>
        <v>3.7599999999999995E-2</v>
      </c>
      <c r="P31" s="2688">
        <f t="shared" si="13"/>
        <v>1.89E-2</v>
      </c>
      <c r="Q31" s="2688">
        <f t="shared" si="13"/>
        <v>7.9500000000000001E-2</v>
      </c>
      <c r="R31" s="2681"/>
      <c r="S31" s="2687">
        <f>B31/B32-1</f>
        <v>2.713213765211786E-2</v>
      </c>
      <c r="T31" s="2688">
        <f>C31/C32-1</f>
        <v>3.9774828499231862E-2</v>
      </c>
      <c r="U31" s="2688">
        <f>E31/E32-1</f>
        <v>1.8197311840641772E-2</v>
      </c>
      <c r="V31" s="2688">
        <f>F31/F32-1</f>
        <v>7.8211933962205826E-2</v>
      </c>
      <c r="X31" s="2689"/>
      <c r="Y31" s="2689"/>
      <c r="Z31" s="2689"/>
    </row>
    <row r="32" spans="1:34" ht="13.5" thickBot="1">
      <c r="A32" s="2669" t="s">
        <v>2870</v>
      </c>
      <c r="B32" s="2676">
        <v>269</v>
      </c>
      <c r="C32" s="2676">
        <v>221</v>
      </c>
      <c r="D32" s="2676">
        <f t="shared" si="11"/>
        <v>221</v>
      </c>
      <c r="E32" s="2676">
        <v>373</v>
      </c>
      <c r="F32" s="2677">
        <v>196</v>
      </c>
      <c r="G32" s="3473">
        <v>2010</v>
      </c>
      <c r="H32" s="2690">
        <v>4</v>
      </c>
      <c r="I32" s="2690">
        <v>5.72</v>
      </c>
      <c r="J32" s="2690">
        <v>6.57</v>
      </c>
      <c r="K32" s="2690">
        <v>5.72</v>
      </c>
      <c r="L32" s="2691">
        <v>2.72</v>
      </c>
      <c r="N32" s="2679">
        <f t="shared" si="13"/>
        <v>5.7200000000000001E-2</v>
      </c>
      <c r="O32" s="2680">
        <f t="shared" si="13"/>
        <v>6.5700000000000008E-2</v>
      </c>
      <c r="P32" s="2680">
        <f t="shared" si="13"/>
        <v>5.7200000000000001E-2</v>
      </c>
      <c r="Q32" s="2680">
        <f t="shared" si="13"/>
        <v>2.7200000000000002E-2</v>
      </c>
      <c r="R32" s="2681"/>
      <c r="S32" s="2682"/>
      <c r="T32" s="2683"/>
      <c r="U32" s="2683"/>
      <c r="V32" s="2683"/>
      <c r="X32" s="2683"/>
      <c r="Y32" s="2683"/>
      <c r="Z32" s="2683"/>
    </row>
    <row r="33" spans="1:26">
      <c r="A33" s="2669" t="s">
        <v>2871</v>
      </c>
      <c r="B33" s="2684">
        <f t="shared" ref="B33:C35" si="25">B32/(1+N32)</f>
        <v>254.44570563753314</v>
      </c>
      <c r="C33" s="2684">
        <f t="shared" si="25"/>
        <v>207.37543398705074</v>
      </c>
      <c r="D33" s="2684">
        <f t="shared" si="11"/>
        <v>207.37543398705074</v>
      </c>
      <c r="E33" s="2684">
        <f t="shared" ref="E33:F35" si="26">E32/(1+P32)</f>
        <v>352.81876655315932</v>
      </c>
      <c r="F33" s="2684">
        <f t="shared" si="26"/>
        <v>190.809968847352</v>
      </c>
      <c r="G33" s="3474">
        <v>2010</v>
      </c>
      <c r="H33" s="2695">
        <v>3</v>
      </c>
      <c r="I33" s="2695">
        <v>4.7300000000000004</v>
      </c>
      <c r="J33" s="2695">
        <v>3.9</v>
      </c>
      <c r="K33" s="2695">
        <v>5.03</v>
      </c>
      <c r="L33" s="2696">
        <v>4.21</v>
      </c>
      <c r="N33" s="2679">
        <f t="shared" si="13"/>
        <v>4.7300000000000002E-2</v>
      </c>
      <c r="O33" s="2680">
        <f t="shared" si="13"/>
        <v>3.9E-2</v>
      </c>
      <c r="P33" s="2680">
        <f t="shared" si="13"/>
        <v>5.0300000000000004E-2</v>
      </c>
      <c r="Q33" s="2680">
        <f t="shared" si="13"/>
        <v>4.2099999999999999E-2</v>
      </c>
      <c r="R33" s="2681"/>
      <c r="S33" s="2679"/>
      <c r="T33" s="2680"/>
      <c r="U33" s="2680"/>
      <c r="V33" s="2680"/>
    </row>
    <row r="34" spans="1:26">
      <c r="A34" s="2669" t="s">
        <v>2872</v>
      </c>
      <c r="B34" s="2684">
        <f t="shared" si="25"/>
        <v>242.95398227588385</v>
      </c>
      <c r="C34" s="2684">
        <f t="shared" si="25"/>
        <v>199.59137053614126</v>
      </c>
      <c r="D34" s="2684">
        <f t="shared" si="11"/>
        <v>199.59137053614126</v>
      </c>
      <c r="E34" s="2684">
        <f t="shared" si="26"/>
        <v>335.92189522342125</v>
      </c>
      <c r="F34" s="2684">
        <f t="shared" si="26"/>
        <v>183.10139991109489</v>
      </c>
      <c r="G34" s="3474">
        <v>2010</v>
      </c>
      <c r="H34" s="2675">
        <v>2</v>
      </c>
      <c r="I34" s="2675">
        <v>4.6900000000000004</v>
      </c>
      <c r="J34" s="2675">
        <v>3.55</v>
      </c>
      <c r="K34" s="2675">
        <v>5.07</v>
      </c>
      <c r="L34" s="2686">
        <v>4.2300000000000004</v>
      </c>
      <c r="N34" s="2679">
        <f t="shared" si="13"/>
        <v>4.6900000000000004E-2</v>
      </c>
      <c r="O34" s="2680">
        <f t="shared" si="13"/>
        <v>3.5499999999999997E-2</v>
      </c>
      <c r="P34" s="2680">
        <f t="shared" si="13"/>
        <v>5.0700000000000002E-2</v>
      </c>
      <c r="Q34" s="2680">
        <f t="shared" si="13"/>
        <v>4.2300000000000004E-2</v>
      </c>
      <c r="R34" s="2681"/>
      <c r="S34" s="2679"/>
      <c r="T34" s="2680"/>
      <c r="U34" s="2680"/>
      <c r="V34" s="2680"/>
    </row>
    <row r="35" spans="1:26" ht="13.5" thickBot="1">
      <c r="A35" s="2669" t="s">
        <v>2873</v>
      </c>
      <c r="B35" s="2684">
        <f t="shared" si="25"/>
        <v>232.06990378821649</v>
      </c>
      <c r="C35" s="2684">
        <f t="shared" si="25"/>
        <v>192.74878854286936</v>
      </c>
      <c r="D35" s="2684">
        <f t="shared" si="11"/>
        <v>192.74878854286936</v>
      </c>
      <c r="E35" s="2684">
        <f t="shared" si="26"/>
        <v>319.71247284992984</v>
      </c>
      <c r="F35" s="2684">
        <f t="shared" si="26"/>
        <v>175.67053622862409</v>
      </c>
      <c r="G35" s="3475">
        <v>2010</v>
      </c>
      <c r="H35" s="2674">
        <v>1</v>
      </c>
      <c r="I35" s="2674">
        <v>5.4</v>
      </c>
      <c r="J35" s="2674">
        <v>3.2</v>
      </c>
      <c r="K35" s="2674">
        <v>6.16</v>
      </c>
      <c r="L35" s="2685">
        <v>4.51</v>
      </c>
      <c r="N35" s="2679">
        <f t="shared" si="13"/>
        <v>5.4000000000000006E-2</v>
      </c>
      <c r="O35" s="2680">
        <f t="shared" si="13"/>
        <v>3.2000000000000001E-2</v>
      </c>
      <c r="P35" s="2680">
        <f t="shared" si="13"/>
        <v>6.1600000000000002E-2</v>
      </c>
      <c r="Q35" s="2680">
        <f t="shared" si="13"/>
        <v>4.5100000000000001E-2</v>
      </c>
      <c r="R35" s="2681"/>
      <c r="S35" s="2687">
        <f>B35/B36-1</f>
        <v>5.4863199037347599E-2</v>
      </c>
      <c r="T35" s="2688">
        <f>C35/C36-1</f>
        <v>3.0742184721226584E-2</v>
      </c>
      <c r="U35" s="2688">
        <f>E35/E36-1</f>
        <v>6.2167683886810154E-2</v>
      </c>
      <c r="V35" s="2688">
        <f>F35/F36-1</f>
        <v>4.5657953741810031E-2</v>
      </c>
      <c r="X35" s="2689"/>
      <c r="Y35" s="2689"/>
      <c r="Z35" s="2689"/>
    </row>
    <row r="36" spans="1:26" ht="13.5" thickBot="1">
      <c r="A36" s="2669" t="s">
        <v>2874</v>
      </c>
      <c r="B36" s="2676">
        <v>220</v>
      </c>
      <c r="C36" s="2676">
        <v>187</v>
      </c>
      <c r="D36" s="2676">
        <f t="shared" si="11"/>
        <v>187</v>
      </c>
      <c r="E36" s="2676">
        <v>301</v>
      </c>
      <c r="F36" s="2677">
        <v>168</v>
      </c>
      <c r="G36" s="3473">
        <v>2009</v>
      </c>
      <c r="H36" s="2690">
        <v>4</v>
      </c>
      <c r="I36" s="2690">
        <v>2.2999999999999998</v>
      </c>
      <c r="J36" s="2690">
        <v>1.04</v>
      </c>
      <c r="K36" s="2690">
        <v>2.84</v>
      </c>
      <c r="L36" s="2691">
        <v>0.67</v>
      </c>
      <c r="N36" s="2692">
        <f t="shared" si="13"/>
        <v>2.3E-2</v>
      </c>
      <c r="O36" s="2693">
        <f t="shared" si="13"/>
        <v>1.04E-2</v>
      </c>
      <c r="P36" s="2693">
        <f t="shared" si="13"/>
        <v>2.8399999999999998E-2</v>
      </c>
      <c r="Q36" s="2693">
        <f t="shared" si="13"/>
        <v>6.7000000000000002E-3</v>
      </c>
      <c r="R36" s="2681"/>
      <c r="S36" s="2682"/>
      <c r="T36" s="2683"/>
      <c r="U36" s="2683"/>
      <c r="V36" s="2683"/>
      <c r="X36" s="2683"/>
      <c r="Y36" s="2683"/>
      <c r="Z36" s="2683"/>
    </row>
    <row r="37" spans="1:26">
      <c r="A37" s="2669" t="s">
        <v>2875</v>
      </c>
      <c r="B37" s="2684">
        <f t="shared" ref="B37:C39" si="27">B36/(1+N36)</f>
        <v>215.05376344086022</v>
      </c>
      <c r="C37" s="2684">
        <f t="shared" si="27"/>
        <v>185.0752177355503</v>
      </c>
      <c r="D37" s="2684">
        <f t="shared" si="11"/>
        <v>185.0752177355503</v>
      </c>
      <c r="E37" s="2684">
        <f t="shared" ref="E37:F39" si="28">E36/(1+P36)</f>
        <v>292.68767016725008</v>
      </c>
      <c r="F37" s="2684">
        <f t="shared" si="28"/>
        <v>166.88189132810174</v>
      </c>
      <c r="G37" s="3474">
        <v>2009</v>
      </c>
      <c r="H37" s="2695">
        <v>3</v>
      </c>
      <c r="I37" s="2695">
        <v>2.1</v>
      </c>
      <c r="J37" s="2695">
        <v>1.86</v>
      </c>
      <c r="K37" s="2695">
        <v>2.29</v>
      </c>
      <c r="L37" s="2696">
        <v>0.85</v>
      </c>
      <c r="N37" s="2679">
        <f t="shared" si="13"/>
        <v>2.1000000000000001E-2</v>
      </c>
      <c r="O37" s="2697">
        <f t="shared" si="13"/>
        <v>1.8600000000000002E-2</v>
      </c>
      <c r="P37" s="2697">
        <f t="shared" si="13"/>
        <v>2.29E-2</v>
      </c>
      <c r="Q37" s="2697">
        <f t="shared" si="13"/>
        <v>8.5000000000000006E-3</v>
      </c>
      <c r="R37" s="2681"/>
      <c r="S37" s="2679"/>
      <c r="T37" s="2680"/>
      <c r="U37" s="2680"/>
      <c r="V37" s="2680"/>
    </row>
    <row r="38" spans="1:26">
      <c r="A38" s="2669" t="s">
        <v>2876</v>
      </c>
      <c r="B38" s="2684">
        <f t="shared" si="27"/>
        <v>210.630522469011</v>
      </c>
      <c r="C38" s="2684">
        <f t="shared" si="27"/>
        <v>181.69567812247232</v>
      </c>
      <c r="D38" s="2684">
        <f t="shared" si="11"/>
        <v>181.69567812247232</v>
      </c>
      <c r="E38" s="2684">
        <f t="shared" si="28"/>
        <v>286.13517466736738</v>
      </c>
      <c r="F38" s="2684">
        <f t="shared" si="28"/>
        <v>165.47535084591149</v>
      </c>
      <c r="G38" s="3474">
        <v>2009</v>
      </c>
      <c r="H38" s="2675">
        <v>2</v>
      </c>
      <c r="I38" s="2675">
        <v>0.86</v>
      </c>
      <c r="J38" s="2675">
        <v>-1.1299999999999999</v>
      </c>
      <c r="K38" s="2675">
        <v>1.79</v>
      </c>
      <c r="L38" s="2686">
        <v>-2.0699999999999998</v>
      </c>
      <c r="N38" s="2679">
        <f t="shared" si="13"/>
        <v>8.6E-3</v>
      </c>
      <c r="O38" s="2697">
        <f t="shared" si="13"/>
        <v>-1.1299999999999999E-2</v>
      </c>
      <c r="P38" s="2697">
        <f t="shared" si="13"/>
        <v>1.7899999999999999E-2</v>
      </c>
      <c r="Q38" s="2697">
        <f t="shared" si="13"/>
        <v>-2.07E-2</v>
      </c>
      <c r="R38" s="2681"/>
      <c r="S38" s="2679"/>
      <c r="T38" s="2680"/>
      <c r="U38" s="2680"/>
      <c r="V38" s="2680"/>
    </row>
    <row r="39" spans="1:26">
      <c r="A39" s="2669" t="s">
        <v>2877</v>
      </c>
      <c r="B39" s="2684">
        <f t="shared" si="27"/>
        <v>208.83454537875372</v>
      </c>
      <c r="C39" s="2684">
        <f t="shared" si="27"/>
        <v>183.77230517090351</v>
      </c>
      <c r="D39" s="2684">
        <f t="shared" si="11"/>
        <v>183.77230517090351</v>
      </c>
      <c r="E39" s="2684">
        <f t="shared" si="28"/>
        <v>281.10342338870947</v>
      </c>
      <c r="F39" s="2684">
        <f t="shared" si="28"/>
        <v>168.97309388942256</v>
      </c>
      <c r="G39" s="3475">
        <v>2009</v>
      </c>
      <c r="H39" s="2674">
        <v>1</v>
      </c>
      <c r="I39" s="2674">
        <v>-2.64</v>
      </c>
      <c r="J39" s="2674">
        <v>-2.5299999999999998</v>
      </c>
      <c r="K39" s="2674">
        <v>-3.02</v>
      </c>
      <c r="L39" s="2685">
        <v>1.52</v>
      </c>
      <c r="N39" s="2687">
        <f t="shared" si="13"/>
        <v>-2.64E-2</v>
      </c>
      <c r="O39" s="2688">
        <f t="shared" si="13"/>
        <v>-2.53E-2</v>
      </c>
      <c r="P39" s="2688">
        <f t="shared" si="13"/>
        <v>-3.0200000000000001E-2</v>
      </c>
      <c r="Q39" s="2688">
        <f t="shared" si="13"/>
        <v>1.52E-2</v>
      </c>
      <c r="R39" s="2681"/>
      <c r="S39" s="2687">
        <f>B39/B40-1</f>
        <v>-2.4137638417038754E-2</v>
      </c>
      <c r="T39" s="2688">
        <f>C39/C40-1</f>
        <v>-2.248773845264096E-2</v>
      </c>
      <c r="U39" s="2688">
        <f>E39/E40-1</f>
        <v>-2.7323794502735366E-2</v>
      </c>
      <c r="V39" s="2688">
        <f>F39/F40-1</f>
        <v>1.7910204153148035E-2</v>
      </c>
      <c r="X39" s="2689"/>
      <c r="Y39" s="2689"/>
      <c r="Z39" s="2689"/>
    </row>
    <row r="40" spans="1:26" ht="13.5" thickBot="1">
      <c r="A40" s="2669" t="s">
        <v>2878</v>
      </c>
      <c r="B40" s="2714">
        <v>214</v>
      </c>
      <c r="C40" s="2714">
        <v>188</v>
      </c>
      <c r="D40" s="2714">
        <f t="shared" si="11"/>
        <v>188</v>
      </c>
      <c r="E40" s="2714">
        <v>289</v>
      </c>
      <c r="F40" s="2715">
        <v>166</v>
      </c>
      <c r="G40" s="3473">
        <v>2008</v>
      </c>
      <c r="H40" s="2690">
        <v>4</v>
      </c>
      <c r="I40" s="2690">
        <v>1.73</v>
      </c>
      <c r="J40" s="2690">
        <v>0.03</v>
      </c>
      <c r="K40" s="2690">
        <v>2.59</v>
      </c>
      <c r="L40" s="2691">
        <v>-1.66</v>
      </c>
      <c r="N40" s="2679">
        <f t="shared" si="13"/>
        <v>1.7299999999999999E-2</v>
      </c>
      <c r="O40" s="2680">
        <f t="shared" si="13"/>
        <v>2.9999999999999997E-4</v>
      </c>
      <c r="P40" s="2680">
        <f t="shared" si="13"/>
        <v>2.5899999999999999E-2</v>
      </c>
      <c r="Q40" s="2680">
        <f t="shared" si="13"/>
        <v>-1.66E-2</v>
      </c>
      <c r="R40" s="2681"/>
      <c r="S40" s="2682"/>
      <c r="T40" s="2683"/>
      <c r="U40" s="2683"/>
      <c r="V40" s="2683"/>
      <c r="X40" s="2683"/>
      <c r="Y40" s="2683"/>
      <c r="Z40" s="2683"/>
    </row>
    <row r="41" spans="1:26">
      <c r="A41" s="2669" t="s">
        <v>2879</v>
      </c>
      <c r="B41" s="2684">
        <f t="shared" ref="B41:C43" si="29">B40/(1+N40)</f>
        <v>210.36075887152265</v>
      </c>
      <c r="C41" s="2684">
        <f t="shared" si="29"/>
        <v>187.94361691492554</v>
      </c>
      <c r="D41" s="2684">
        <f t="shared" si="11"/>
        <v>187.94361691492554</v>
      </c>
      <c r="E41" s="2684">
        <f t="shared" ref="E41:F43" si="30">E40/(1+P40)</f>
        <v>281.70386977288234</v>
      </c>
      <c r="F41" s="2684">
        <f t="shared" si="30"/>
        <v>168.80211511083994</v>
      </c>
      <c r="G41" s="3474">
        <v>2008</v>
      </c>
      <c r="H41" s="2695">
        <v>3</v>
      </c>
      <c r="I41" s="2695">
        <v>1.96</v>
      </c>
      <c r="J41" s="2695">
        <v>2.36</v>
      </c>
      <c r="K41" s="2695">
        <v>1.82</v>
      </c>
      <c r="L41" s="2696">
        <v>2.2200000000000002</v>
      </c>
      <c r="N41" s="2679">
        <f t="shared" si="13"/>
        <v>1.9599999999999999E-2</v>
      </c>
      <c r="O41" s="2680">
        <f t="shared" si="13"/>
        <v>2.3599999999999999E-2</v>
      </c>
      <c r="P41" s="2680">
        <f t="shared" si="13"/>
        <v>1.8200000000000001E-2</v>
      </c>
      <c r="Q41" s="2680">
        <f t="shared" si="13"/>
        <v>2.2200000000000001E-2</v>
      </c>
      <c r="R41" s="2681"/>
      <c r="S41" s="2679"/>
      <c r="T41" s="2680"/>
      <c r="U41" s="2680"/>
      <c r="V41" s="2680"/>
    </row>
    <row r="42" spans="1:26">
      <c r="A42" s="2669" t="s">
        <v>2880</v>
      </c>
      <c r="B42" s="2684">
        <f t="shared" si="29"/>
        <v>206.31694671589116</v>
      </c>
      <c r="C42" s="2684">
        <f t="shared" si="29"/>
        <v>183.61041121036101</v>
      </c>
      <c r="D42" s="2684">
        <f t="shared" si="11"/>
        <v>183.61041121036101</v>
      </c>
      <c r="E42" s="2684">
        <f t="shared" si="30"/>
        <v>276.66850301795557</v>
      </c>
      <c r="F42" s="2684">
        <f t="shared" si="30"/>
        <v>165.1360938278614</v>
      </c>
      <c r="G42" s="3474">
        <v>2008</v>
      </c>
      <c r="H42" s="2675">
        <v>2</v>
      </c>
      <c r="I42" s="2675">
        <v>4.93</v>
      </c>
      <c r="J42" s="2675">
        <v>7.38</v>
      </c>
      <c r="K42" s="2675">
        <v>3.98</v>
      </c>
      <c r="L42" s="2686">
        <v>6.86</v>
      </c>
      <c r="N42" s="2679">
        <f t="shared" si="13"/>
        <v>4.9299999999999997E-2</v>
      </c>
      <c r="O42" s="2680">
        <f t="shared" si="13"/>
        <v>7.3800000000000004E-2</v>
      </c>
      <c r="P42" s="2680">
        <f t="shared" si="13"/>
        <v>3.9800000000000002E-2</v>
      </c>
      <c r="Q42" s="2680">
        <f t="shared" si="13"/>
        <v>6.8600000000000008E-2</v>
      </c>
      <c r="R42" s="2681"/>
      <c r="S42" s="2679"/>
      <c r="T42" s="2680"/>
      <c r="U42" s="2680"/>
      <c r="V42" s="2680"/>
    </row>
    <row r="43" spans="1:26" s="2720" customFormat="1" ht="13.5" thickBot="1">
      <c r="A43" s="2669" t="s">
        <v>2881</v>
      </c>
      <c r="B43" s="2717">
        <f t="shared" si="29"/>
        <v>196.62341248059772</v>
      </c>
      <c r="C43" s="2717">
        <f t="shared" si="29"/>
        <v>170.99125648199012</v>
      </c>
      <c r="D43" s="2717">
        <f t="shared" si="11"/>
        <v>170.99125648199012</v>
      </c>
      <c r="E43" s="2717">
        <f t="shared" si="30"/>
        <v>266.07857570490052</v>
      </c>
      <c r="F43" s="2717">
        <f t="shared" si="30"/>
        <v>154.53499328828505</v>
      </c>
      <c r="G43" s="3475">
        <v>2008</v>
      </c>
      <c r="H43" s="2718">
        <v>1</v>
      </c>
      <c r="I43" s="2718">
        <v>4.1399999999999997</v>
      </c>
      <c r="J43" s="2718">
        <v>3.45</v>
      </c>
      <c r="K43" s="2718">
        <v>4.95</v>
      </c>
      <c r="L43" s="2719">
        <v>4.82</v>
      </c>
      <c r="N43" s="2721">
        <f t="shared" si="13"/>
        <v>4.1399999999999999E-2</v>
      </c>
      <c r="O43" s="2722">
        <f t="shared" si="13"/>
        <v>3.4500000000000003E-2</v>
      </c>
      <c r="P43" s="2722">
        <f t="shared" si="13"/>
        <v>4.9500000000000002E-2</v>
      </c>
      <c r="Q43" s="2722">
        <f t="shared" si="13"/>
        <v>4.82E-2</v>
      </c>
      <c r="R43" s="2723"/>
      <c r="S43" s="2721">
        <f>B43/B44-1</f>
        <v>4.5869215322328349E-2</v>
      </c>
      <c r="T43" s="2722">
        <f>C43/C44-1</f>
        <v>3.6310645345394743E-2</v>
      </c>
      <c r="U43" s="2722">
        <f>E43/E44-1</f>
        <v>4.7553447657088688E-2</v>
      </c>
      <c r="V43" s="2722">
        <f>F43/F44-1</f>
        <v>4.4155360055980086E-2</v>
      </c>
      <c r="X43" s="2724"/>
      <c r="Y43" s="2724"/>
      <c r="Z43" s="2724"/>
    </row>
    <row r="44" spans="1:26" ht="13.5" thickBot="1">
      <c r="A44" s="2669" t="s">
        <v>2882</v>
      </c>
      <c r="B44" s="2676">
        <v>188</v>
      </c>
      <c r="C44" s="2676">
        <v>165</v>
      </c>
      <c r="D44" s="2676">
        <f t="shared" si="11"/>
        <v>165</v>
      </c>
      <c r="E44" s="2676">
        <v>254</v>
      </c>
      <c r="F44" s="2677">
        <v>148</v>
      </c>
      <c r="G44" s="3473">
        <v>2007</v>
      </c>
      <c r="H44" s="2725">
        <v>4</v>
      </c>
      <c r="I44" s="2725">
        <v>5.51</v>
      </c>
      <c r="J44" s="2725">
        <v>4.8899999999999997</v>
      </c>
      <c r="K44" s="2725">
        <v>6.43</v>
      </c>
      <c r="L44" s="2726">
        <v>5.36</v>
      </c>
      <c r="N44" s="2727">
        <f t="shared" ref="N44:O47" si="31">B44/B45-1</f>
        <v>4.1339718365245526E-2</v>
      </c>
      <c r="O44" s="2728">
        <f t="shared" si="31"/>
        <v>4.0324492593776018E-2</v>
      </c>
      <c r="P44" s="2728">
        <f t="shared" ref="P44:Q47" si="32">E44/E45-1</f>
        <v>6.1625555347990968E-2</v>
      </c>
      <c r="Q44" s="2728">
        <f t="shared" si="32"/>
        <v>4.6757569250590603E-2</v>
      </c>
      <c r="R44" s="2681"/>
      <c r="S44" s="2682"/>
      <c r="T44" s="2683"/>
      <c r="U44" s="2683"/>
      <c r="V44" s="2683"/>
      <c r="X44" s="2683"/>
      <c r="Y44" s="2683"/>
      <c r="Z44" s="2683"/>
    </row>
    <row r="45" spans="1:26">
      <c r="A45" s="2669" t="s">
        <v>2883</v>
      </c>
      <c r="B45" s="2684">
        <f t="shared" ref="B45:C47" si="33">B46+(B$44-B$48)*I45/SUM(I$44:I$47)</f>
        <v>180.5366651097618</v>
      </c>
      <c r="C45" s="2684">
        <f t="shared" si="33"/>
        <v>158.60435967302453</v>
      </c>
      <c r="D45" s="2684">
        <f t="shared" si="11"/>
        <v>158.60435967302453</v>
      </c>
      <c r="E45" s="2684">
        <f t="shared" ref="E45:F47" si="34">E46+(E$44-E$48)*K45/SUM(K$44:K$47)</f>
        <v>239.25573260785075</v>
      </c>
      <c r="F45" s="2684">
        <f t="shared" si="34"/>
        <v>141.38899430740037</v>
      </c>
      <c r="G45" s="3474">
        <v>2007</v>
      </c>
      <c r="H45" s="2695">
        <v>3</v>
      </c>
      <c r="I45" s="2695">
        <v>8.65</v>
      </c>
      <c r="J45" s="2695">
        <v>8.06</v>
      </c>
      <c r="K45" s="2695">
        <v>9.94</v>
      </c>
      <c r="L45" s="2696">
        <v>5.8</v>
      </c>
      <c r="N45" s="2727">
        <f t="shared" si="31"/>
        <v>6.940217571740015E-2</v>
      </c>
      <c r="O45" s="2728">
        <f t="shared" si="31"/>
        <v>7.1197482471153428E-2</v>
      </c>
      <c r="P45" s="2728">
        <f t="shared" si="32"/>
        <v>0.10529679922579582</v>
      </c>
      <c r="Q45" s="2728">
        <f t="shared" si="32"/>
        <v>5.3292245059512133E-2</v>
      </c>
      <c r="R45" s="2681"/>
      <c r="S45" s="2679"/>
      <c r="T45" s="2680"/>
      <c r="U45" s="2680"/>
      <c r="V45" s="2680"/>
      <c r="X45" s="2729"/>
      <c r="Y45" s="2729"/>
      <c r="Z45" s="2729"/>
    </row>
    <row r="46" spans="1:26">
      <c r="A46" s="2669" t="s">
        <v>2884</v>
      </c>
      <c r="B46" s="2684">
        <f t="shared" si="33"/>
        <v>168.82017748715555</v>
      </c>
      <c r="C46" s="2684">
        <f t="shared" si="33"/>
        <v>148.06267029972753</v>
      </c>
      <c r="D46" s="2684">
        <f t="shared" si="11"/>
        <v>148.06267029972753</v>
      </c>
      <c r="E46" s="2684">
        <f t="shared" si="34"/>
        <v>216.46288379323747</v>
      </c>
      <c r="F46" s="2684">
        <f t="shared" si="34"/>
        <v>134.23529411764704</v>
      </c>
      <c r="G46" s="3474">
        <v>2007</v>
      </c>
      <c r="H46" s="2675">
        <v>2</v>
      </c>
      <c r="I46" s="2675">
        <v>3.67</v>
      </c>
      <c r="J46" s="2675">
        <v>2.3199999999999998</v>
      </c>
      <c r="K46" s="2675">
        <v>5.0199999999999996</v>
      </c>
      <c r="L46" s="2686">
        <v>6.71</v>
      </c>
      <c r="N46" s="2727">
        <f t="shared" si="31"/>
        <v>3.0339138143848032E-2</v>
      </c>
      <c r="O46" s="2728">
        <f t="shared" si="31"/>
        <v>2.0922341588790472E-2</v>
      </c>
      <c r="P46" s="2728">
        <f t="shared" si="32"/>
        <v>5.6164796592717003E-2</v>
      </c>
      <c r="Q46" s="2728">
        <f t="shared" si="32"/>
        <v>6.5704536723887319E-2</v>
      </c>
      <c r="R46" s="2681"/>
      <c r="S46" s="2679"/>
      <c r="T46" s="2680"/>
      <c r="U46" s="2680"/>
      <c r="V46" s="2680"/>
      <c r="X46" s="2729"/>
      <c r="Y46" s="2729"/>
      <c r="Z46" s="2729"/>
    </row>
    <row r="47" spans="1:26">
      <c r="A47" s="2669" t="s">
        <v>2885</v>
      </c>
      <c r="B47" s="2684">
        <f t="shared" si="33"/>
        <v>163.84913591779542</v>
      </c>
      <c r="C47" s="2684">
        <f t="shared" si="33"/>
        <v>145.0283378746594</v>
      </c>
      <c r="D47" s="2684">
        <f t="shared" si="11"/>
        <v>145.0283378746594</v>
      </c>
      <c r="E47" s="2684">
        <f t="shared" si="34"/>
        <v>204.95180722891567</v>
      </c>
      <c r="F47" s="2684">
        <f t="shared" si="34"/>
        <v>125.95920303605313</v>
      </c>
      <c r="G47" s="3475">
        <v>2007</v>
      </c>
      <c r="H47" s="2674">
        <v>1</v>
      </c>
      <c r="I47" s="2674">
        <v>3.58</v>
      </c>
      <c r="J47" s="2674">
        <v>3.08</v>
      </c>
      <c r="K47" s="2674">
        <v>4.34</v>
      </c>
      <c r="L47" s="2685">
        <v>3.21</v>
      </c>
      <c r="N47" s="2730">
        <f t="shared" si="31"/>
        <v>3.0497710174814063E-2</v>
      </c>
      <c r="O47" s="2731">
        <f t="shared" si="31"/>
        <v>2.8569772160704998E-2</v>
      </c>
      <c r="P47" s="2731">
        <f t="shared" si="32"/>
        <v>5.1034908866234296E-2</v>
      </c>
      <c r="Q47" s="2731">
        <f t="shared" si="32"/>
        <v>3.245248390207478E-2</v>
      </c>
      <c r="R47" s="2681"/>
      <c r="S47" s="2687">
        <f>B47/B48-1</f>
        <v>3.0497710174814063E-2</v>
      </c>
      <c r="T47" s="2688">
        <f>C47/C48-1</f>
        <v>2.8569772160704998E-2</v>
      </c>
      <c r="U47" s="2688">
        <f>E47/E48-1</f>
        <v>5.1034908866234296E-2</v>
      </c>
      <c r="V47" s="2688">
        <f>F47/F48-1</f>
        <v>3.245248390207478E-2</v>
      </c>
      <c r="X47" s="2729"/>
      <c r="Y47" s="2729"/>
      <c r="Z47" s="2729"/>
    </row>
    <row r="48" spans="1:26" ht="13.5" thickBot="1">
      <c r="A48" s="2669" t="s">
        <v>2886</v>
      </c>
      <c r="B48" s="2698">
        <v>159</v>
      </c>
      <c r="C48" s="2698">
        <v>141</v>
      </c>
      <c r="D48" s="2698">
        <f t="shared" si="11"/>
        <v>141</v>
      </c>
      <c r="E48" s="2698">
        <v>195</v>
      </c>
      <c r="F48" s="2699">
        <v>122</v>
      </c>
      <c r="G48" s="3473">
        <v>2006</v>
      </c>
      <c r="H48" s="2690">
        <v>4</v>
      </c>
      <c r="I48" s="2690">
        <v>3.79</v>
      </c>
      <c r="J48" s="2690">
        <v>2.21</v>
      </c>
      <c r="K48" s="2690">
        <v>5.65</v>
      </c>
      <c r="L48" s="2691">
        <v>5.41</v>
      </c>
      <c r="N48" s="2727">
        <f t="shared" ref="N48:O51" si="35">I48/SUM(I$48:I$51)*(B$48/B$52-1)</f>
        <v>7.245466462748526E-2</v>
      </c>
      <c r="O48" s="2728">
        <f t="shared" si="35"/>
        <v>2.3237230038062766E-2</v>
      </c>
      <c r="P48" s="2728">
        <f t="shared" ref="P48:Q51" si="36">K48/SUM(K$48:K$51)*(E$48/E$52-1)</f>
        <v>0.16146893866323722</v>
      </c>
      <c r="Q48" s="2728">
        <f t="shared" si="36"/>
        <v>5.0755230321793784E-2</v>
      </c>
      <c r="R48" s="2681"/>
      <c r="S48" s="2682"/>
      <c r="T48" s="2683"/>
      <c r="U48" s="2683"/>
      <c r="V48" s="2683"/>
      <c r="X48" s="2729"/>
      <c r="Y48" s="2729"/>
      <c r="Z48" s="2729"/>
    </row>
    <row r="49" spans="1:26">
      <c r="A49" s="2669" t="s">
        <v>2887</v>
      </c>
      <c r="B49" s="2684">
        <f t="shared" ref="B49:C51" si="37">B50+(B$48-B$52)*I49/SUM(I$48:I$51)</f>
        <v>149.00125628140702</v>
      </c>
      <c r="C49" s="2684">
        <f t="shared" si="37"/>
        <v>137.95592286501378</v>
      </c>
      <c r="D49" s="2684">
        <f t="shared" si="11"/>
        <v>137.95592286501378</v>
      </c>
      <c r="E49" s="2684">
        <f t="shared" ref="E49:F51" si="38">E50+(E$48-E$52)*K49/SUM(K$48:K$51)</f>
        <v>169.97231450719823</v>
      </c>
      <c r="F49" s="2684">
        <f t="shared" si="38"/>
        <v>116.21390374331551</v>
      </c>
      <c r="G49" s="3474">
        <v>2006</v>
      </c>
      <c r="H49" s="2695">
        <v>3</v>
      </c>
      <c r="I49" s="2695">
        <v>0.92</v>
      </c>
      <c r="J49" s="2695">
        <v>1.08</v>
      </c>
      <c r="K49" s="2695">
        <v>0.73</v>
      </c>
      <c r="L49" s="2696">
        <v>1.08</v>
      </c>
      <c r="N49" s="2727">
        <f t="shared" si="35"/>
        <v>1.7587939698492462E-2</v>
      </c>
      <c r="O49" s="2728">
        <f t="shared" si="35"/>
        <v>1.1355750425840628E-2</v>
      </c>
      <c r="P49" s="2728">
        <f t="shared" si="36"/>
        <v>2.0862358446754544E-2</v>
      </c>
      <c r="Q49" s="2728">
        <f t="shared" si="36"/>
        <v>1.0132282578103011E-2</v>
      </c>
      <c r="R49" s="2681"/>
      <c r="S49" s="2679"/>
      <c r="T49" s="2680"/>
      <c r="U49" s="2680"/>
      <c r="V49" s="2680"/>
      <c r="X49" s="2729"/>
      <c r="Y49" s="2729"/>
      <c r="Z49" s="2729"/>
    </row>
    <row r="50" spans="1:26">
      <c r="A50" s="2669" t="s">
        <v>2888</v>
      </c>
      <c r="B50" s="2684">
        <f t="shared" si="37"/>
        <v>146.57412060301507</v>
      </c>
      <c r="C50" s="2684">
        <f t="shared" si="37"/>
        <v>136.46831955922866</v>
      </c>
      <c r="D50" s="2684">
        <f t="shared" si="11"/>
        <v>136.46831955922866</v>
      </c>
      <c r="E50" s="2684">
        <f t="shared" si="38"/>
        <v>166.73864894795128</v>
      </c>
      <c r="F50" s="2684">
        <f t="shared" si="38"/>
        <v>115.05882352941177</v>
      </c>
      <c r="G50" s="3474">
        <v>2006</v>
      </c>
      <c r="H50" s="2675">
        <v>2</v>
      </c>
      <c r="I50" s="2675">
        <v>0.96</v>
      </c>
      <c r="J50" s="2675">
        <v>0.25</v>
      </c>
      <c r="K50" s="2675">
        <v>1.9</v>
      </c>
      <c r="L50" s="2686">
        <v>0.95</v>
      </c>
      <c r="N50" s="2727">
        <f t="shared" si="35"/>
        <v>1.8352632728861701E-2</v>
      </c>
      <c r="O50" s="2728">
        <f t="shared" si="35"/>
        <v>2.6286459319075526E-3</v>
      </c>
      <c r="P50" s="2728">
        <f t="shared" si="36"/>
        <v>5.4299289107991269E-2</v>
      </c>
      <c r="Q50" s="2728">
        <f t="shared" si="36"/>
        <v>8.9126559714794995E-3</v>
      </c>
      <c r="R50" s="2681"/>
      <c r="S50" s="2679"/>
      <c r="T50" s="2680"/>
      <c r="U50" s="2680"/>
      <c r="V50" s="2680"/>
      <c r="X50" s="2729"/>
      <c r="Y50" s="2729"/>
      <c r="Z50" s="2729"/>
    </row>
    <row r="51" spans="1:26">
      <c r="A51" s="2669" t="s">
        <v>2889</v>
      </c>
      <c r="B51" s="2684">
        <f t="shared" si="37"/>
        <v>144.04145728643215</v>
      </c>
      <c r="C51" s="2684">
        <f t="shared" si="37"/>
        <v>136.12396694214877</v>
      </c>
      <c r="D51" s="2684">
        <f t="shared" si="11"/>
        <v>136.12396694214877</v>
      </c>
      <c r="E51" s="2684">
        <f t="shared" si="38"/>
        <v>158.32225913621264</v>
      </c>
      <c r="F51" s="2684">
        <f t="shared" si="38"/>
        <v>114.04278074866311</v>
      </c>
      <c r="G51" s="3475">
        <v>2006</v>
      </c>
      <c r="H51" s="2674">
        <v>1</v>
      </c>
      <c r="I51" s="2674">
        <v>2.29</v>
      </c>
      <c r="J51" s="2674">
        <v>3.72</v>
      </c>
      <c r="K51" s="2674">
        <v>0.75</v>
      </c>
      <c r="L51" s="2685">
        <v>0.04</v>
      </c>
      <c r="N51" s="2730">
        <f t="shared" si="35"/>
        <v>4.3778675988638847E-2</v>
      </c>
      <c r="O51" s="2731">
        <f t="shared" si="35"/>
        <v>3.9114251466784385E-2</v>
      </c>
      <c r="P51" s="2731">
        <f t="shared" si="36"/>
        <v>2.1433929911049188E-2</v>
      </c>
      <c r="Q51" s="2731">
        <f t="shared" si="36"/>
        <v>3.7526972511492629E-4</v>
      </c>
      <c r="R51" s="2681"/>
      <c r="S51" s="2687">
        <f>B51/B52-1</f>
        <v>4.3778675988638716E-2</v>
      </c>
      <c r="T51" s="2688">
        <f>C51/C52-1</f>
        <v>3.91142514667846E-2</v>
      </c>
      <c r="U51" s="2688">
        <f>E51/E52-1</f>
        <v>2.143392991104931E-2</v>
      </c>
      <c r="V51" s="2688">
        <f>F51/F52-1</f>
        <v>3.7526972511492396E-4</v>
      </c>
      <c r="X51" s="2729"/>
      <c r="Y51" s="2729"/>
      <c r="Z51" s="2729"/>
    </row>
    <row r="52" spans="1:26" ht="13.5" thickBot="1">
      <c r="A52" s="2669" t="s">
        <v>2890</v>
      </c>
      <c r="B52" s="2698">
        <v>138</v>
      </c>
      <c r="C52" s="2698">
        <v>131</v>
      </c>
      <c r="D52" s="2698">
        <f t="shared" si="11"/>
        <v>131</v>
      </c>
      <c r="E52" s="2698">
        <v>155</v>
      </c>
      <c r="F52" s="2699">
        <v>114</v>
      </c>
      <c r="G52" s="3473">
        <v>2005</v>
      </c>
      <c r="H52" s="2690">
        <v>4</v>
      </c>
      <c r="I52" s="2690">
        <v>3.29</v>
      </c>
      <c r="J52" s="2690">
        <v>1.44</v>
      </c>
      <c r="K52" s="2690">
        <v>0.66</v>
      </c>
      <c r="L52" s="2691">
        <v>7.78</v>
      </c>
      <c r="N52" s="2727">
        <f t="shared" ref="N52:O55" si="39">I52/SUM(I$52:I$55)*(B$52/B$56-1)</f>
        <v>9.9404603216919935E-2</v>
      </c>
      <c r="O52" s="2728">
        <f t="shared" si="39"/>
        <v>4.7636550760861554E-2</v>
      </c>
      <c r="P52" s="2728">
        <f t="shared" ref="P52:Q55" si="40">K52/SUM(K$52:K$55)*(E$52/E$56-1)</f>
        <v>8.3756345177664976E-2</v>
      </c>
      <c r="Q52" s="2728">
        <f t="shared" si="40"/>
        <v>5.2148766661559584E-2</v>
      </c>
      <c r="R52" s="2681"/>
      <c r="S52" s="2682"/>
      <c r="T52" s="2683"/>
      <c r="U52" s="2683"/>
      <c r="V52" s="2683"/>
      <c r="X52" s="2729"/>
      <c r="Y52" s="2729"/>
      <c r="Z52" s="2729"/>
    </row>
    <row r="53" spans="1:26">
      <c r="A53" s="2669" t="s">
        <v>2891</v>
      </c>
      <c r="B53" s="2684">
        <f t="shared" ref="B53:C55" si="41">B54+(B$52-B$56)*I53/SUM(I$52:I$55)</f>
        <v>125.9720430107527</v>
      </c>
      <c r="C53" s="2684">
        <f t="shared" si="41"/>
        <v>125.1883408071749</v>
      </c>
      <c r="D53" s="2684">
        <f t="shared" si="11"/>
        <v>125.1883408071749</v>
      </c>
      <c r="E53" s="2684">
        <f t="shared" ref="E53:F55" si="42">E54+(E$52-E$56)*K53/SUM(K$52:K$55)</f>
        <v>144.61421319796952</v>
      </c>
      <c r="F53" s="2684">
        <f t="shared" si="42"/>
        <v>108.42008196721311</v>
      </c>
      <c r="G53" s="3474">
        <v>2005</v>
      </c>
      <c r="H53" s="2695">
        <v>3</v>
      </c>
      <c r="I53" s="2695">
        <v>0.46</v>
      </c>
      <c r="J53" s="2695">
        <v>0.32</v>
      </c>
      <c r="K53" s="2695">
        <v>0.42</v>
      </c>
      <c r="L53" s="2696">
        <v>0.64</v>
      </c>
      <c r="N53" s="2727">
        <f t="shared" si="39"/>
        <v>1.3898515951301874E-2</v>
      </c>
      <c r="O53" s="2728">
        <f t="shared" si="39"/>
        <v>1.0585900169080346E-2</v>
      </c>
      <c r="P53" s="2728">
        <f t="shared" si="40"/>
        <v>5.3299492385786795E-2</v>
      </c>
      <c r="Q53" s="2728">
        <f t="shared" si="40"/>
        <v>4.2898728359123568E-3</v>
      </c>
      <c r="R53" s="2681"/>
      <c r="S53" s="2679"/>
      <c r="T53" s="2680"/>
      <c r="U53" s="2680"/>
      <c r="V53" s="2680"/>
      <c r="X53" s="2729"/>
      <c r="Y53" s="2729"/>
      <c r="Z53" s="2729"/>
    </row>
    <row r="54" spans="1:26">
      <c r="A54" s="2669" t="s">
        <v>2892</v>
      </c>
      <c r="B54" s="2684">
        <f t="shared" si="41"/>
        <v>124.29032258064517</v>
      </c>
      <c r="C54" s="2684">
        <f t="shared" si="41"/>
        <v>123.8968609865471</v>
      </c>
      <c r="D54" s="2684">
        <f t="shared" si="11"/>
        <v>123.8968609865471</v>
      </c>
      <c r="E54" s="2684">
        <f t="shared" si="42"/>
        <v>138.00507614213197</v>
      </c>
      <c r="F54" s="2684">
        <f t="shared" si="42"/>
        <v>107.96106557377048</v>
      </c>
      <c r="G54" s="3474">
        <v>2005</v>
      </c>
      <c r="H54" s="2675">
        <v>2</v>
      </c>
      <c r="I54" s="2675">
        <v>0.47</v>
      </c>
      <c r="J54" s="2675">
        <v>0.1</v>
      </c>
      <c r="K54" s="2675">
        <v>0.52</v>
      </c>
      <c r="L54" s="2686">
        <v>0.79</v>
      </c>
      <c r="N54" s="2727">
        <f t="shared" si="39"/>
        <v>1.420065760241713E-2</v>
      </c>
      <c r="O54" s="2728">
        <f t="shared" si="39"/>
        <v>3.3080938028376083E-3</v>
      </c>
      <c r="P54" s="2728">
        <f t="shared" si="40"/>
        <v>6.598984771573603E-2</v>
      </c>
      <c r="Q54" s="2728">
        <f t="shared" si="40"/>
        <v>5.2953117818293153E-3</v>
      </c>
      <c r="R54" s="2681"/>
      <c r="S54" s="2679"/>
      <c r="T54" s="2680"/>
      <c r="U54" s="2680"/>
      <c r="V54" s="2680"/>
      <c r="X54" s="2729"/>
      <c r="Y54" s="2729"/>
      <c r="Z54" s="2729"/>
    </row>
    <row r="55" spans="1:26">
      <c r="A55" s="2669" t="s">
        <v>2893</v>
      </c>
      <c r="B55" s="2684">
        <f t="shared" si="41"/>
        <v>122.57204301075269</v>
      </c>
      <c r="C55" s="2684">
        <f t="shared" si="41"/>
        <v>123.4932735426009</v>
      </c>
      <c r="D55" s="2684">
        <f t="shared" si="11"/>
        <v>123.4932735426009</v>
      </c>
      <c r="E55" s="2684">
        <f t="shared" si="42"/>
        <v>129.82233502538071</v>
      </c>
      <c r="F55" s="2684">
        <f t="shared" si="42"/>
        <v>107.39446721311475</v>
      </c>
      <c r="G55" s="3475">
        <v>2005</v>
      </c>
      <c r="H55" s="2674">
        <v>1</v>
      </c>
      <c r="I55" s="2674">
        <v>0.43</v>
      </c>
      <c r="J55" s="2674">
        <v>0.37</v>
      </c>
      <c r="K55" s="2674">
        <v>0.37</v>
      </c>
      <c r="L55" s="2685">
        <v>0.55000000000000004</v>
      </c>
      <c r="N55" s="2730">
        <f t="shared" si="39"/>
        <v>1.2992090997956099E-2</v>
      </c>
      <c r="O55" s="2731">
        <f t="shared" si="39"/>
        <v>1.2239947070499151E-2</v>
      </c>
      <c r="P55" s="2731">
        <f t="shared" si="40"/>
        <v>4.6954314720812178E-2</v>
      </c>
      <c r="Q55" s="2731">
        <f t="shared" si="40"/>
        <v>3.6866094683621815E-3</v>
      </c>
      <c r="R55" s="2681"/>
      <c r="S55" s="2687">
        <f>B55/B56-1</f>
        <v>1.2992090997956174E-2</v>
      </c>
      <c r="T55" s="2688">
        <f>C55/C56-1</f>
        <v>1.2239947070499246E-2</v>
      </c>
      <c r="U55" s="2688">
        <f>E55/E56-1</f>
        <v>4.695431472081224E-2</v>
      </c>
      <c r="V55" s="2688">
        <f>F55/F56-1</f>
        <v>3.6866094683620787E-3</v>
      </c>
      <c r="X55" s="2729"/>
      <c r="Y55" s="2729"/>
      <c r="Z55" s="2729"/>
    </row>
    <row r="56" spans="1:26" ht="13.5" thickBot="1">
      <c r="A56" s="2669" t="s">
        <v>2894</v>
      </c>
      <c r="B56" s="2714">
        <v>121</v>
      </c>
      <c r="C56" s="2714">
        <v>122</v>
      </c>
      <c r="D56" s="2714">
        <f t="shared" si="11"/>
        <v>122</v>
      </c>
      <c r="E56" s="2714">
        <v>124</v>
      </c>
      <c r="F56" s="2715">
        <v>107</v>
      </c>
      <c r="G56" s="3473">
        <v>2004</v>
      </c>
      <c r="H56" s="2690">
        <v>4</v>
      </c>
      <c r="I56" s="2690">
        <v>0.33</v>
      </c>
      <c r="J56" s="2690">
        <v>0.5</v>
      </c>
      <c r="K56" s="2690">
        <v>0.5</v>
      </c>
      <c r="L56" s="2691">
        <v>0</v>
      </c>
      <c r="N56" s="2727">
        <f t="shared" ref="N56:O59" si="43">I56/SUM(I$56:I$59)*(B$56/B$60-1)</f>
        <v>1.3391770148526898E-2</v>
      </c>
      <c r="O56" s="2728">
        <f t="shared" si="43"/>
        <v>1.063264221158958E-2</v>
      </c>
      <c r="P56" s="2728">
        <f t="shared" ref="P56:Q59" si="44">K56/SUM(K$56:K$59)*(E$56/E$60-1)</f>
        <v>2.2244466688911134E-2</v>
      </c>
      <c r="Q56" s="2728">
        <f t="shared" si="44"/>
        <v>0</v>
      </c>
      <c r="R56" s="2681"/>
      <c r="S56" s="2682"/>
      <c r="T56" s="2683"/>
      <c r="U56" s="2683"/>
      <c r="V56" s="2683"/>
      <c r="X56" s="2729"/>
      <c r="Y56" s="2729"/>
      <c r="Z56" s="2729"/>
    </row>
    <row r="57" spans="1:26">
      <c r="A57" s="2669" t="s">
        <v>2895</v>
      </c>
      <c r="B57" s="2684">
        <f t="shared" ref="B57:C59" si="45">B58+(B$56-B$60)*I57/SUM(I$56:I$59)</f>
        <v>119.51351351351352</v>
      </c>
      <c r="C57" s="2684">
        <f t="shared" si="45"/>
        <v>120.7878787878788</v>
      </c>
      <c r="D57" s="2684">
        <f t="shared" si="11"/>
        <v>120.7878787878788</v>
      </c>
      <c r="E57" s="2684">
        <f t="shared" ref="E57:F59" si="46">E58+(E$56-E$60)*K57/SUM(K$56:K$59)</f>
        <v>121.5975975975976</v>
      </c>
      <c r="F57" s="2684">
        <f t="shared" si="46"/>
        <v>107</v>
      </c>
      <c r="G57" s="3474">
        <v>2004</v>
      </c>
      <c r="H57" s="2695">
        <v>3</v>
      </c>
      <c r="I57" s="2695">
        <v>0.56000000000000005</v>
      </c>
      <c r="J57" s="2695">
        <v>0.8</v>
      </c>
      <c r="K57" s="2695">
        <v>0.83</v>
      </c>
      <c r="L57" s="2696">
        <v>0.06</v>
      </c>
      <c r="N57" s="2727">
        <f t="shared" si="43"/>
        <v>2.2725428130833527E-2</v>
      </c>
      <c r="O57" s="2728">
        <f t="shared" si="43"/>
        <v>1.7012227538543329E-2</v>
      </c>
      <c r="P57" s="2728">
        <f t="shared" si="44"/>
        <v>3.6925814703592477E-2</v>
      </c>
      <c r="Q57" s="2728">
        <f t="shared" si="44"/>
        <v>2.8846153846153744E-2</v>
      </c>
      <c r="R57" s="2681"/>
      <c r="S57" s="2679"/>
      <c r="T57" s="2680"/>
      <c r="U57" s="2680"/>
      <c r="V57" s="2680"/>
      <c r="X57" s="2729"/>
      <c r="Y57" s="2729"/>
      <c r="Z57" s="2729"/>
    </row>
    <row r="58" spans="1:26">
      <c r="A58" s="2669" t="s">
        <v>2896</v>
      </c>
      <c r="B58" s="2684">
        <f t="shared" si="45"/>
        <v>116.99099099099099</v>
      </c>
      <c r="C58" s="2684">
        <f t="shared" si="45"/>
        <v>118.84848484848486</v>
      </c>
      <c r="D58" s="2684">
        <f t="shared" si="11"/>
        <v>118.84848484848486</v>
      </c>
      <c r="E58" s="2684">
        <f t="shared" si="46"/>
        <v>117.60960960960961</v>
      </c>
      <c r="F58" s="2684">
        <f t="shared" si="46"/>
        <v>104</v>
      </c>
      <c r="G58" s="3474">
        <v>2004</v>
      </c>
      <c r="H58" s="2675">
        <v>2</v>
      </c>
      <c r="I58" s="2675">
        <v>1</v>
      </c>
      <c r="J58" s="2675">
        <v>1.5</v>
      </c>
      <c r="K58" s="2675">
        <v>1.5</v>
      </c>
      <c r="L58" s="2686">
        <v>0</v>
      </c>
      <c r="N58" s="2727">
        <f t="shared" si="43"/>
        <v>4.0581121662202721E-2</v>
      </c>
      <c r="O58" s="2728">
        <f t="shared" si="43"/>
        <v>3.1897926634768738E-2</v>
      </c>
      <c r="P58" s="2728">
        <f t="shared" si="44"/>
        <v>6.6733400066733395E-2</v>
      </c>
      <c r="Q58" s="2728">
        <f t="shared" si="44"/>
        <v>0</v>
      </c>
      <c r="R58" s="2681"/>
      <c r="S58" s="2679"/>
      <c r="T58" s="2680"/>
      <c r="U58" s="2680"/>
      <c r="V58" s="2680"/>
      <c r="X58" s="2729"/>
      <c r="Y58" s="2729"/>
      <c r="Z58" s="2729"/>
    </row>
    <row r="59" spans="1:26" s="2720" customFormat="1" ht="13.5" thickBot="1">
      <c r="A59" s="2669" t="s">
        <v>2897</v>
      </c>
      <c r="B59" s="2717">
        <f t="shared" si="45"/>
        <v>112.48648648648648</v>
      </c>
      <c r="C59" s="2717">
        <f t="shared" si="45"/>
        <v>115.21212121212122</v>
      </c>
      <c r="D59" s="2717">
        <f t="shared" si="11"/>
        <v>115.21212121212122</v>
      </c>
      <c r="E59" s="2717">
        <f t="shared" si="46"/>
        <v>110.4024024024024</v>
      </c>
      <c r="F59" s="2717">
        <f t="shared" si="46"/>
        <v>104</v>
      </c>
      <c r="G59" s="3475">
        <v>2004</v>
      </c>
      <c r="H59" s="2718">
        <v>1</v>
      </c>
      <c r="I59" s="2718">
        <v>0.33</v>
      </c>
      <c r="J59" s="2718">
        <v>0.5</v>
      </c>
      <c r="K59" s="2718">
        <v>0.5</v>
      </c>
      <c r="L59" s="2719">
        <v>0</v>
      </c>
      <c r="N59" s="2732">
        <f t="shared" si="43"/>
        <v>1.3391770148526898E-2</v>
      </c>
      <c r="O59" s="2733">
        <f t="shared" si="43"/>
        <v>1.063264221158958E-2</v>
      </c>
      <c r="P59" s="2733">
        <f t="shared" si="44"/>
        <v>2.2244466688911134E-2</v>
      </c>
      <c r="Q59" s="2733">
        <f t="shared" si="44"/>
        <v>0</v>
      </c>
      <c r="R59" s="2723"/>
      <c r="S59" s="2721">
        <f>B59/B60-1</f>
        <v>1.3391770148526883E-2</v>
      </c>
      <c r="T59" s="2722">
        <f>C59/C60-1</f>
        <v>1.063264221158966E-2</v>
      </c>
      <c r="U59" s="2722">
        <f>E59/E60-1</f>
        <v>2.2244466688911224E-2</v>
      </c>
      <c r="V59" s="2722">
        <f>F59/F60-1</f>
        <v>0</v>
      </c>
      <c r="X59" s="2734"/>
      <c r="Y59" s="2734"/>
      <c r="Z59" s="2734"/>
    </row>
    <row r="60" spans="1:26" ht="13.5" thickBot="1">
      <c r="A60" s="2669" t="s">
        <v>2898</v>
      </c>
      <c r="B60" s="2735">
        <v>111</v>
      </c>
      <c r="C60" s="2735">
        <v>114</v>
      </c>
      <c r="D60" s="2735">
        <f t="shared" si="11"/>
        <v>114</v>
      </c>
      <c r="E60" s="2735">
        <v>108</v>
      </c>
      <c r="F60" s="2736">
        <v>104</v>
      </c>
      <c r="G60" s="3473">
        <v>2003</v>
      </c>
      <c r="H60" s="2725">
        <v>4</v>
      </c>
      <c r="I60" s="2737"/>
      <c r="J60" s="2737"/>
      <c r="K60" s="2737"/>
      <c r="L60" s="2737"/>
      <c r="N60" s="2738"/>
      <c r="O60" s="2737"/>
      <c r="P60" s="2737"/>
      <c r="Q60" s="2737"/>
      <c r="S60" s="2738"/>
      <c r="T60" s="2737"/>
      <c r="U60" s="2737"/>
      <c r="V60" s="2737"/>
      <c r="X60" s="2729"/>
      <c r="Y60" s="2729"/>
      <c r="Z60" s="2729"/>
    </row>
    <row r="61" spans="1:26">
      <c r="A61" s="2669" t="s">
        <v>2899</v>
      </c>
      <c r="B61" s="2739">
        <f t="shared" ref="B61:C63" si="47">B62+(B$60-B$64)/4</f>
        <v>109.75</v>
      </c>
      <c r="C61" s="2739">
        <f t="shared" si="47"/>
        <v>112.25</v>
      </c>
      <c r="D61" s="2739">
        <f t="shared" si="11"/>
        <v>112.25</v>
      </c>
      <c r="E61" s="2739">
        <f t="shared" ref="E61:F63" si="48">E62+(E$60-E$64)/4</f>
        <v>107.25</v>
      </c>
      <c r="F61" s="2739">
        <f t="shared" si="48"/>
        <v>103.5</v>
      </c>
      <c r="G61" s="3474">
        <v>2003</v>
      </c>
      <c r="H61" s="2695">
        <v>3</v>
      </c>
      <c r="I61" s="2737"/>
      <c r="J61" s="2737"/>
      <c r="K61" s="2737"/>
      <c r="L61" s="2737"/>
      <c r="X61" s="2729"/>
      <c r="Y61" s="2729"/>
      <c r="Z61" s="2729"/>
    </row>
    <row r="62" spans="1:26">
      <c r="A62" s="2669" t="s">
        <v>2900</v>
      </c>
      <c r="B62" s="2739">
        <f t="shared" si="47"/>
        <v>108.5</v>
      </c>
      <c r="C62" s="2739">
        <f t="shared" si="47"/>
        <v>110.5</v>
      </c>
      <c r="D62" s="2739">
        <f t="shared" si="11"/>
        <v>110.5</v>
      </c>
      <c r="E62" s="2739">
        <f t="shared" si="48"/>
        <v>106.5</v>
      </c>
      <c r="F62" s="2739">
        <f t="shared" si="48"/>
        <v>103</v>
      </c>
      <c r="G62" s="3474">
        <v>2003</v>
      </c>
      <c r="H62" s="2675">
        <v>2</v>
      </c>
      <c r="I62" s="2737"/>
      <c r="J62" s="2737"/>
      <c r="K62" s="2737"/>
      <c r="L62" s="2737"/>
      <c r="X62" s="2729"/>
      <c r="Y62" s="2729"/>
      <c r="Z62" s="2729"/>
    </row>
    <row r="63" spans="1:26" ht="13.5" thickBot="1">
      <c r="A63" s="2669" t="s">
        <v>2901</v>
      </c>
      <c r="B63" s="2739">
        <f t="shared" si="47"/>
        <v>107.25</v>
      </c>
      <c r="C63" s="2739">
        <f t="shared" si="47"/>
        <v>108.75</v>
      </c>
      <c r="D63" s="2739">
        <f t="shared" si="11"/>
        <v>108.75</v>
      </c>
      <c r="E63" s="2739">
        <f t="shared" si="48"/>
        <v>105.75</v>
      </c>
      <c r="F63" s="2739">
        <f t="shared" si="48"/>
        <v>102.5</v>
      </c>
      <c r="G63" s="3475">
        <v>2003</v>
      </c>
      <c r="H63" s="2740">
        <v>1</v>
      </c>
      <c r="I63" s="2737"/>
      <c r="J63" s="2737"/>
      <c r="K63" s="2737"/>
      <c r="L63" s="2737"/>
      <c r="S63" s="2679"/>
      <c r="T63" s="2680"/>
      <c r="U63" s="2680"/>
      <c r="X63" s="2729"/>
      <c r="Y63" s="2729"/>
      <c r="Z63" s="2729"/>
    </row>
    <row r="64" spans="1:26" ht="13.5" thickBot="1">
      <c r="A64" s="2669" t="s">
        <v>2902</v>
      </c>
      <c r="B64" s="2741">
        <v>106</v>
      </c>
      <c r="C64" s="2741">
        <v>107</v>
      </c>
      <c r="D64" s="2741">
        <f t="shared" si="11"/>
        <v>107</v>
      </c>
      <c r="E64" s="2741">
        <v>105</v>
      </c>
      <c r="F64" s="2742">
        <v>102</v>
      </c>
      <c r="G64" s="3473">
        <v>2002</v>
      </c>
      <c r="H64" s="2690">
        <v>4</v>
      </c>
      <c r="I64" s="2737"/>
      <c r="J64" s="2737"/>
      <c r="K64" s="2737"/>
      <c r="L64" s="2737"/>
      <c r="N64" s="2738"/>
      <c r="O64" s="2737"/>
      <c r="P64" s="2737"/>
      <c r="Q64" s="2737"/>
      <c r="S64" s="2738"/>
      <c r="T64" s="2737"/>
      <c r="U64" s="2737"/>
      <c r="V64" s="2737"/>
      <c r="X64" s="2729"/>
      <c r="Y64" s="2729"/>
      <c r="Z64" s="2729"/>
    </row>
    <row r="65" spans="1:26">
      <c r="A65" s="2669" t="s">
        <v>2903</v>
      </c>
      <c r="B65" s="2739">
        <f t="shared" ref="B65:C67" si="49">B66+(B$64-B$68)/4</f>
        <v>105</v>
      </c>
      <c r="C65" s="2739">
        <f t="shared" si="49"/>
        <v>106</v>
      </c>
      <c r="D65" s="2739">
        <f t="shared" si="11"/>
        <v>106</v>
      </c>
      <c r="E65" s="2739">
        <f t="shared" ref="E65:F67" si="50">E66+(E$64-E$68)/4</f>
        <v>104.5</v>
      </c>
      <c r="F65" s="2739">
        <f t="shared" si="50"/>
        <v>101.5</v>
      </c>
      <c r="G65" s="3474">
        <v>2002</v>
      </c>
      <c r="H65" s="2695">
        <v>3</v>
      </c>
      <c r="I65" s="2737"/>
      <c r="J65" s="2737"/>
      <c r="K65" s="2737"/>
      <c r="L65" s="2737"/>
      <c r="X65" s="2729"/>
      <c r="Y65" s="2729"/>
      <c r="Z65" s="2729"/>
    </row>
    <row r="66" spans="1:26">
      <c r="A66" s="2669" t="s">
        <v>2904</v>
      </c>
      <c r="B66" s="2739">
        <f t="shared" si="49"/>
        <v>104</v>
      </c>
      <c r="C66" s="2739">
        <f t="shared" si="49"/>
        <v>105</v>
      </c>
      <c r="D66" s="2739">
        <f t="shared" si="11"/>
        <v>105</v>
      </c>
      <c r="E66" s="2739">
        <f t="shared" si="50"/>
        <v>104</v>
      </c>
      <c r="F66" s="2739">
        <f t="shared" si="50"/>
        <v>101</v>
      </c>
      <c r="G66" s="3474">
        <v>2002</v>
      </c>
      <c r="H66" s="2675">
        <v>2</v>
      </c>
      <c r="I66" s="2737"/>
      <c r="J66" s="2737"/>
      <c r="K66" s="2737"/>
      <c r="L66" s="2737"/>
      <c r="X66" s="2729"/>
      <c r="Y66" s="2729"/>
      <c r="Z66" s="2729"/>
    </row>
    <row r="67" spans="1:26" s="2706" customFormat="1" ht="13.5" thickBot="1">
      <c r="A67" s="2702" t="s">
        <v>2905</v>
      </c>
      <c r="B67" s="2743">
        <f t="shared" si="49"/>
        <v>103</v>
      </c>
      <c r="C67" s="2743">
        <f t="shared" si="49"/>
        <v>104</v>
      </c>
      <c r="D67" s="2743">
        <f t="shared" si="11"/>
        <v>104</v>
      </c>
      <c r="E67" s="2743">
        <f t="shared" si="50"/>
        <v>103.5</v>
      </c>
      <c r="F67" s="2743">
        <f t="shared" si="50"/>
        <v>100.5</v>
      </c>
      <c r="G67" s="3475">
        <v>2002</v>
      </c>
      <c r="H67" s="2744">
        <v>1</v>
      </c>
      <c r="I67" s="2745"/>
      <c r="J67" s="2745"/>
      <c r="K67" s="2745"/>
      <c r="L67" s="2745"/>
      <c r="N67" s="2746"/>
      <c r="S67" s="2746"/>
      <c r="X67" s="2747"/>
      <c r="Y67" s="2747"/>
      <c r="Z67" s="2747"/>
    </row>
    <row r="68" spans="1:26" ht="13.5" thickBot="1">
      <c r="B68" s="2748">
        <v>102</v>
      </c>
      <c r="C68" s="2749">
        <v>103</v>
      </c>
      <c r="D68" s="2749">
        <f t="shared" si="11"/>
        <v>103</v>
      </c>
      <c r="E68" s="2749">
        <v>103</v>
      </c>
      <c r="F68" s="2750">
        <v>100</v>
      </c>
      <c r="I68" s="2737"/>
      <c r="J68" s="2737"/>
      <c r="K68" s="2737"/>
      <c r="L68" s="2737"/>
      <c r="N68" s="2738"/>
      <c r="O68" s="2737"/>
      <c r="P68" s="2737"/>
      <c r="Q68" s="2737"/>
      <c r="S68" s="2738"/>
      <c r="T68" s="2737"/>
      <c r="U68" s="2737"/>
      <c r="V68" s="2737"/>
      <c r="X68" s="2683"/>
      <c r="Y68" s="2683"/>
      <c r="Z68" s="2683"/>
    </row>
    <row r="70" spans="1:26" s="2752" customFormat="1">
      <c r="A70" s="2751" t="s">
        <v>2906</v>
      </c>
      <c r="G70" s="2753"/>
      <c r="N70" s="2753"/>
      <c r="S70" s="2753"/>
    </row>
    <row r="71" spans="1:26" s="2752" customFormat="1">
      <c r="A71" s="2752" t="s">
        <v>2907</v>
      </c>
      <c r="G71" s="2753"/>
      <c r="N71" s="2753"/>
      <c r="S71" s="2753"/>
    </row>
    <row r="72" spans="1:26" s="2752" customFormat="1">
      <c r="A72" s="2752" t="s">
        <v>2908</v>
      </c>
      <c r="G72" s="2753"/>
      <c r="I72" s="2754"/>
      <c r="J72" s="2754"/>
      <c r="K72" s="2754"/>
      <c r="L72" s="2754"/>
      <c r="N72" s="2755"/>
      <c r="O72" s="2754"/>
      <c r="P72" s="2754"/>
      <c r="Q72" s="2754"/>
      <c r="S72" s="2755"/>
      <c r="T72" s="2754"/>
      <c r="U72" s="2754"/>
      <c r="V72" s="2754"/>
    </row>
    <row r="73" spans="1:26" s="2752" customFormat="1">
      <c r="A73" s="2752" t="s">
        <v>2909</v>
      </c>
      <c r="G73" s="2753"/>
      <c r="N73" s="2753"/>
      <c r="S73" s="2753"/>
    </row>
    <row r="80" spans="1:26" ht="13.5" thickBot="1"/>
    <row r="81" spans="14:22" s="2678" customFormat="1">
      <c r="N81" s="2694"/>
      <c r="S81" s="2756" t="s">
        <v>2910</v>
      </c>
      <c r="T81" s="2757" t="s">
        <v>2911</v>
      </c>
      <c r="U81" s="2757" t="s">
        <v>2912</v>
      </c>
      <c r="V81" s="2757" t="s">
        <v>2913</v>
      </c>
    </row>
    <row r="82" spans="14:22" s="2678" customFormat="1">
      <c r="N82" s="2682"/>
      <c r="O82" s="2683"/>
      <c r="P82" s="2683"/>
      <c r="Q82" s="2683"/>
      <c r="S82" s="2758">
        <v>2006</v>
      </c>
      <c r="T82" s="2759">
        <v>15.1</v>
      </c>
      <c r="U82" s="2759">
        <v>7.43</v>
      </c>
      <c r="V82" s="2759">
        <v>26.26</v>
      </c>
    </row>
    <row r="83" spans="14:22" s="2678" customFormat="1">
      <c r="N83" s="2682"/>
      <c r="O83" s="2683"/>
      <c r="P83" s="2683"/>
      <c r="Q83" s="2683"/>
      <c r="S83" s="2761">
        <v>2005</v>
      </c>
      <c r="T83" s="2760">
        <v>13.9</v>
      </c>
      <c r="U83" s="2760">
        <v>7.49</v>
      </c>
      <c r="V83" s="2760">
        <v>24.92</v>
      </c>
    </row>
    <row r="84" spans="14:22" s="2678" customFormat="1">
      <c r="N84" s="2682"/>
      <c r="O84" s="2683"/>
      <c r="P84" s="2683"/>
      <c r="Q84" s="2683"/>
      <c r="S84" s="2758">
        <v>2004</v>
      </c>
      <c r="T84" s="2759">
        <v>9.48</v>
      </c>
      <c r="U84" s="2759">
        <v>7.2</v>
      </c>
      <c r="V84" s="2759">
        <v>14.68</v>
      </c>
    </row>
    <row r="85" spans="14:22" s="2678" customFormat="1">
      <c r="N85" s="2682"/>
      <c r="O85" s="2683"/>
      <c r="P85" s="2683"/>
      <c r="Q85" s="2683"/>
      <c r="S85" s="2761">
        <v>2003</v>
      </c>
      <c r="T85" s="2760">
        <v>4.5</v>
      </c>
      <c r="U85" s="2760">
        <v>6.12</v>
      </c>
      <c r="V85" s="2760">
        <v>2.34</v>
      </c>
    </row>
    <row r="86" spans="14:22" s="2678" customFormat="1" ht="13.5" thickBot="1">
      <c r="N86" s="2682"/>
      <c r="O86" s="2683"/>
      <c r="P86" s="2683"/>
      <c r="Q86" s="2683"/>
      <c r="S86" s="2762">
        <v>2002</v>
      </c>
      <c r="T86" s="2763">
        <v>3.59</v>
      </c>
      <c r="U86" s="2763">
        <v>4.54</v>
      </c>
      <c r="V86" s="2763">
        <v>2.5499999999999998</v>
      </c>
    </row>
    <row r="87" spans="14:22" s="2678" customFormat="1">
      <c r="N87" s="2682"/>
      <c r="O87" s="2683"/>
      <c r="P87" s="2683"/>
      <c r="Q87" s="2683"/>
      <c r="S87" s="2694"/>
    </row>
    <row r="88" spans="14:22" s="2678" customFormat="1">
      <c r="N88" s="2682"/>
      <c r="O88" s="2683"/>
      <c r="P88" s="2683"/>
      <c r="Q88" s="2683"/>
      <c r="S88" s="2694"/>
    </row>
    <row r="89" spans="14:22" s="2678" customFormat="1">
      <c r="N89" s="2682"/>
      <c r="O89" s="2683"/>
      <c r="P89" s="2683"/>
      <c r="Q89" s="2683"/>
      <c r="S89" s="2694"/>
    </row>
    <row r="90" spans="14:22" s="2678" customFormat="1">
      <c r="N90" s="2682"/>
      <c r="O90" s="2683"/>
      <c r="P90" s="2683"/>
      <c r="Q90" s="2683"/>
      <c r="S90" s="2694"/>
    </row>
    <row r="91" spans="14:22" s="2678" customFormat="1">
      <c r="N91" s="2682"/>
      <c r="O91" s="2683"/>
      <c r="P91" s="2683"/>
      <c r="Q91" s="2683"/>
      <c r="S91" s="2694"/>
    </row>
    <row r="92" spans="14:22" s="2678" customFormat="1">
      <c r="N92" s="2682"/>
      <c r="O92" s="2683"/>
      <c r="P92" s="2683"/>
      <c r="Q92" s="2683"/>
      <c r="S92" s="2694"/>
    </row>
    <row r="93" spans="14:22" s="2678" customFormat="1">
      <c r="N93" s="2682"/>
      <c r="O93" s="2683"/>
      <c r="P93" s="2683"/>
      <c r="Q93" s="2683"/>
      <c r="S93" s="2694"/>
    </row>
    <row r="94" spans="14:22" s="2678" customFormat="1">
      <c r="N94" s="2682"/>
      <c r="O94" s="2683"/>
      <c r="P94" s="2683"/>
      <c r="Q94" s="2683"/>
      <c r="S94" s="2694"/>
    </row>
    <row r="95" spans="14:22" s="2678" customFormat="1">
      <c r="N95" s="2682"/>
      <c r="O95" s="2683"/>
      <c r="P95" s="2683"/>
      <c r="Q95" s="2683"/>
      <c r="S95" s="2694"/>
    </row>
    <row r="96" spans="14:22" s="2678" customFormat="1">
      <c r="N96" s="2682"/>
      <c r="O96" s="2683"/>
      <c r="P96" s="2683"/>
      <c r="Q96" s="2683"/>
      <c r="S96" s="2694"/>
    </row>
    <row r="97" spans="14:17" s="2678" customFormat="1">
      <c r="N97" s="2682"/>
      <c r="O97" s="2683"/>
      <c r="P97" s="2683"/>
      <c r="Q97" s="2683"/>
    </row>
    <row r="98" spans="14:17" s="2678" customFormat="1">
      <c r="N98" s="2682"/>
      <c r="O98" s="2683"/>
      <c r="P98" s="2683"/>
      <c r="Q98" s="2683"/>
    </row>
    <row r="99" spans="14:17" s="2678" customFormat="1">
      <c r="N99" s="2682"/>
      <c r="O99" s="2683"/>
      <c r="P99" s="2683"/>
      <c r="Q99" s="2683"/>
    </row>
    <row r="100" spans="14:17" s="2678" customFormat="1">
      <c r="N100" s="2682"/>
      <c r="O100" s="2683"/>
      <c r="P100" s="2683"/>
      <c r="Q100" s="2683"/>
    </row>
    <row r="101" spans="14:17" s="2678" customFormat="1">
      <c r="N101" s="2682"/>
      <c r="O101" s="2683"/>
      <c r="P101" s="2683"/>
      <c r="Q101" s="2683"/>
    </row>
    <row r="102" spans="14:17" s="2678" customFormat="1">
      <c r="N102" s="2682"/>
      <c r="O102" s="2683"/>
      <c r="P102" s="2683"/>
      <c r="Q102" s="2683"/>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078" customWidth="1"/>
    <col min="2" max="2" width="20.625" style="2079" customWidth="1"/>
    <col min="3" max="3" width="11.875" style="2079" customWidth="1"/>
    <col min="4" max="4" width="40.5" style="2037" customWidth="1"/>
    <col min="5" max="5" width="15.75" style="2037" customWidth="1"/>
    <col min="6" max="6" width="10.625" style="2037" customWidth="1"/>
    <col min="7" max="7" width="4.875" style="2037" customWidth="1"/>
    <col min="8" max="8" width="8.5" style="2037" customWidth="1"/>
    <col min="9" max="9" width="21.25" style="2037" customWidth="1"/>
    <col min="10" max="10" width="12.25" style="2037" customWidth="1"/>
    <col min="11" max="11" width="40.125" style="2080" customWidth="1"/>
    <col min="12" max="12" width="18.375" style="2037" customWidth="1"/>
    <col min="13" max="13" width="13" style="2037" customWidth="1"/>
    <col min="14" max="14" width="9.5" style="2036" bestFit="1" customWidth="1"/>
    <col min="15" max="16" width="9.125" style="2036" bestFit="1" customWidth="1"/>
    <col min="17" max="18" width="13.75" style="2036" customWidth="1"/>
    <col min="19" max="19" width="1.5" style="2036" customWidth="1"/>
    <col min="20" max="25" width="9" style="2036"/>
    <col min="26" max="16384" width="9" style="2037"/>
  </cols>
  <sheetData>
    <row r="1" spans="1:25" s="2031" customFormat="1" ht="21">
      <c r="A1" s="752" t="s">
        <v>663</v>
      </c>
      <c r="B1" s="718"/>
      <c r="C1" s="753" t="s">
        <v>3114</v>
      </c>
      <c r="D1" s="2026"/>
      <c r="E1" s="2027"/>
      <c r="F1" s="2027"/>
      <c r="G1" s="754" t="e">
        <f>MATCH(C1,'数据-取费表'!A6:A19,0)+5</f>
        <v>#N/A</v>
      </c>
      <c r="H1" s="1335"/>
      <c r="I1" s="2028"/>
      <c r="J1" s="2028"/>
      <c r="K1" s="2029"/>
      <c r="L1" s="2028"/>
      <c r="M1" s="2028"/>
      <c r="N1" s="2030"/>
      <c r="O1" s="2030"/>
      <c r="P1" s="2030"/>
      <c r="Q1" s="2030"/>
      <c r="R1" s="2030"/>
      <c r="S1" s="2030"/>
      <c r="T1" s="2030"/>
      <c r="U1" s="2030"/>
      <c r="V1" s="2030"/>
      <c r="W1" s="2030"/>
      <c r="X1" s="2030"/>
      <c r="Y1" s="2030"/>
    </row>
    <row r="2" spans="1:25" ht="18" customHeight="1">
      <c r="A2" s="1625" t="s">
        <v>664</v>
      </c>
      <c r="B2" s="755">
        <f ca="1">IF(ISERROR(C45+J31),0,C45+J31)</f>
        <v>0</v>
      </c>
      <c r="C2" s="1336"/>
      <c r="D2" s="2032"/>
      <c r="E2" s="2033"/>
      <c r="F2" s="2033"/>
      <c r="G2" s="1571"/>
      <c r="H2" s="1349"/>
      <c r="I2" s="2034"/>
      <c r="J2" s="2034"/>
      <c r="K2" s="2035"/>
      <c r="L2" s="2034"/>
      <c r="M2" s="2034"/>
    </row>
    <row r="3" spans="1:25" ht="18" customHeight="1">
      <c r="A3" s="1626" t="s">
        <v>1895</v>
      </c>
      <c r="B3" s="1372">
        <f ca="1">ROUND(B2*10000/'数据-汇总表'!E3,0)</f>
        <v>0</v>
      </c>
      <c r="C3" s="1336"/>
      <c r="D3" s="2032"/>
      <c r="E3" s="2033"/>
      <c r="F3" s="2033"/>
      <c r="G3" s="1571"/>
      <c r="H3" s="756" t="s">
        <v>731</v>
      </c>
      <c r="I3" s="2034"/>
      <c r="J3" s="2034"/>
      <c r="K3" s="2035"/>
      <c r="L3" s="2034"/>
      <c r="M3" s="2034"/>
    </row>
    <row r="4" spans="1:25" ht="18" customHeight="1">
      <c r="A4" s="1627" t="s">
        <v>732</v>
      </c>
      <c r="B4" s="1337">
        <f ca="1">ROUND(B2*10000/'数据-汇总表'!D3,0)</f>
        <v>0</v>
      </c>
      <c r="C4" s="408"/>
      <c r="D4" s="2032"/>
      <c r="E4" s="2033"/>
      <c r="F4" s="2033"/>
      <c r="G4" s="1571"/>
      <c r="H4" s="756"/>
      <c r="I4" s="2034"/>
      <c r="J4" s="2034"/>
      <c r="K4" s="2035"/>
      <c r="L4" s="2034"/>
      <c r="M4" s="2034"/>
    </row>
    <row r="5" spans="1:25" ht="18" customHeight="1" thickBot="1">
      <c r="A5" s="1628"/>
      <c r="B5" s="410">
        <f ca="1">ROUND(B2/('数据-汇总表'!D3/666.67),0)</f>
        <v>0</v>
      </c>
      <c r="C5" s="411" t="s">
        <v>733</v>
      </c>
      <c r="D5" s="2032"/>
      <c r="E5" s="2033"/>
      <c r="F5" s="2033"/>
      <c r="G5" s="1571"/>
      <c r="H5" s="756"/>
      <c r="I5" s="2034"/>
      <c r="J5" s="2034"/>
      <c r="K5" s="2035"/>
      <c r="L5" s="2034"/>
      <c r="M5" s="2034"/>
    </row>
    <row r="6" spans="1:25" ht="18" customHeight="1">
      <c r="A6" s="1802" t="s">
        <v>734</v>
      </c>
      <c r="B6" s="1794" t="s">
        <v>735</v>
      </c>
      <c r="C6" s="1794" t="s">
        <v>667</v>
      </c>
      <c r="D6" s="1794" t="s">
        <v>668</v>
      </c>
      <c r="E6" s="759" t="s">
        <v>669</v>
      </c>
      <c r="F6" s="760"/>
      <c r="G6" s="1573"/>
      <c r="H6" s="1802" t="s">
        <v>665</v>
      </c>
      <c r="I6" s="1794" t="s">
        <v>666</v>
      </c>
      <c r="J6" s="1794" t="s">
        <v>667</v>
      </c>
      <c r="K6" s="1794" t="s">
        <v>668</v>
      </c>
      <c r="L6" s="759" t="s">
        <v>669</v>
      </c>
      <c r="M6" s="760"/>
    </row>
    <row r="7" spans="1:25" ht="18" customHeight="1">
      <c r="A7" s="761">
        <v>1</v>
      </c>
      <c r="B7" s="762" t="s">
        <v>2721</v>
      </c>
      <c r="C7" s="52" t="e">
        <f ca="1">C8+C12+C14</f>
        <v>#N/A</v>
      </c>
      <c r="D7" s="2508" t="s">
        <v>2724</v>
      </c>
      <c r="E7" s="2502"/>
      <c r="F7" s="2503"/>
      <c r="G7" s="1573"/>
      <c r="H7" s="761">
        <v>1</v>
      </c>
      <c r="I7" s="762" t="s">
        <v>2721</v>
      </c>
      <c r="J7" s="52" t="e">
        <f ca="1">J8+J12+J14</f>
        <v>#N/A</v>
      </c>
      <c r="K7" s="2508" t="s">
        <v>2724</v>
      </c>
      <c r="L7" s="2502"/>
      <c r="M7" s="2503"/>
    </row>
    <row r="8" spans="1:25" ht="18" customHeight="1">
      <c r="A8" s="1804" t="s">
        <v>2038</v>
      </c>
      <c r="B8" s="3484" t="s">
        <v>2726</v>
      </c>
      <c r="C8" s="1799" t="e">
        <f ca="1">ROUND(F8*F10*F9*(1-F11)/10000,0)</f>
        <v>#N/A</v>
      </c>
      <c r="D8" s="1796" t="s">
        <v>2799</v>
      </c>
      <c r="E8" s="59" t="s">
        <v>672</v>
      </c>
      <c r="F8" s="765" t="e">
        <f ca="1">INDIRECT("'数据-取费表'!u"&amp;$G$1)</f>
        <v>#N/A</v>
      </c>
      <c r="G8" s="1573"/>
      <c r="H8" s="2516" t="s">
        <v>2038</v>
      </c>
      <c r="I8" s="3484" t="s">
        <v>2726</v>
      </c>
      <c r="J8" s="763" t="e">
        <f ca="1">ROUND(M8*M10*M9*(1-M11)/10000,0)</f>
        <v>#N/A</v>
      </c>
      <c r="K8" s="321" t="s">
        <v>2799</v>
      </c>
      <c r="L8" s="764" t="s">
        <v>1950</v>
      </c>
      <c r="M8" s="765" t="e">
        <f ca="1">INDIRECT("'数据-取费表'!z"&amp;$G$1)</f>
        <v>#N/A</v>
      </c>
    </row>
    <row r="9" spans="1:25" ht="18" customHeight="1">
      <c r="A9" s="2512"/>
      <c r="B9" s="3485"/>
      <c r="C9" s="1800"/>
      <c r="D9" s="1797"/>
      <c r="E9" s="59" t="s">
        <v>673</v>
      </c>
      <c r="F9" s="765" t="e">
        <f ca="1">IF(INDIRECT("'数据-取费表'!ah"&amp;$G$1)="",INDIRECT("'数据-取费表'!k"&amp;$G$1),INDIRECT("'数据-取费表'!ah"&amp;$G$1))</f>
        <v>#N/A</v>
      </c>
      <c r="G9" s="1573"/>
      <c r="H9" s="2501"/>
      <c r="I9" s="3485"/>
      <c r="J9" s="768"/>
      <c r="K9" s="769"/>
      <c r="L9" s="764" t="s">
        <v>1951</v>
      </c>
      <c r="M9" s="765" t="e">
        <f ca="1">F9</f>
        <v>#N/A</v>
      </c>
    </row>
    <row r="10" spans="1:25" ht="18" customHeight="1">
      <c r="A10" s="2505"/>
      <c r="B10" s="3486"/>
      <c r="C10" s="1800"/>
      <c r="D10" s="1797"/>
      <c r="E10" s="59" t="s">
        <v>674</v>
      </c>
      <c r="F10" s="765" t="e">
        <f ca="1">INDIRECT("'数据-取费表'!ai"&amp;$G$1)</f>
        <v>#N/A</v>
      </c>
      <c r="G10" s="1573"/>
      <c r="H10" s="2501"/>
      <c r="I10" s="3486"/>
      <c r="J10" s="768"/>
      <c r="K10" s="769"/>
      <c r="L10" s="764" t="s">
        <v>1952</v>
      </c>
      <c r="M10" s="765" t="e">
        <f ca="1">INDIRECT("'数据-取费表'!ai"&amp;$G$1)</f>
        <v>#N/A</v>
      </c>
    </row>
    <row r="11" spans="1:25" ht="18" customHeight="1">
      <c r="A11" s="766"/>
      <c r="B11" s="3487"/>
      <c r="C11" s="1800"/>
      <c r="D11" s="1797"/>
      <c r="E11" s="59" t="s">
        <v>675</v>
      </c>
      <c r="F11" s="774" t="e">
        <f ca="1">INDIRECT("'数据-取费表'!w"&amp;$G$1)</f>
        <v>#N/A</v>
      </c>
      <c r="G11" s="1573"/>
      <c r="H11" s="2517"/>
      <c r="I11" s="3486"/>
      <c r="J11" s="768"/>
      <c r="K11" s="769"/>
      <c r="L11" s="775" t="s">
        <v>1953</v>
      </c>
      <c r="M11" s="776" t="e">
        <f ca="1">INDIRECT("'数据-取费表'!ab"&amp;$G$1)</f>
        <v>#N/A</v>
      </c>
    </row>
    <row r="12" spans="1:25" ht="18" customHeight="1">
      <c r="A12" s="1804" t="s">
        <v>2039</v>
      </c>
      <c r="B12" s="2506" t="s">
        <v>2722</v>
      </c>
      <c r="C12" s="779">
        <f ca="1">ROUND(IF(F12="押一",F8*F10*F9/12*F13,IF(F12="押二",F8*F10*F9/12*2*F13,IF(F12="押三",F8*F10*F9/12*3*F13,C13*F13)))/10000,0)</f>
        <v>0</v>
      </c>
      <c r="D12" s="2513" t="s">
        <v>2730</v>
      </c>
      <c r="E12" s="2510" t="s">
        <v>2727</v>
      </c>
      <c r="F12" s="2634" t="s">
        <v>2842</v>
      </c>
      <c r="G12" s="1573"/>
      <c r="H12" s="2573" t="s">
        <v>2039</v>
      </c>
      <c r="I12" s="2578" t="s">
        <v>2722</v>
      </c>
      <c r="J12" s="763" t="e">
        <f ca="1">ROUND(IF(M12="押一",M8*M10*M9/12*M13,IF(M12="押二",M8*M10*M9/12*2*M13,IF(M12="押三",M8*M10*M9/12*3*M13,J13*M13)))/10000,0)</f>
        <v>#N/A</v>
      </c>
      <c r="K12" s="2513" t="s">
        <v>2730</v>
      </c>
      <c r="L12" s="2510" t="s">
        <v>2727</v>
      </c>
      <c r="M12" s="2634" t="s">
        <v>2729</v>
      </c>
    </row>
    <row r="13" spans="1:25" ht="18" customHeight="1">
      <c r="A13" s="770"/>
      <c r="B13" s="2507" t="s">
        <v>2844</v>
      </c>
      <c r="C13" s="2511"/>
      <c r="D13" s="769"/>
      <c r="E13" s="2510" t="s">
        <v>2719</v>
      </c>
      <c r="F13" s="776">
        <f ca="1">'数据-取费表'!B42</f>
        <v>1.4999999999999999E-2</v>
      </c>
      <c r="G13" s="1573"/>
      <c r="H13" s="2574"/>
      <c r="I13" s="2507" t="s">
        <v>2844</v>
      </c>
      <c r="J13" s="2511"/>
      <c r="K13" s="2575"/>
      <c r="L13" s="2510" t="s">
        <v>2719</v>
      </c>
      <c r="M13" s="2504">
        <f ca="1">'数据-取费表'!B42</f>
        <v>1.4999999999999999E-2</v>
      </c>
    </row>
    <row r="14" spans="1:25" ht="18" customHeight="1" thickBot="1">
      <c r="A14" s="2549" t="s">
        <v>2732</v>
      </c>
      <c r="B14" s="2550" t="s">
        <v>2723</v>
      </c>
      <c r="C14" s="2551"/>
      <c r="D14" s="2552"/>
      <c r="E14" s="2553"/>
      <c r="F14" s="2554"/>
      <c r="G14" s="1573"/>
      <c r="H14" s="2563" t="s">
        <v>2732</v>
      </c>
      <c r="I14" s="2576" t="s">
        <v>2723</v>
      </c>
      <c r="J14" s="2577"/>
      <c r="K14" s="2552"/>
      <c r="L14" s="2553"/>
      <c r="M14" s="2566"/>
    </row>
    <row r="15" spans="1:25" ht="18" customHeight="1" thickTop="1">
      <c r="A15" s="1803" t="s">
        <v>2088</v>
      </c>
      <c r="B15" s="1801" t="s">
        <v>676</v>
      </c>
      <c r="C15" s="772" t="e">
        <f ca="1">ROUND(C31*F15,0)</f>
        <v>#N/A</v>
      </c>
      <c r="D15" s="1808" t="s">
        <v>677</v>
      </c>
      <c r="E15" s="775" t="s">
        <v>678</v>
      </c>
      <c r="F15" s="780" t="e">
        <f ca="1">INDIRECT("'数据-取费表'!y"&amp;$G$1)</f>
        <v>#N/A</v>
      </c>
      <c r="G15" s="1573"/>
      <c r="H15" s="1803" t="s">
        <v>2040</v>
      </c>
      <c r="I15" s="1801" t="s">
        <v>679</v>
      </c>
      <c r="J15" s="1793" t="e">
        <f ca="1">ROUND(J16*J17,0)</f>
        <v>#N/A</v>
      </c>
      <c r="K15" s="1795" t="s">
        <v>677</v>
      </c>
      <c r="L15" s="781"/>
      <c r="M15" s="782"/>
    </row>
    <row r="16" spans="1:25" ht="18" customHeight="1">
      <c r="A16" s="783" t="s">
        <v>2089</v>
      </c>
      <c r="B16" s="764" t="s">
        <v>680</v>
      </c>
      <c r="C16" s="784" t="e">
        <f ca="1">INDIRECT("'数据-取费表'!m"&amp;$G$1)+INDIRECT("'数据-取费表'!t"&amp;$G$1)</f>
        <v>#N/A</v>
      </c>
      <c r="D16" s="1955" t="s">
        <v>681</v>
      </c>
      <c r="E16" s="1956"/>
      <c r="F16" s="785"/>
      <c r="G16" s="1573"/>
      <c r="H16" s="783" t="s">
        <v>2298</v>
      </c>
      <c r="I16" s="2211" t="s">
        <v>3111</v>
      </c>
      <c r="J16" s="52" t="e">
        <f ca="1">C31</f>
        <v>#N/A</v>
      </c>
      <c r="K16" s="25"/>
      <c r="L16" s="781"/>
      <c r="M16" s="782"/>
    </row>
    <row r="17" spans="1:25" s="2041" customFormat="1" ht="18" customHeight="1">
      <c r="A17" s="783" t="s">
        <v>2063</v>
      </c>
      <c r="B17" s="764" t="s">
        <v>682</v>
      </c>
      <c r="C17" s="52" t="e">
        <f ca="1">ROUND(C16*F17,0)</f>
        <v>#N/A</v>
      </c>
      <c r="D17" s="786" t="s">
        <v>683</v>
      </c>
      <c r="E17" s="786" t="s">
        <v>684</v>
      </c>
      <c r="F17" s="787">
        <f>'数据-取费表'!B36</f>
        <v>0.03</v>
      </c>
      <c r="G17" s="1574"/>
      <c r="H17" s="783" t="s">
        <v>2299</v>
      </c>
      <c r="I17" s="764" t="s">
        <v>678</v>
      </c>
      <c r="J17" s="788" t="e">
        <f ca="1">INDIRECT("'数据-取费表'!ad"&amp;$G$1)</f>
        <v>#N/A</v>
      </c>
      <c r="K17" s="25"/>
      <c r="L17" s="781"/>
      <c r="M17" s="782"/>
      <c r="N17" s="2040"/>
      <c r="O17" s="2040"/>
      <c r="P17" s="2040"/>
      <c r="Q17" s="2040"/>
      <c r="R17" s="2040"/>
      <c r="S17" s="2040"/>
      <c r="T17" s="2040"/>
      <c r="U17" s="2040"/>
      <c r="V17" s="2040"/>
      <c r="W17" s="2040"/>
      <c r="X17" s="2040"/>
      <c r="Y17" s="2040"/>
    </row>
    <row r="18" spans="1:25" ht="18" customHeight="1">
      <c r="A18" s="783" t="s">
        <v>2064</v>
      </c>
      <c r="B18" s="764" t="s">
        <v>685</v>
      </c>
      <c r="C18" s="52" t="e">
        <f ca="1">ROUND(INDIRECT("'数据-取费表'!m"&amp;$G$1)*F18,0)</f>
        <v>#N/A</v>
      </c>
      <c r="D18" s="764" t="s">
        <v>683</v>
      </c>
      <c r="E18" s="764" t="s">
        <v>684</v>
      </c>
      <c r="F18" s="789" t="e">
        <f ca="1">IF(INDIRECT("'数据-取费表'!c"&amp;$G$1)="住宅",'数据-取费表'!B37,0)</f>
        <v>#N/A</v>
      </c>
      <c r="G18" s="1573"/>
      <c r="H18" s="777" t="s">
        <v>2041</v>
      </c>
      <c r="I18" s="778" t="s">
        <v>686</v>
      </c>
      <c r="J18" s="779" t="e">
        <f ca="1">ROUND(J19+J24+J25+J26,0)</f>
        <v>#N/A</v>
      </c>
      <c r="K18" s="25" t="s">
        <v>687</v>
      </c>
      <c r="L18" s="1958"/>
      <c r="M18" s="55"/>
    </row>
    <row r="19" spans="1:25" s="2041" customFormat="1" ht="18" customHeight="1">
      <c r="A19" s="783" t="s">
        <v>2065</v>
      </c>
      <c r="B19" s="764" t="s">
        <v>688</v>
      </c>
      <c r="C19" s="52" t="e">
        <f ca="1">ROUND(F19*(INDIRECT("'数据-取费表'!k"&amp;$G$1)+INDIRECT("'数据-取费表'!S"&amp;$G$1))/10000,0)</f>
        <v>#N/A</v>
      </c>
      <c r="D19" s="764" t="s">
        <v>689</v>
      </c>
      <c r="E19" s="764" t="s">
        <v>690</v>
      </c>
      <c r="F19" s="55">
        <f>'数据-取费表'!B38</f>
        <v>200</v>
      </c>
      <c r="G19" s="1574"/>
      <c r="H19" s="783" t="s">
        <v>2298</v>
      </c>
      <c r="I19" s="764" t="s">
        <v>691</v>
      </c>
      <c r="J19" s="52" t="e">
        <f ca="1">ROUND(IF(项目基本情况!B11="自然人",J7*M19,J20+J21+J22),0)</f>
        <v>#N/A</v>
      </c>
      <c r="K19" s="1955" t="s">
        <v>692</v>
      </c>
      <c r="L19" s="1953" t="s">
        <v>693</v>
      </c>
      <c r="M19" s="790" t="str">
        <f ca="1">IF(项目基本情况!B11="企业","",IF(INDIRECT("'数据-取费表'!c"&amp;$G$1)="住宅",4.5%,IF(M8*M9*M10/12&gt;20000,11%,6%)))</f>
        <v/>
      </c>
      <c r="N19" s="2040"/>
      <c r="O19" s="2040"/>
      <c r="P19" s="2040"/>
      <c r="Q19" s="2040"/>
      <c r="R19" s="2040"/>
      <c r="S19" s="2040"/>
      <c r="T19" s="2040"/>
      <c r="U19" s="2040"/>
      <c r="V19" s="2040"/>
      <c r="W19" s="2040"/>
      <c r="X19" s="2040"/>
      <c r="Y19" s="2040"/>
    </row>
    <row r="20" spans="1:25" s="2041" customFormat="1" ht="18" customHeight="1">
      <c r="A20" s="783" t="s">
        <v>2066</v>
      </c>
      <c r="B20" s="764" t="s">
        <v>694</v>
      </c>
      <c r="C20" s="52" t="e">
        <f ca="1">ROUND(C16*F20,0)</f>
        <v>#N/A</v>
      </c>
      <c r="D20" s="764" t="s">
        <v>683</v>
      </c>
      <c r="E20" s="764" t="s">
        <v>684</v>
      </c>
      <c r="F20" s="789">
        <f>'数据-取费表'!B39</f>
        <v>1.4999999999999999E-2</v>
      </c>
      <c r="G20" s="1574"/>
      <c r="H20" s="783" t="s">
        <v>2045</v>
      </c>
      <c r="I20" s="764" t="s">
        <v>695</v>
      </c>
      <c r="J20" s="52" t="e">
        <f ca="1">ROUND(J7*M20/1.05,1)</f>
        <v>#N/A</v>
      </c>
      <c r="K20" s="1953" t="s">
        <v>696</v>
      </c>
      <c r="L20" s="764" t="s">
        <v>684</v>
      </c>
      <c r="M20" s="789">
        <f>'数据-取费表'!B44</f>
        <v>5.5000000000000007E-2</v>
      </c>
      <c r="N20" s="2040"/>
      <c r="O20" s="2040"/>
      <c r="P20" s="2040"/>
      <c r="Q20" s="2040"/>
      <c r="R20" s="2040"/>
      <c r="S20" s="2040"/>
      <c r="T20" s="2040"/>
      <c r="U20" s="2040"/>
      <c r="V20" s="2040"/>
      <c r="W20" s="2040"/>
      <c r="X20" s="2040"/>
      <c r="Y20" s="2040"/>
    </row>
    <row r="21" spans="1:25" ht="18" customHeight="1">
      <c r="A21" s="783" t="s">
        <v>2090</v>
      </c>
      <c r="B21" s="764" t="s">
        <v>697</v>
      </c>
      <c r="C21" s="52" t="e">
        <f ca="1">SUM(C16:C20)</f>
        <v>#N/A</v>
      </c>
      <c r="D21" s="238" t="s">
        <v>698</v>
      </c>
      <c r="E21" s="1958"/>
      <c r="F21" s="55"/>
      <c r="G21" s="1573"/>
      <c r="H21" s="1804" t="s">
        <v>2063</v>
      </c>
      <c r="I21" s="764" t="s">
        <v>699</v>
      </c>
      <c r="J21" s="52" t="e">
        <f ca="1">IF(K21="按租金收入计税",ROUND(J7*M21,1),ROUND(C31*F35*0.7,1))</f>
        <v>#N/A</v>
      </c>
      <c r="K21" s="791" t="s">
        <v>700</v>
      </c>
      <c r="L21" s="764" t="s">
        <v>684</v>
      </c>
      <c r="M21" s="789">
        <f>IF(K21="按租金收入计税",'数据-取费表'!B54,'数据-取费表'!B53)</f>
        <v>1.2E-2</v>
      </c>
    </row>
    <row r="22" spans="1:25" s="2041" customFormat="1" ht="18" customHeight="1">
      <c r="A22" s="783" t="s">
        <v>2091</v>
      </c>
      <c r="B22" s="764" t="s">
        <v>701</v>
      </c>
      <c r="C22" s="52" t="e">
        <f ca="1">ROUND(C21*F22,0)</f>
        <v>#N/A</v>
      </c>
      <c r="D22" s="792" t="s">
        <v>702</v>
      </c>
      <c r="E22" s="764" t="s">
        <v>684</v>
      </c>
      <c r="F22" s="789">
        <f>'数据-取费表'!B40</f>
        <v>0.01</v>
      </c>
      <c r="G22" s="1574"/>
      <c r="H22" s="1806" t="s">
        <v>2064</v>
      </c>
      <c r="I22" s="1796" t="s">
        <v>703</v>
      </c>
      <c r="J22" s="53" t="e">
        <f ca="1">ROUND(M22*M23/10000,0)</f>
        <v>#N/A</v>
      </c>
      <c r="K22" s="794" t="s">
        <v>704</v>
      </c>
      <c r="L22" s="764" t="s">
        <v>705</v>
      </c>
      <c r="M22" s="620">
        <f>'数据-取费表'!B55</f>
        <v>1.5</v>
      </c>
      <c r="N22" s="2040"/>
      <c r="O22" s="2040"/>
      <c r="P22" s="2040"/>
      <c r="Q22" s="2040"/>
      <c r="R22" s="2040"/>
      <c r="S22" s="2040"/>
      <c r="T22" s="2040"/>
      <c r="U22" s="2040"/>
      <c r="V22" s="2040"/>
      <c r="W22" s="2040"/>
      <c r="X22" s="2040"/>
      <c r="Y22" s="2040"/>
    </row>
    <row r="23" spans="1:25" s="2041" customFormat="1" ht="18" customHeight="1">
      <c r="A23" s="783" t="s">
        <v>2092</v>
      </c>
      <c r="B23" s="764" t="s">
        <v>706</v>
      </c>
      <c r="C23" s="52" t="s">
        <v>1</v>
      </c>
      <c r="D23" s="792" t="s">
        <v>707</v>
      </c>
      <c r="E23" s="764" t="s">
        <v>708</v>
      </c>
      <c r="F23" s="789">
        <f>'数据-取费表'!B41</f>
        <v>0.01</v>
      </c>
      <c r="G23" s="1574"/>
      <c r="H23" s="1807"/>
      <c r="I23" s="1798"/>
      <c r="J23" s="66"/>
      <c r="K23" s="796"/>
      <c r="L23" s="764" t="s">
        <v>709</v>
      </c>
      <c r="M23" s="765" t="e">
        <f ca="1">INDIRECT("'数据-取费表'!r"&amp;$G$1)</f>
        <v>#N/A</v>
      </c>
      <c r="N23" s="2040"/>
      <c r="O23" s="2040"/>
      <c r="P23" s="2040"/>
      <c r="Q23" s="2040"/>
      <c r="R23" s="2040"/>
      <c r="S23" s="2040"/>
      <c r="T23" s="2040"/>
      <c r="U23" s="2040"/>
      <c r="V23" s="2040"/>
      <c r="W23" s="2040"/>
      <c r="X23" s="2040"/>
      <c r="Y23" s="2040"/>
    </row>
    <row r="24" spans="1:25" ht="18" customHeight="1">
      <c r="A24" s="783" t="s">
        <v>2093</v>
      </c>
      <c r="B24" s="764" t="s">
        <v>710</v>
      </c>
      <c r="C24" s="52"/>
      <c r="D24" s="2584" t="str">
        <f>IF(F25&lt;=1,"单利计息。","复利计息。")&amp;"建造成本、管理费用、销售费用产生的利息。"</f>
        <v>复利计息。建造成本、管理费用、销售费用产生的利息。</v>
      </c>
      <c r="E24" s="1958"/>
      <c r="F24" s="55"/>
      <c r="G24" s="1573"/>
      <c r="H24" s="1805" t="s">
        <v>2299</v>
      </c>
      <c r="I24" s="764" t="s">
        <v>711</v>
      </c>
      <c r="J24" s="52" t="e">
        <f ca="1">ROUND(J16*M24,0)</f>
        <v>#N/A</v>
      </c>
      <c r="K24" s="1953" t="s">
        <v>712</v>
      </c>
      <c r="L24" s="764" t="s">
        <v>684</v>
      </c>
      <c r="M24" s="797" t="e">
        <f ca="1">INDIRECT("'数据-取费表'!Ak"&amp;$G$1)</f>
        <v>#N/A</v>
      </c>
    </row>
    <row r="25" spans="1:25" s="2041" customFormat="1" ht="18" customHeight="1">
      <c r="A25" s="783" t="s">
        <v>2089</v>
      </c>
      <c r="B25" s="764" t="s">
        <v>2699</v>
      </c>
      <c r="C25" s="52" t="e">
        <f ca="1">ROUND(IF('数据-取费表'!B25&lt;=1,(C21+C22)*F26*F25/2,(C21+C22)*(POWER((1+F26),F25/2)-1)),0)</f>
        <v>#N/A</v>
      </c>
      <c r="D25" s="2583" t="str">
        <f>IF(F25&lt;=1,"(建造成本+管理费用)×利率×(建设周期÷2)","(建造成本+管理费用)×((1+利率)^(建设周期÷2)-1)")</f>
        <v>(建造成本+管理费用)×((1+利率)^(建设周期÷2)-1)</v>
      </c>
      <c r="E25" s="764" t="s">
        <v>713</v>
      </c>
      <c r="F25" s="620">
        <f>'数据-取费表'!B23</f>
        <v>2.5</v>
      </c>
      <c r="G25" s="1574"/>
      <c r="H25" s="783" t="s">
        <v>2092</v>
      </c>
      <c r="I25" s="764" t="s">
        <v>714</v>
      </c>
      <c r="J25" s="52" t="e">
        <f ca="1">ROUND(J15*M25,0)</f>
        <v>#N/A</v>
      </c>
      <c r="K25" s="1953" t="s">
        <v>715</v>
      </c>
      <c r="L25" s="764" t="s">
        <v>684</v>
      </c>
      <c r="M25" s="798" t="e">
        <f ca="1">INDIRECT("'数据-取费表'!Al"&amp;$G$1)</f>
        <v>#N/A</v>
      </c>
      <c r="N25" s="2040"/>
      <c r="O25" s="2040"/>
      <c r="P25" s="2040"/>
      <c r="Q25" s="2040"/>
      <c r="R25" s="2040"/>
      <c r="S25" s="2040"/>
      <c r="T25" s="2040"/>
      <c r="U25" s="2040"/>
      <c r="V25" s="2040"/>
      <c r="W25" s="2040"/>
      <c r="X25" s="2040"/>
      <c r="Y25" s="2040"/>
    </row>
    <row r="26" spans="1:25" s="2041" customFormat="1" ht="18" customHeight="1">
      <c r="A26" s="783" t="s">
        <v>2063</v>
      </c>
      <c r="B26" s="764" t="s">
        <v>716</v>
      </c>
      <c r="C26" s="52">
        <f ca="1">ROUND(IF('数据-取费表'!B25&lt;=1,F23*F26*F25/2,F23*(POWER((1+F26),F25/2)-1)),4)</f>
        <v>5.9999999999999995E-4</v>
      </c>
      <c r="D26" s="2583" t="str">
        <f>IF(F25&lt;=1,"销售费用×利率×(建设周期÷2)","销售费用×((1+利率)^(建设周期÷2)-1)")</f>
        <v>销售费用×((1+利率)^(建设周期÷2)-1)</v>
      </c>
      <c r="E26" s="764" t="s">
        <v>717</v>
      </c>
      <c r="F26" s="799">
        <f ca="1">'数据-取费表'!B43</f>
        <v>4.7500000000000001E-2</v>
      </c>
      <c r="G26" s="1574"/>
      <c r="H26" s="783" t="s">
        <v>2093</v>
      </c>
      <c r="I26" s="764" t="s">
        <v>701</v>
      </c>
      <c r="J26" s="52" t="e">
        <f ca="1">ROUND(J7*M26,0)</f>
        <v>#N/A</v>
      </c>
      <c r="K26" s="1953" t="s">
        <v>718</v>
      </c>
      <c r="L26" s="764" t="s">
        <v>684</v>
      </c>
      <c r="M26" s="774" t="e">
        <f ca="1">INDIRECT("'数据-取费表'!Am"&amp;$G$1)</f>
        <v>#N/A</v>
      </c>
      <c r="N26" s="2040"/>
      <c r="O26" s="2040"/>
      <c r="P26" s="2040"/>
      <c r="Q26" s="2040"/>
      <c r="R26" s="2040"/>
      <c r="S26" s="2040"/>
      <c r="T26" s="2040"/>
      <c r="U26" s="2040"/>
      <c r="V26" s="2040"/>
      <c r="W26" s="2040"/>
      <c r="X26" s="2040"/>
      <c r="Y26" s="2040"/>
    </row>
    <row r="27" spans="1:25" ht="18" customHeight="1">
      <c r="A27" s="783" t="s">
        <v>2095</v>
      </c>
      <c r="B27" s="764" t="s">
        <v>719</v>
      </c>
      <c r="C27" s="52"/>
      <c r="D27" s="238" t="s">
        <v>720</v>
      </c>
      <c r="E27" s="1958"/>
      <c r="F27" s="55"/>
      <c r="G27" s="1573"/>
      <c r="H27" s="777" t="s">
        <v>2042</v>
      </c>
      <c r="I27" s="3029" t="s">
        <v>3108</v>
      </c>
      <c r="J27" s="779" t="e">
        <f ca="1">J7-J18</f>
        <v>#N/A</v>
      </c>
      <c r="K27" s="1955" t="s">
        <v>736</v>
      </c>
      <c r="L27" s="1957"/>
      <c r="M27" s="800"/>
    </row>
    <row r="28" spans="1:25" ht="18" customHeight="1">
      <c r="A28" s="783" t="s">
        <v>2089</v>
      </c>
      <c r="B28" s="764" t="s">
        <v>2700</v>
      </c>
      <c r="C28" s="52" t="e">
        <f ca="1">ROUND((C21+C22)*F28,0)</f>
        <v>#N/A</v>
      </c>
      <c r="D28" s="792" t="s">
        <v>737</v>
      </c>
      <c r="E28" s="775" t="s">
        <v>738</v>
      </c>
      <c r="F28" s="774" t="e">
        <f ca="1">INDIRECT("'数据-取费表'!q"&amp;$G$1)</f>
        <v>#N/A</v>
      </c>
      <c r="G28" s="1573"/>
      <c r="H28" s="761" t="s">
        <v>2051</v>
      </c>
      <c r="I28" s="762" t="s">
        <v>739</v>
      </c>
      <c r="J28" s="763" t="e">
        <f ca="1">IF(J7&lt;&gt;0,ROUND(J27*(1-((1+M30)/(1+M28))^M29)/(M28-M30),0),0)</f>
        <v>#N/A</v>
      </c>
      <c r="K28" s="794" t="s">
        <v>740</v>
      </c>
      <c r="L28" s="764" t="s">
        <v>741</v>
      </c>
      <c r="M28" s="774" t="e">
        <f ca="1">INDIRECT("'数据-取费表'!I"&amp;$G$1)</f>
        <v>#N/A</v>
      </c>
    </row>
    <row r="29" spans="1:25" ht="18" customHeight="1">
      <c r="A29" s="783" t="s">
        <v>2063</v>
      </c>
      <c r="B29" s="764" t="s">
        <v>721</v>
      </c>
      <c r="C29" s="52" t="e">
        <f ca="1">ROUND(F23*F28,4)</f>
        <v>#N/A</v>
      </c>
      <c r="D29" s="792" t="s">
        <v>742</v>
      </c>
      <c r="E29" s="786"/>
      <c r="F29" s="787"/>
      <c r="G29" s="1573"/>
      <c r="H29" s="766"/>
      <c r="I29" s="767"/>
      <c r="J29" s="768"/>
      <c r="K29" s="801" t="s">
        <v>743</v>
      </c>
      <c r="L29" s="764" t="s">
        <v>744</v>
      </c>
      <c r="M29" s="802" t="e">
        <f ca="1">INDIRECT("'数据-取费表'!ag"&amp;$G$1)</f>
        <v>#N/A</v>
      </c>
    </row>
    <row r="30" spans="1:25" s="2041" customFormat="1" ht="18" customHeight="1">
      <c r="A30" s="783" t="s">
        <v>2096</v>
      </c>
      <c r="B30" s="764" t="s">
        <v>722</v>
      </c>
      <c r="C30" s="52">
        <f>ROUND(F30/(1+'数据-取费表'!B45),4)</f>
        <v>5.2400000000000002E-2</v>
      </c>
      <c r="D30" s="792" t="s">
        <v>745</v>
      </c>
      <c r="E30" s="764" t="s">
        <v>684</v>
      </c>
      <c r="F30" s="789">
        <f>'数据-取费表'!B44</f>
        <v>5.5000000000000007E-2</v>
      </c>
      <c r="G30" s="1574"/>
      <c r="H30" s="770"/>
      <c r="I30" s="771"/>
      <c r="J30" s="772"/>
      <c r="K30" s="796"/>
      <c r="L30" s="764" t="s">
        <v>746</v>
      </c>
      <c r="M30" s="774" t="e">
        <f ca="1">INDIRECT("'数据-取费表'!aa"&amp;$G$1)</f>
        <v>#N/A</v>
      </c>
      <c r="N30" s="2040"/>
      <c r="O30" s="2040"/>
      <c r="P30" s="2040"/>
      <c r="Q30" s="2040"/>
      <c r="R30" s="2040"/>
      <c r="S30" s="2040"/>
      <c r="T30" s="2040"/>
      <c r="U30" s="2040"/>
      <c r="V30" s="2040"/>
      <c r="W30" s="2040"/>
      <c r="X30" s="2040"/>
      <c r="Y30" s="2040"/>
    </row>
    <row r="31" spans="1:25" s="2041" customFormat="1" ht="18" customHeight="1" thickBot="1">
      <c r="A31" s="2572" t="s">
        <v>2097</v>
      </c>
      <c r="B31" s="2553" t="s">
        <v>3109</v>
      </c>
      <c r="C31" s="2556" t="e">
        <f ca="1">ROUND((C21+C22+C25+C28)/(1-F23-C26-C29-C30),0)</f>
        <v>#N/A</v>
      </c>
      <c r="D31" s="2557"/>
      <c r="E31" s="2558"/>
      <c r="F31" s="2559"/>
      <c r="G31" s="1574"/>
      <c r="H31" s="803" t="s">
        <v>2086</v>
      </c>
      <c r="I31" s="3030" t="s">
        <v>3110</v>
      </c>
      <c r="J31" s="805" t="e">
        <f ca="1">ROUND(J28/(1+F45)^F46,0)</f>
        <v>#N/A</v>
      </c>
      <c r="K31" s="806" t="s">
        <v>723</v>
      </c>
      <c r="L31" s="807"/>
      <c r="M31" s="808" t="e">
        <f ca="1">INDIRECT("'数据-取费表'!k"&amp;$G$1)</f>
        <v>#N/A</v>
      </c>
      <c r="N31" s="2040"/>
      <c r="O31" s="2040"/>
      <c r="P31" s="2040"/>
      <c r="Q31" s="2040"/>
      <c r="R31" s="2040"/>
      <c r="S31" s="2040"/>
      <c r="T31" s="2040"/>
      <c r="U31" s="2040"/>
      <c r="V31" s="2040"/>
      <c r="W31" s="2040"/>
      <c r="X31" s="2040"/>
      <c r="Y31" s="2040"/>
    </row>
    <row r="32" spans="1:25" ht="18" customHeight="1" thickTop="1">
      <c r="A32" s="1803" t="s">
        <v>7</v>
      </c>
      <c r="B32" s="1801" t="s">
        <v>724</v>
      </c>
      <c r="C32" s="772" t="e">
        <f ca="1">ROUND(C33+C38+C39+C40,0)</f>
        <v>#N/A</v>
      </c>
      <c r="D32" s="1795" t="s">
        <v>687</v>
      </c>
      <c r="E32" s="2499"/>
      <c r="F32" s="2503"/>
      <c r="G32" s="2039"/>
      <c r="H32" s="2042"/>
      <c r="I32" s="2043"/>
      <c r="J32" s="2044"/>
      <c r="K32" s="2045"/>
      <c r="L32" s="2046"/>
      <c r="M32" s="2047"/>
    </row>
    <row r="33" spans="1:13" ht="18" customHeight="1">
      <c r="A33" s="783" t="s">
        <v>2090</v>
      </c>
      <c r="B33" s="764" t="s">
        <v>691</v>
      </c>
      <c r="C33" s="52" t="e">
        <f ca="1">ROUND(IF(项目基本情况!B11="自然人",C7*F33,C34+C35+C36),1)</f>
        <v>#N/A</v>
      </c>
      <c r="D33" s="1955" t="s">
        <v>692</v>
      </c>
      <c r="E33" s="1953" t="s">
        <v>725</v>
      </c>
      <c r="F33" s="790" t="str">
        <f ca="1">IF(项目基本情况!B11="企业","",IF(INDIRECT("'数据-取费表'!c"&amp;$G$1)="住宅",4.5%,IF(F8*F9*F10/12&gt;20000,11%,6%)))</f>
        <v/>
      </c>
      <c r="G33" s="2039"/>
      <c r="H33" s="2042"/>
      <c r="I33" s="2043"/>
      <c r="J33" s="2044"/>
      <c r="K33" s="2045"/>
      <c r="L33" s="2046"/>
      <c r="M33" s="2047"/>
    </row>
    <row r="34" spans="1:13" ht="18" customHeight="1">
      <c r="A34" s="783" t="s">
        <v>2089</v>
      </c>
      <c r="B34" s="764" t="s">
        <v>695</v>
      </c>
      <c r="C34" s="52" t="e">
        <f ca="1">ROUND(C7*F34/1.05,1)</f>
        <v>#N/A</v>
      </c>
      <c r="D34" s="1953" t="s">
        <v>696</v>
      </c>
      <c r="E34" s="764" t="s">
        <v>684</v>
      </c>
      <c r="F34" s="789">
        <f>'数据-取费表'!B44</f>
        <v>5.5000000000000007E-2</v>
      </c>
      <c r="G34" s="2039"/>
      <c r="H34" s="2048"/>
      <c r="I34" s="2049"/>
      <c r="J34" s="2050"/>
      <c r="K34" s="2051"/>
      <c r="L34" s="2052"/>
      <c r="M34" s="2053"/>
    </row>
    <row r="35" spans="1:13" ht="18" customHeight="1">
      <c r="A35" s="783" t="s">
        <v>2063</v>
      </c>
      <c r="B35" s="764" t="s">
        <v>699</v>
      </c>
      <c r="C35" s="52" t="e">
        <f ca="1">IF(D35="按租金收入计税",ROUND(C7*F35,1),IF(D35="按房产原值计税",ROUND(C31*F35*0.7,1),INDIRECT("'数据-取费表'!Aj"&amp;$G$1)))</f>
        <v>#N/A</v>
      </c>
      <c r="D35" s="791" t="s">
        <v>726</v>
      </c>
      <c r="E35" s="764" t="s">
        <v>684</v>
      </c>
      <c r="F35" s="789">
        <f>IF(D35="按租金收入计税",'数据-取费表'!B54,'数据-取费表'!B53)</f>
        <v>1.2E-2</v>
      </c>
      <c r="G35" s="2039"/>
      <c r="H35" s="2054"/>
      <c r="I35" s="2054"/>
      <c r="J35" s="2054"/>
      <c r="K35" s="2055"/>
      <c r="L35" s="2054"/>
      <c r="M35" s="2054"/>
    </row>
    <row r="36" spans="1:13" ht="18" customHeight="1">
      <c r="A36" s="793" t="s">
        <v>2094</v>
      </c>
      <c r="B36" s="321" t="s">
        <v>703</v>
      </c>
      <c r="C36" s="53" t="e">
        <f ca="1">ROUND(F36*F37/10000,1)</f>
        <v>#N/A</v>
      </c>
      <c r="D36" s="794" t="s">
        <v>704</v>
      </c>
      <c r="E36" s="764" t="s">
        <v>705</v>
      </c>
      <c r="F36" s="620">
        <f>'数据-取费表'!B55</f>
        <v>1.5</v>
      </c>
      <c r="G36" s="2039"/>
      <c r="H36" s="2042"/>
      <c r="I36" s="3483"/>
      <c r="J36" s="2056"/>
      <c r="K36" s="2057"/>
      <c r="L36" s="2056"/>
      <c r="M36" s="2056"/>
    </row>
    <row r="37" spans="1:13" ht="18" customHeight="1">
      <c r="A37" s="795"/>
      <c r="B37" s="773"/>
      <c r="C37" s="66"/>
      <c r="D37" s="796"/>
      <c r="E37" s="764" t="s">
        <v>709</v>
      </c>
      <c r="F37" s="765" t="e">
        <f ca="1">INDIRECT("'数据-取费表'!r"&amp;$G$1)</f>
        <v>#N/A</v>
      </c>
      <c r="G37" s="2039"/>
      <c r="H37" s="2042"/>
      <c r="I37" s="3483"/>
      <c r="J37" s="2054"/>
      <c r="K37" s="2055"/>
      <c r="L37" s="2054"/>
      <c r="M37" s="2054"/>
    </row>
    <row r="38" spans="1:13" ht="18" customHeight="1">
      <c r="A38" s="783" t="s">
        <v>2091</v>
      </c>
      <c r="B38" s="764" t="s">
        <v>711</v>
      </c>
      <c r="C38" s="52" t="e">
        <f ca="1">ROUND(C31*F38,1)</f>
        <v>#N/A</v>
      </c>
      <c r="D38" s="1953" t="s">
        <v>727</v>
      </c>
      <c r="E38" s="764" t="s">
        <v>684</v>
      </c>
      <c r="F38" s="797" t="e">
        <f ca="1">INDIRECT("'数据-取费表'!Ak"&amp;$G$1)</f>
        <v>#N/A</v>
      </c>
      <c r="G38" s="2039"/>
      <c r="H38" s="2054"/>
      <c r="I38" s="2058"/>
      <c r="J38" s="1964"/>
      <c r="K38" s="2059"/>
      <c r="L38" s="2054"/>
      <c r="M38" s="2054"/>
    </row>
    <row r="39" spans="1:13" ht="18" customHeight="1">
      <c r="A39" s="783" t="s">
        <v>2092</v>
      </c>
      <c r="B39" s="764" t="s">
        <v>714</v>
      </c>
      <c r="C39" s="52" t="e">
        <f ca="1">ROUND(C15*F39,1)</f>
        <v>#N/A</v>
      </c>
      <c r="D39" s="1953" t="s">
        <v>715</v>
      </c>
      <c r="E39" s="764" t="s">
        <v>684</v>
      </c>
      <c r="F39" s="798" t="e">
        <f ca="1">INDIRECT("'数据-取费表'!Al"&amp;$G$1)</f>
        <v>#N/A</v>
      </c>
      <c r="G39" s="2039"/>
      <c r="H39" s="2054"/>
      <c r="I39" s="2058"/>
      <c r="J39" s="1964"/>
      <c r="K39" s="2059"/>
      <c r="L39" s="2054"/>
      <c r="M39" s="2054"/>
    </row>
    <row r="40" spans="1:13" ht="18" customHeight="1" thickBot="1">
      <c r="A40" s="2572" t="s">
        <v>2093</v>
      </c>
      <c r="B40" s="2558" t="s">
        <v>701</v>
      </c>
      <c r="C40" s="2556" t="e">
        <f ca="1">ROUND(C7*F40,1)</f>
        <v>#N/A</v>
      </c>
      <c r="D40" s="2557" t="s">
        <v>718</v>
      </c>
      <c r="E40" s="2558" t="s">
        <v>684</v>
      </c>
      <c r="F40" s="2554" t="e">
        <f ca="1">INDIRECT("'数据-取费表'!Am"&amp;$G$1)</f>
        <v>#N/A</v>
      </c>
      <c r="G40" s="2039"/>
      <c r="H40" s="2054"/>
      <c r="I40" s="2058"/>
      <c r="J40" s="1964"/>
      <c r="K40" s="2060"/>
      <c r="L40" s="2054"/>
      <c r="M40" s="2054"/>
    </row>
    <row r="41" spans="1:13" ht="18" customHeight="1" thickTop="1">
      <c r="A41" s="1803">
        <v>4</v>
      </c>
      <c r="B41" s="1801" t="s">
        <v>728</v>
      </c>
      <c r="C41" s="1338"/>
      <c r="D41" s="1339"/>
      <c r="E41" s="1339"/>
      <c r="F41" s="1340"/>
      <c r="G41" s="2039"/>
      <c r="H41" s="2039"/>
      <c r="I41" s="2039"/>
      <c r="J41" s="2039"/>
      <c r="K41" s="2060"/>
      <c r="L41" s="2039"/>
      <c r="M41" s="2039"/>
    </row>
    <row r="42" spans="1:13" ht="18" customHeight="1">
      <c r="A42" s="783" t="s">
        <v>2090</v>
      </c>
      <c r="B42" s="815" t="s">
        <v>729</v>
      </c>
      <c r="C42" s="809" t="e">
        <f ca="1">C7-C32</f>
        <v>#N/A</v>
      </c>
      <c r="D42" s="1955" t="s">
        <v>730</v>
      </c>
      <c r="E42" s="1957"/>
      <c r="F42" s="800"/>
      <c r="G42" s="2039"/>
      <c r="H42" s="2039"/>
      <c r="I42" s="2039"/>
      <c r="J42" s="2039"/>
      <c r="K42" s="2060"/>
      <c r="L42" s="2039"/>
      <c r="M42" s="2039"/>
    </row>
    <row r="43" spans="1:13" ht="18" customHeight="1">
      <c r="A43" s="783" t="s">
        <v>2091</v>
      </c>
      <c r="B43" s="815" t="s">
        <v>747</v>
      </c>
      <c r="C43" s="816" t="e">
        <f ca="1">ROUND(C15*F43,0)</f>
        <v>#N/A</v>
      </c>
      <c r="D43" s="1341" t="s">
        <v>748</v>
      </c>
      <c r="E43" s="1341" t="s">
        <v>749</v>
      </c>
      <c r="F43" s="1342" t="e">
        <f ca="1">INDIRECT("'数据-取费表'!j"&amp;$G$1)</f>
        <v>#N/A</v>
      </c>
      <c r="G43" s="2039"/>
      <c r="H43" s="2039"/>
      <c r="I43" s="2039"/>
      <c r="J43" s="2039"/>
      <c r="K43" s="2060"/>
      <c r="L43" s="2039"/>
      <c r="M43" s="2039"/>
    </row>
    <row r="44" spans="1:13" ht="18" customHeight="1">
      <c r="A44" s="783" t="s">
        <v>2092</v>
      </c>
      <c r="B44" s="815" t="s">
        <v>750</v>
      </c>
      <c r="C44" s="1343" t="e">
        <f ca="1">C42-C43</f>
        <v>#N/A</v>
      </c>
      <c r="D44" s="443" t="s">
        <v>751</v>
      </c>
      <c r="E44" s="444"/>
      <c r="F44" s="445"/>
      <c r="G44" s="2039"/>
      <c r="H44" s="2039"/>
      <c r="I44" s="2039"/>
      <c r="J44" s="2039"/>
      <c r="K44" s="2060"/>
      <c r="L44" s="2039"/>
      <c r="M44" s="2039"/>
    </row>
    <row r="45" spans="1:13" ht="18" customHeight="1">
      <c r="A45" s="783" t="s">
        <v>2093</v>
      </c>
      <c r="B45" s="1341" t="s">
        <v>752</v>
      </c>
      <c r="C45" s="3040" t="e">
        <f ca="1">ROUND(-PV(F45,F46,C44,0),0)</f>
        <v>#N/A</v>
      </c>
      <c r="D45" s="1344" t="s">
        <v>753</v>
      </c>
      <c r="E45" s="786" t="s">
        <v>754</v>
      </c>
      <c r="F45" s="810" t="e">
        <f ca="1">INDIRECT("'数据-取费表'!h"&amp;$G$1)</f>
        <v>#N/A</v>
      </c>
      <c r="G45" s="2039"/>
      <c r="H45" s="2039"/>
      <c r="I45" s="2039"/>
      <c r="J45" s="2039"/>
      <c r="K45" s="2060"/>
      <c r="L45" s="2039"/>
      <c r="M45" s="2039"/>
    </row>
    <row r="46" spans="1:13" ht="18" customHeight="1" thickBot="1">
      <c r="A46" s="811"/>
      <c r="B46" s="1345"/>
      <c r="C46" s="1346"/>
      <c r="D46" s="1347"/>
      <c r="E46" s="807" t="s">
        <v>744</v>
      </c>
      <c r="F46" s="808" t="e">
        <f ca="1">IF(INDIRECT("'数据-取费表'!af"&amp;$G$1)=0,INDIRECT("'数据-取费表'!ae"&amp;$G$1),INDIRECT("'数据-取费表'!af"&amp;$G$1))</f>
        <v>#N/A</v>
      </c>
      <c r="G46" s="2039"/>
      <c r="H46" s="2039"/>
      <c r="I46" s="2039"/>
      <c r="J46" s="2039"/>
      <c r="K46" s="2060"/>
      <c r="L46" s="2039"/>
      <c r="M46" s="2039"/>
    </row>
    <row r="47" spans="1:13" s="2036" customFormat="1" ht="18" customHeight="1">
      <c r="A47" s="2061"/>
      <c r="D47" s="2062"/>
      <c r="E47" s="2062"/>
      <c r="F47" s="2062"/>
      <c r="K47" s="2063"/>
    </row>
    <row r="48" spans="1:13" s="2036" customFormat="1" ht="18" customHeight="1">
      <c r="A48" s="2061"/>
      <c r="C48" s="2064"/>
      <c r="D48" s="2065"/>
      <c r="E48" s="2065"/>
      <c r="F48" s="2066"/>
      <c r="G48" s="2067"/>
      <c r="K48" s="2063"/>
    </row>
    <row r="49" spans="1:11" s="2036" customFormat="1" ht="18" customHeight="1">
      <c r="A49" s="2061"/>
      <c r="D49" s="2068"/>
      <c r="E49" s="2069"/>
      <c r="F49" s="2066"/>
      <c r="G49" s="2067"/>
      <c r="H49" s="2070"/>
      <c r="I49" s="2071"/>
      <c r="J49" s="2072"/>
      <c r="K49" s="2073"/>
    </row>
    <row r="50" spans="1:11" s="2036" customFormat="1" ht="18" customHeight="1">
      <c r="A50" s="2061"/>
      <c r="D50" s="2074"/>
      <c r="E50" s="2074"/>
      <c r="F50" s="2065"/>
      <c r="G50" s="2075"/>
      <c r="H50" s="2070"/>
      <c r="I50" s="2071"/>
      <c r="J50" s="2072"/>
      <c r="K50" s="2073"/>
    </row>
    <row r="51" spans="1:11" s="2036" customFormat="1" ht="18" customHeight="1">
      <c r="A51" s="2076"/>
      <c r="D51" s="2074"/>
      <c r="E51" s="2074"/>
      <c r="F51" s="2062"/>
      <c r="H51" s="2070"/>
      <c r="I51" s="2071"/>
      <c r="J51" s="2072"/>
      <c r="K51" s="2073"/>
    </row>
    <row r="52" spans="1:11" s="2036" customFormat="1" ht="18" customHeight="1">
      <c r="A52" s="2076"/>
      <c r="F52" s="2062"/>
      <c r="K52" s="2063"/>
    </row>
    <row r="53" spans="1:11" s="2036" customFormat="1" ht="18" customHeight="1">
      <c r="A53" s="2076"/>
      <c r="F53" s="2062"/>
      <c r="K53" s="2063"/>
    </row>
    <row r="54" spans="1:11" s="2036" customFormat="1" ht="18" customHeight="1">
      <c r="A54" s="2076"/>
      <c r="K54" s="2063"/>
    </row>
    <row r="55" spans="1:11" s="2036" customFormat="1" ht="18" customHeight="1">
      <c r="A55" s="2076"/>
      <c r="K55" s="2063"/>
    </row>
    <row r="56" spans="1:11" s="2036" customFormat="1">
      <c r="A56" s="2076"/>
      <c r="B56" s="2077"/>
      <c r="C56" s="2077"/>
      <c r="K56" s="2063"/>
    </row>
    <row r="57" spans="1:11" s="2036" customFormat="1">
      <c r="A57" s="2076"/>
      <c r="B57" s="2077"/>
      <c r="C57" s="2077"/>
      <c r="K57" s="2063"/>
    </row>
    <row r="58" spans="1:11" s="2036" customFormat="1">
      <c r="A58" s="2076"/>
      <c r="B58" s="2077"/>
      <c r="C58" s="2077"/>
      <c r="K58" s="2063"/>
    </row>
    <row r="59" spans="1:11" s="2036" customFormat="1">
      <c r="A59" s="2076"/>
      <c r="B59" s="2077"/>
      <c r="C59" s="2077"/>
      <c r="K59" s="2063"/>
    </row>
    <row r="60" spans="1:11" s="2036" customFormat="1">
      <c r="A60" s="2076"/>
      <c r="B60" s="2077"/>
      <c r="C60" s="2077"/>
      <c r="K60" s="2063"/>
    </row>
    <row r="61" spans="1:11" s="2036" customFormat="1">
      <c r="A61" s="2076"/>
      <c r="B61" s="2077"/>
      <c r="C61" s="2077"/>
      <c r="K61" s="2063"/>
    </row>
    <row r="62" spans="1:11" s="2036" customFormat="1">
      <c r="A62" s="2076"/>
      <c r="B62" s="2077"/>
      <c r="C62" s="2077"/>
      <c r="K62" s="2063"/>
    </row>
    <row r="63" spans="1:11" s="2036" customFormat="1">
      <c r="A63" s="2076"/>
      <c r="B63" s="2077"/>
      <c r="C63" s="2077"/>
      <c r="K63" s="2063"/>
    </row>
    <row r="64" spans="1:11" s="2036" customFormat="1">
      <c r="A64" s="2076"/>
      <c r="B64" s="2077"/>
      <c r="C64" s="2077"/>
      <c r="K64" s="2063"/>
    </row>
    <row r="65" spans="1:11" s="2036" customFormat="1">
      <c r="A65" s="2076"/>
      <c r="B65" s="2077"/>
      <c r="C65" s="2077"/>
      <c r="K65" s="2063"/>
    </row>
    <row r="66" spans="1:11" s="2036" customFormat="1">
      <c r="A66" s="2076"/>
      <c r="B66" s="2077"/>
      <c r="C66" s="2077"/>
      <c r="K66" s="2063"/>
    </row>
    <row r="67" spans="1:11" s="2036" customFormat="1">
      <c r="A67" s="2076"/>
      <c r="B67" s="2077"/>
      <c r="C67" s="2077"/>
      <c r="K67" s="2063"/>
    </row>
    <row r="68" spans="1:11" s="2036" customFormat="1">
      <c r="A68" s="2076"/>
      <c r="B68" s="2077"/>
      <c r="C68" s="2077"/>
      <c r="K68" s="2063"/>
    </row>
    <row r="69" spans="1:11" s="2036" customFormat="1">
      <c r="A69" s="2076"/>
      <c r="B69" s="2077"/>
      <c r="C69" s="2077"/>
      <c r="K69" s="2063"/>
    </row>
    <row r="70" spans="1:11" s="2036" customFormat="1">
      <c r="A70" s="2076"/>
      <c r="B70" s="2077"/>
      <c r="C70" s="2077"/>
      <c r="K70" s="2063"/>
    </row>
    <row r="71" spans="1:11" s="2036" customFormat="1">
      <c r="A71" s="2076"/>
      <c r="B71" s="2077"/>
      <c r="C71" s="2077"/>
      <c r="K71" s="2063"/>
    </row>
    <row r="72" spans="1:11" s="2036" customFormat="1">
      <c r="A72" s="2076"/>
      <c r="B72" s="2077"/>
      <c r="C72" s="2077"/>
      <c r="K72" s="2063"/>
    </row>
    <row r="73" spans="1:11" s="2036" customFormat="1">
      <c r="A73" s="2076"/>
      <c r="B73" s="2077"/>
      <c r="C73" s="2077"/>
      <c r="K73" s="2063"/>
    </row>
    <row r="74" spans="1:11" s="2036" customFormat="1">
      <c r="A74" s="2076"/>
      <c r="B74" s="2077"/>
      <c r="C74" s="2077"/>
      <c r="K74" s="2063"/>
    </row>
    <row r="75" spans="1:11" s="2036" customFormat="1">
      <c r="A75" s="2076"/>
      <c r="B75" s="2077"/>
      <c r="C75" s="2077"/>
      <c r="K75" s="2063"/>
    </row>
    <row r="76" spans="1:11" s="2036" customFormat="1">
      <c r="A76" s="2076"/>
      <c r="B76" s="2077"/>
      <c r="C76" s="2077"/>
      <c r="K76" s="2063"/>
    </row>
    <row r="77" spans="1:11" s="2036" customFormat="1">
      <c r="A77" s="2076"/>
      <c r="B77" s="2077"/>
      <c r="C77" s="2077"/>
      <c r="K77" s="2063"/>
    </row>
    <row r="78" spans="1:11" s="2036" customFormat="1">
      <c r="A78" s="2076"/>
      <c r="B78" s="2077"/>
      <c r="C78" s="2077"/>
      <c r="K78" s="2063"/>
    </row>
    <row r="79" spans="1:11" s="2036" customFormat="1">
      <c r="A79" s="2076"/>
      <c r="B79" s="2077"/>
      <c r="C79" s="2077"/>
      <c r="K79" s="2063"/>
    </row>
    <row r="80" spans="1:11" s="2036" customFormat="1">
      <c r="A80" s="2076"/>
      <c r="B80" s="2077"/>
      <c r="C80" s="2077"/>
      <c r="K80" s="2063"/>
    </row>
    <row r="81" spans="1:11" s="2036" customFormat="1">
      <c r="A81" s="2076"/>
      <c r="B81" s="2077"/>
      <c r="C81" s="2077"/>
      <c r="K81" s="2063"/>
    </row>
    <row r="82" spans="1:11" s="2036" customFormat="1">
      <c r="A82" s="2076"/>
      <c r="B82" s="2077"/>
      <c r="C82" s="2077"/>
      <c r="K82" s="2063"/>
    </row>
    <row r="83" spans="1:11" s="2036" customFormat="1">
      <c r="A83" s="2076"/>
      <c r="B83" s="2077"/>
      <c r="C83" s="2077"/>
      <c r="K83" s="2063"/>
    </row>
    <row r="84" spans="1:11" s="2036" customFormat="1">
      <c r="A84" s="2076"/>
      <c r="B84" s="2077"/>
      <c r="C84" s="2077"/>
      <c r="K84" s="2063"/>
    </row>
    <row r="85" spans="1:11" s="2036" customFormat="1">
      <c r="A85" s="2076"/>
      <c r="B85" s="2077"/>
      <c r="C85" s="2077"/>
      <c r="K85" s="2063"/>
    </row>
    <row r="86" spans="1:11" s="2036" customFormat="1">
      <c r="A86" s="2076"/>
      <c r="B86" s="2077"/>
      <c r="C86" s="2077"/>
      <c r="K86" s="2063"/>
    </row>
    <row r="87" spans="1:11" s="2036" customFormat="1">
      <c r="A87" s="2076"/>
      <c r="B87" s="2077"/>
      <c r="C87" s="2077"/>
      <c r="K87" s="2063"/>
    </row>
    <row r="88" spans="1:11" s="2036" customFormat="1">
      <c r="A88" s="2076"/>
      <c r="B88" s="2077"/>
      <c r="C88" s="2077"/>
      <c r="K88" s="2063"/>
    </row>
    <row r="89" spans="1:11" s="2036" customFormat="1">
      <c r="A89" s="2076"/>
      <c r="B89" s="2077"/>
      <c r="C89" s="2077"/>
      <c r="K89" s="2063"/>
    </row>
    <row r="90" spans="1:11" s="2036" customFormat="1">
      <c r="A90" s="2076"/>
      <c r="B90" s="2077"/>
      <c r="C90" s="2077"/>
      <c r="K90" s="2063"/>
    </row>
    <row r="91" spans="1:11" s="2036" customFormat="1">
      <c r="A91" s="2076"/>
      <c r="B91" s="2077"/>
      <c r="C91" s="2077"/>
      <c r="K91" s="2063"/>
    </row>
    <row r="92" spans="1:11" s="2036" customFormat="1">
      <c r="A92" s="2076"/>
      <c r="B92" s="2077"/>
      <c r="C92" s="2077"/>
      <c r="K92" s="2063"/>
    </row>
    <row r="93" spans="1:11" s="2036" customFormat="1">
      <c r="A93" s="2076"/>
      <c r="B93" s="2077"/>
      <c r="C93" s="2077"/>
      <c r="K93" s="2063"/>
    </row>
    <row r="94" spans="1:11" s="2036" customFormat="1">
      <c r="A94" s="2076"/>
      <c r="B94" s="2077"/>
      <c r="C94" s="2077"/>
      <c r="K94" s="206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53" customWidth="1"/>
    <col min="2" max="2" width="9" style="1753"/>
    <col min="3" max="4" width="9.625" style="1753" customWidth="1"/>
    <col min="5" max="16384" width="9" style="1753"/>
  </cols>
  <sheetData>
    <row r="1" spans="1:4" ht="22.5">
      <c r="A1" s="1752" t="s">
        <v>2118</v>
      </c>
    </row>
    <row r="2" spans="1:4">
      <c r="A2" s="1754"/>
    </row>
    <row r="3" spans="1:4" ht="18.75">
      <c r="A3" s="1772" t="str">
        <f>项目基本情况!B5&amp;"："</f>
        <v>交通银行北分：</v>
      </c>
    </row>
    <row r="4" spans="1:4" ht="37.5">
      <c r="A4" s="1766" t="str">
        <f>"受贵公司委托，我公司对"&amp;项目基本情况!K2&amp;项目基本情况!B9&amp;"进行了预评估。"</f>
        <v>受贵公司委托，我公司对北京市07出让国有建设用地使用权抵押价格进行了预评估。</v>
      </c>
    </row>
    <row r="5" spans="1:4" ht="18.75">
      <c r="A5" s="1769" t="s">
        <v>2119</v>
      </c>
    </row>
    <row r="6" spans="1:4" ht="75">
      <c r="A6" s="176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BB公司使用的、位于北京市07出让国有建设用地使用权。根据《国有土地使用证》[]，估价对象（分摊）出让国有建设用地使用权面积为114029.21平方米。根据《建设工程规划许可证》[]、《出让合同》[]，估价对象规划建筑面积为507462.25平方米。</v>
      </c>
    </row>
    <row r="7" spans="1:4" ht="56.25">
      <c r="A7" s="1770" t="s">
        <v>3030</v>
      </c>
    </row>
    <row r="8" spans="1:4" ht="18.75">
      <c r="A8" s="1769" t="s">
        <v>2120</v>
      </c>
    </row>
    <row r="9" spans="1:4" ht="75">
      <c r="A9" s="1771" t="str">
        <f>IF(项目基本情况!B8="抵押",IF(项目基本情况!B5=项目基本情况!B6,定义!C51,定义!B51),定义!D51)</f>
        <v>中信开发拟使用北京市07出让国有建设用地使用权作为抵押担保物，向交通银行北分办理贷款手续。交通银行北分特委托北京康正宏基房地产评估有限公司对上述抵押物进行评估。本次评估为确定标的物之抵押贷款额度提供参考依据而评估出让国有建设用地使用权抵押价格。</v>
      </c>
    </row>
    <row r="10" spans="1:4" ht="18.75">
      <c r="A10" s="1772" t="s">
        <v>2250</v>
      </c>
    </row>
    <row r="11" spans="1:4" ht="18.75">
      <c r="A11" s="1755" t="str">
        <f>TEXT(项目基本情况!D3,"yyyy年m月d日;;")&amp;IF(项目基本情况!B3=项目基本情况!D3,"（评估专业人员勘察现场之日）","")</f>
        <v>2017年6月12日（评估专业人员勘察现场之日）</v>
      </c>
    </row>
    <row r="12" spans="1:4" ht="18.75">
      <c r="A12" s="1772" t="s">
        <v>2249</v>
      </c>
    </row>
    <row r="13" spans="1:4" ht="18.75">
      <c r="A13" s="1766" t="s">
        <v>2300</v>
      </c>
    </row>
    <row r="14" spans="1:4" ht="18.75">
      <c r="A14" s="1766" t="str">
        <f>"根据"&amp;项目基本情况!F12&amp;"，本次评估估价对象证载（地类）用途为"&amp;项目基本情况!B12&amp;"。"</f>
        <v>根据，本次评估估价对象证载（地类）用途为。</v>
      </c>
      <c r="C14" s="1756"/>
      <c r="D14" s="1757"/>
    </row>
    <row r="15" spans="1:4" ht="18.75">
      <c r="A15" s="17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6"/>
      <c r="D15" s="1757"/>
    </row>
    <row r="16" spans="1:4" ht="18.75">
      <c r="A16" s="1766" t="s">
        <v>2301</v>
      </c>
    </row>
    <row r="17" spans="1:1" ht="75">
      <c r="A17" s="17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76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66" t="s">
        <v>2302</v>
      </c>
    </row>
    <row r="20" spans="1:1" ht="56.2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根据《国有土地使用证》[]，估价对象（分摊）出让国有建设用地使用权面积为114029.21平方米。根据《建设工程规划许可证》[]、《出让合同》[]，估价对象规划建筑面积为507462.25平方米。</v>
      </c>
    </row>
    <row r="21" spans="1:1" ht="18.75">
      <c r="A21" s="1766" t="s">
        <v>2303</v>
      </c>
    </row>
    <row r="22" spans="1:1" ht="75">
      <c r="A22" s="176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2085年11月11日、商业2055年11月11日、办公及地下办公2065年11月11日、地下车库2065年11月11日、地下仓储2065年11月11日。截至估价期日，出让国有建设用地使用权剩余土地使用年限为。</v>
      </c>
    </row>
    <row r="23" spans="1:1" ht="18.75">
      <c r="A23" s="1766" t="str">
        <f>IF(项目基本情况!B16="出让","本次评估设定估价对象剩余土地使用年限为"&amp;项目基本情况!D20&amp;"。","")</f>
        <v>本次评估设定估价对象剩余土地使用年限为。</v>
      </c>
    </row>
    <row r="24" spans="1:1" ht="18.75">
      <c r="A24" s="1766" t="s">
        <v>2304</v>
      </c>
    </row>
    <row r="25" spans="1:1" ht="93.75">
      <c r="A25" s="1766"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剩余土地使用年限为的出让国有建设用地使用权价格。</v>
      </c>
    </row>
    <row r="26" spans="1:1" ht="37.5">
      <c r="A26" s="176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66" t="str">
        <f>IF(项目基本情况!E9="——","",定义!C57)</f>
        <v/>
      </c>
    </row>
    <row r="29" spans="1:1" ht="18.75">
      <c r="A29" s="1772" t="s">
        <v>2251</v>
      </c>
    </row>
    <row r="30" spans="1:1" ht="75">
      <c r="A30" s="176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31" spans="1:1">
      <c r="A31" s="1773"/>
    </row>
    <row r="32" spans="1:1" ht="18.75">
      <c r="A32" s="1774" t="s">
        <v>2252</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8" sqref="D38"/>
    </sheetView>
  </sheetViews>
  <sheetFormatPr defaultRowHeight="15"/>
  <cols>
    <col min="1" max="1" width="9" style="2037" customWidth="1"/>
    <col min="2" max="2" width="20.625" style="2079" customWidth="1"/>
    <col min="3" max="3" width="11.875" style="2079" customWidth="1"/>
    <col min="4" max="4" width="40.5" style="2037" customWidth="1"/>
    <col min="5" max="5" width="15.75" style="2037" customWidth="1"/>
    <col min="6" max="6" width="10.625" style="2037" customWidth="1"/>
    <col min="7" max="7" width="4.875" style="2037" customWidth="1"/>
    <col min="8" max="8" width="8.5" style="2037" customWidth="1"/>
    <col min="9" max="9" width="21.25" style="2037" customWidth="1"/>
    <col min="10" max="10" width="12.25" style="2037" customWidth="1"/>
    <col min="11" max="11" width="40.125" style="2080" customWidth="1"/>
    <col min="12" max="12" width="18.375" style="2037" customWidth="1"/>
    <col min="13" max="13" width="13" style="2037" customWidth="1"/>
    <col min="14" max="14" width="9.5" style="2036" bestFit="1" customWidth="1"/>
    <col min="15" max="15" width="5.875" style="2036" customWidth="1"/>
    <col min="16" max="16" width="27.625" style="2036" customWidth="1"/>
    <col min="17" max="17" width="13.75" style="2077" customWidth="1"/>
    <col min="18" max="18" width="23.5" style="2036" customWidth="1"/>
    <col min="19" max="19" width="1.5" style="2036" customWidth="1"/>
    <col min="20" max="33" width="9" style="2036"/>
    <col min="34" max="16384" width="9" style="2037"/>
  </cols>
  <sheetData>
    <row r="1" spans="1:33" s="2031" customFormat="1" ht="21">
      <c r="A1" s="812" t="s">
        <v>1937</v>
      </c>
      <c r="B1" s="718"/>
      <c r="C1" s="753" t="s">
        <v>3114</v>
      </c>
      <c r="D1" s="2026"/>
      <c r="E1" s="2401" t="s">
        <v>2628</v>
      </c>
      <c r="F1" s="2402">
        <f>J53</f>
        <v>45</v>
      </c>
      <c r="G1" s="754" t="e">
        <f>MATCH(C1,'数据-取费表'!A6:A19,0)+5</f>
        <v>#N/A</v>
      </c>
      <c r="H1" s="2026"/>
      <c r="I1" s="2028"/>
      <c r="J1" s="2028"/>
      <c r="K1" s="2029"/>
      <c r="L1" s="2028"/>
      <c r="M1" s="2028"/>
      <c r="N1" s="2030"/>
      <c r="O1" s="2030"/>
      <c r="P1" s="2030"/>
      <c r="Q1" s="2404"/>
      <c r="R1" s="2030"/>
      <c r="S1" s="2030"/>
      <c r="T1" s="2030"/>
      <c r="U1" s="2030"/>
      <c r="V1" s="2030"/>
      <c r="W1" s="2030"/>
      <c r="X1" s="2030"/>
      <c r="Y1" s="2030"/>
      <c r="Z1" s="2030"/>
      <c r="AA1" s="2030"/>
      <c r="AB1" s="2030"/>
      <c r="AC1" s="2030"/>
      <c r="AD1" s="2030"/>
      <c r="AE1" s="2030"/>
      <c r="AF1" s="2030"/>
      <c r="AG1" s="2030"/>
    </row>
    <row r="2" spans="1:33" ht="18" customHeight="1">
      <c r="A2" s="403" t="s">
        <v>1938</v>
      </c>
      <c r="B2" s="755" t="e">
        <f ca="1">C40+J29+L46</f>
        <v>#N/A</v>
      </c>
      <c r="C2" s="2034"/>
      <c r="D2" s="2032"/>
      <c r="E2" s="2033"/>
      <c r="F2" s="2033"/>
      <c r="G2" s="1571"/>
      <c r="H2" s="2034"/>
      <c r="I2" s="2034"/>
      <c r="J2" s="2034"/>
      <c r="K2" s="2035"/>
      <c r="L2" s="2034"/>
      <c r="M2" s="2034"/>
    </row>
    <row r="3" spans="1:33" ht="18" customHeight="1" thickBot="1">
      <c r="A3" s="813" t="s">
        <v>1939</v>
      </c>
      <c r="B3" s="814">
        <f ca="1">IF(ISERROR(B2*10000/F43),0,ROUND(B2*10000/F43,0))</f>
        <v>0</v>
      </c>
      <c r="C3" s="2034"/>
      <c r="D3" s="2032"/>
      <c r="E3" s="2033"/>
      <c r="F3" s="2033"/>
      <c r="G3" s="1571"/>
      <c r="H3" s="756" t="s">
        <v>731</v>
      </c>
      <c r="I3" s="1349"/>
      <c r="J3" s="1349"/>
      <c r="K3" s="1572"/>
      <c r="L3" s="1349"/>
      <c r="M3" s="1349"/>
    </row>
    <row r="4" spans="1:33" ht="18" customHeight="1">
      <c r="A4" s="757" t="s">
        <v>1940</v>
      </c>
      <c r="B4" s="758" t="s">
        <v>1941</v>
      </c>
      <c r="C4" s="758" t="s">
        <v>1942</v>
      </c>
      <c r="D4" s="758" t="s">
        <v>668</v>
      </c>
      <c r="E4" s="759" t="s">
        <v>1943</v>
      </c>
      <c r="F4" s="760"/>
      <c r="G4" s="1573"/>
      <c r="H4" s="757" t="s">
        <v>1944</v>
      </c>
      <c r="I4" s="758" t="s">
        <v>1945</v>
      </c>
      <c r="J4" s="758" t="s">
        <v>1946</v>
      </c>
      <c r="K4" s="758" t="s">
        <v>1947</v>
      </c>
      <c r="L4" s="759" t="s">
        <v>1948</v>
      </c>
      <c r="M4" s="760"/>
    </row>
    <row r="5" spans="1:33" ht="18" customHeight="1">
      <c r="A5" s="761">
        <v>1</v>
      </c>
      <c r="B5" s="762" t="s">
        <v>2721</v>
      </c>
      <c r="C5" s="54" t="e">
        <f ca="1">C6+C10+C12</f>
        <v>#N/A</v>
      </c>
      <c r="D5" s="2508" t="s">
        <v>2724</v>
      </c>
      <c r="E5" s="2502"/>
      <c r="F5" s="2503"/>
      <c r="G5" s="1573"/>
      <c r="H5" s="761">
        <v>1</v>
      </c>
      <c r="I5" s="762" t="s">
        <v>2721</v>
      </c>
      <c r="J5" s="54" t="e">
        <f ca="1">J6+J10+J12</f>
        <v>#N/A</v>
      </c>
      <c r="K5" s="2508" t="s">
        <v>2724</v>
      </c>
      <c r="L5" s="2502"/>
      <c r="M5" s="2503"/>
    </row>
    <row r="6" spans="1:33" ht="18" customHeight="1">
      <c r="A6" s="1804" t="s">
        <v>2038</v>
      </c>
      <c r="B6" s="3484" t="s">
        <v>2726</v>
      </c>
      <c r="C6" s="763" t="e">
        <f ca="1">ROUND(F6*F8*F7*(1-F9)/10000,0)</f>
        <v>#N/A</v>
      </c>
      <c r="D6" s="2509" t="s">
        <v>2725</v>
      </c>
      <c r="E6" s="764" t="s">
        <v>1950</v>
      </c>
      <c r="F6" s="765" t="e">
        <f ca="1">INDIRECT("'数据-取费表'!u"&amp;$G$1)</f>
        <v>#N/A</v>
      </c>
      <c r="G6" s="1573"/>
      <c r="H6" s="2516" t="s">
        <v>2733</v>
      </c>
      <c r="I6" s="3484" t="s">
        <v>2726</v>
      </c>
      <c r="J6" s="763" t="e">
        <f ca="1">ROUND(M6*M8*M7*(1-M9)/10000,0)</f>
        <v>#N/A</v>
      </c>
      <c r="K6" s="321" t="s">
        <v>1949</v>
      </c>
      <c r="L6" s="764" t="s">
        <v>1950</v>
      </c>
      <c r="M6" s="765" t="e">
        <f ca="1">INDIRECT("'数据-取费表'!z"&amp;$G$1)</f>
        <v>#N/A</v>
      </c>
    </row>
    <row r="7" spans="1:33" ht="18" customHeight="1">
      <c r="A7" s="2512"/>
      <c r="B7" s="3485"/>
      <c r="C7" s="768"/>
      <c r="D7" s="769"/>
      <c r="E7" s="764" t="s">
        <v>1951</v>
      </c>
      <c r="F7" s="765" t="e">
        <f ca="1">IF(INDIRECT("'数据-取费表'!ah"&amp;$G$1)="",INDIRECT("'数据-取费表'!k"&amp;$G$1),INDIRECT("'数据-取费表'!ah"&amp;$G$1))</f>
        <v>#N/A</v>
      </c>
      <c r="G7" s="1573"/>
      <c r="H7" s="2501"/>
      <c r="I7" s="3485"/>
      <c r="J7" s="768"/>
      <c r="K7" s="769"/>
      <c r="L7" s="764" t="s">
        <v>1951</v>
      </c>
      <c r="M7" s="765" t="e">
        <f ca="1">F7</f>
        <v>#N/A</v>
      </c>
    </row>
    <row r="8" spans="1:33" ht="18" customHeight="1">
      <c r="A8" s="2505"/>
      <c r="B8" s="3486"/>
      <c r="C8" s="768"/>
      <c r="D8" s="769"/>
      <c r="E8" s="764" t="s">
        <v>1952</v>
      </c>
      <c r="F8" s="765" t="e">
        <f ca="1">INDIRECT("'数据-取费表'!ai"&amp;$G$1)</f>
        <v>#N/A</v>
      </c>
      <c r="G8" s="1573"/>
      <c r="H8" s="2501"/>
      <c r="I8" s="3486"/>
      <c r="J8" s="768"/>
      <c r="K8" s="769"/>
      <c r="L8" s="764" t="s">
        <v>1952</v>
      </c>
      <c r="M8" s="765" t="e">
        <f ca="1">INDIRECT("'数据-取费表'!ai"&amp;$G$1)</f>
        <v>#N/A</v>
      </c>
    </row>
    <row r="9" spans="1:33" ht="18" customHeight="1">
      <c r="A9" s="766"/>
      <c r="B9" s="3487"/>
      <c r="C9" s="768"/>
      <c r="D9" s="769"/>
      <c r="E9" s="764" t="s">
        <v>1953</v>
      </c>
      <c r="F9" s="774" t="e">
        <f ca="1">INDIRECT("'数据-取费表'!w"&amp;$G$1)</f>
        <v>#N/A</v>
      </c>
      <c r="G9" s="1573"/>
      <c r="H9" s="2517"/>
      <c r="I9" s="3486"/>
      <c r="J9" s="768"/>
      <c r="K9" s="769"/>
      <c r="L9" s="775" t="s">
        <v>1953</v>
      </c>
      <c r="M9" s="776" t="e">
        <f ca="1">INDIRECT("'数据-取费表'!ab"&amp;$G$1)</f>
        <v>#N/A</v>
      </c>
    </row>
    <row r="10" spans="1:33" ht="18" customHeight="1">
      <c r="A10" s="1804" t="s">
        <v>2731</v>
      </c>
      <c r="B10" s="2506" t="s">
        <v>2722</v>
      </c>
      <c r="C10" s="779">
        <f ca="1">ROUND(IF(F10="押一",F6*F8*F7/12*F11,IF(F10="押二",F6*F8*F7/12*2*F11,IF(F10="押三",F6*F8*F7/12*3*F11,C11*F11)))/10000,0)</f>
        <v>0</v>
      </c>
      <c r="D10" s="2513" t="s">
        <v>2730</v>
      </c>
      <c r="E10" s="2510" t="s">
        <v>2727</v>
      </c>
      <c r="F10" s="2634" t="s">
        <v>2842</v>
      </c>
      <c r="G10" s="1573"/>
      <c r="H10" s="2573" t="s">
        <v>2734</v>
      </c>
      <c r="I10" s="2578" t="s">
        <v>2722</v>
      </c>
      <c r="J10" s="763">
        <f ca="1">ROUND(IF(M10="押一",M6*M8*M7/12*M11,IF(M10="押二",M6*M8*M7/12*2*M11,IF(M10="押三",M6*M8*M7/12*3*M11,J11*M11)))/10000,0)</f>
        <v>0</v>
      </c>
      <c r="K10" s="2513" t="s">
        <v>2730</v>
      </c>
      <c r="L10" s="2510" t="s">
        <v>2727</v>
      </c>
      <c r="M10" s="2634" t="s">
        <v>2842</v>
      </c>
    </row>
    <row r="11" spans="1:33" ht="18" customHeight="1">
      <c r="A11" s="770"/>
      <c r="B11" s="2507" t="s">
        <v>2844</v>
      </c>
      <c r="C11" s="2511"/>
      <c r="D11" s="769"/>
      <c r="E11" s="2510" t="s">
        <v>2728</v>
      </c>
      <c r="F11" s="776">
        <f ca="1">'数据-取费表'!B42</f>
        <v>1.4999999999999999E-2</v>
      </c>
      <c r="G11" s="1573"/>
      <c r="H11" s="2574"/>
      <c r="I11" s="2507" t="s">
        <v>2844</v>
      </c>
      <c r="J11" s="2511"/>
      <c r="K11" s="2575"/>
      <c r="L11" s="2510" t="s">
        <v>2728</v>
      </c>
      <c r="M11" s="2504">
        <f ca="1">'数据-取费表'!B42</f>
        <v>1.4999999999999999E-2</v>
      </c>
    </row>
    <row r="12" spans="1:33" ht="18" customHeight="1" thickBot="1">
      <c r="A12" s="2549" t="s">
        <v>2732</v>
      </c>
      <c r="B12" s="2550" t="s">
        <v>2723</v>
      </c>
      <c r="C12" s="2551"/>
      <c r="D12" s="2552"/>
      <c r="E12" s="2553"/>
      <c r="F12" s="2554"/>
      <c r="G12" s="1573"/>
      <c r="H12" s="2563" t="s">
        <v>2735</v>
      </c>
      <c r="I12" s="2576" t="s">
        <v>2723</v>
      </c>
      <c r="J12" s="2577"/>
      <c r="K12" s="2552"/>
      <c r="L12" s="2553"/>
      <c r="M12" s="2566"/>
    </row>
    <row r="13" spans="1:33" ht="18" customHeight="1" thickTop="1">
      <c r="A13" s="1803">
        <v>2</v>
      </c>
      <c r="B13" s="1801" t="s">
        <v>1954</v>
      </c>
      <c r="C13" s="772" t="e">
        <f ca="1">ROUND(C29*F13,0)</f>
        <v>#N/A</v>
      </c>
      <c r="D13" s="1808" t="s">
        <v>2525</v>
      </c>
      <c r="E13" s="1808" t="s">
        <v>1956</v>
      </c>
      <c r="F13" s="2548" t="e">
        <f ca="1">INDIRECT("'数据-取费表'!y"&amp;$G$1)</f>
        <v>#N/A</v>
      </c>
      <c r="G13" s="1573"/>
      <c r="H13" s="1803">
        <v>2</v>
      </c>
      <c r="I13" s="1801" t="s">
        <v>1954</v>
      </c>
      <c r="J13" s="1793" t="e">
        <f ca="1">ROUND(J14*J15,0)</f>
        <v>#N/A</v>
      </c>
      <c r="K13" s="1795" t="s">
        <v>1955</v>
      </c>
      <c r="L13" s="2564"/>
      <c r="M13" s="2565"/>
    </row>
    <row r="14" spans="1:33" ht="18" customHeight="1">
      <c r="A14" s="1629" t="s">
        <v>2098</v>
      </c>
      <c r="B14" s="764" t="s">
        <v>680</v>
      </c>
      <c r="C14" s="784" t="e">
        <f ca="1">INDIRECT("'数据-取费表'!m"&amp;$G$1)+INDIRECT("'数据-取费表'!t"&amp;$G$1)</f>
        <v>#N/A</v>
      </c>
      <c r="D14" s="1955" t="s">
        <v>1957</v>
      </c>
      <c r="E14" s="1956"/>
      <c r="F14" s="785"/>
      <c r="G14" s="1573"/>
      <c r="H14" s="1630" t="s">
        <v>2044</v>
      </c>
      <c r="I14" s="2211" t="s">
        <v>3112</v>
      </c>
      <c r="J14" s="52" t="e">
        <f ca="1">C29</f>
        <v>#N/A</v>
      </c>
      <c r="K14" s="25"/>
      <c r="L14" s="781"/>
      <c r="M14" s="782"/>
    </row>
    <row r="15" spans="1:33" s="2041" customFormat="1" ht="18" customHeight="1" thickBot="1">
      <c r="A15" s="1629" t="s">
        <v>2099</v>
      </c>
      <c r="B15" s="764" t="s">
        <v>682</v>
      </c>
      <c r="C15" s="52" t="e">
        <f ca="1">ROUND(C14*F15,0)</f>
        <v>#N/A</v>
      </c>
      <c r="D15" s="786" t="s">
        <v>1958</v>
      </c>
      <c r="E15" s="786" t="s">
        <v>1959</v>
      </c>
      <c r="F15" s="787">
        <f>'数据-取费表'!B36</f>
        <v>0.03</v>
      </c>
      <c r="G15" s="1574"/>
      <c r="H15" s="2563" t="s">
        <v>2103</v>
      </c>
      <c r="I15" s="2558" t="s">
        <v>1956</v>
      </c>
      <c r="J15" s="2567" t="e">
        <f ca="1">INDIRECT("'数据-取费表'!ad"&amp;$G$1)</f>
        <v>#N/A</v>
      </c>
      <c r="K15" s="2568"/>
      <c r="L15" s="2569"/>
      <c r="M15" s="2570"/>
      <c r="N15" s="2040"/>
      <c r="O15" s="2040"/>
      <c r="P15" s="2040"/>
      <c r="Q15" s="2405"/>
      <c r="R15" s="2040"/>
      <c r="S15" s="2040"/>
      <c r="T15" s="2040"/>
      <c r="U15" s="2040"/>
      <c r="V15" s="2040"/>
      <c r="W15" s="2040"/>
      <c r="X15" s="2040"/>
      <c r="Y15" s="2040"/>
      <c r="Z15" s="2040"/>
      <c r="AA15" s="2040"/>
      <c r="AB15" s="2040"/>
      <c r="AC15" s="2040"/>
      <c r="AD15" s="2040"/>
      <c r="AE15" s="2040"/>
      <c r="AF15" s="2040"/>
      <c r="AG15" s="2040"/>
    </row>
    <row r="16" spans="1:33" ht="18" customHeight="1" thickTop="1">
      <c r="A16" s="1629" t="s">
        <v>2100</v>
      </c>
      <c r="B16" s="764" t="s">
        <v>685</v>
      </c>
      <c r="C16" s="52" t="e">
        <f ca="1">ROUND(INDIRECT("'数据-取费表'!m"&amp;$G$1)*F16,0)</f>
        <v>#N/A</v>
      </c>
      <c r="D16" s="764" t="s">
        <v>1958</v>
      </c>
      <c r="E16" s="764" t="s">
        <v>1959</v>
      </c>
      <c r="F16" s="789" t="e">
        <f ca="1">IF(INDIRECT("'数据-取费表'!c"&amp;$G$1)="住宅",'数据-取费表'!B37,0)</f>
        <v>#N/A</v>
      </c>
      <c r="G16" s="1573"/>
      <c r="H16" s="1803" t="s">
        <v>1960</v>
      </c>
      <c r="I16" s="1801" t="s">
        <v>1961</v>
      </c>
      <c r="J16" s="772" t="e">
        <f ca="1">ROUND(J17+J22+J23+J24,0)</f>
        <v>#N/A</v>
      </c>
      <c r="K16" s="1795" t="s">
        <v>1962</v>
      </c>
      <c r="L16" s="2498"/>
      <c r="M16" s="2503"/>
    </row>
    <row r="17" spans="1:33" s="2041" customFormat="1" ht="18" customHeight="1">
      <c r="A17" s="1629" t="s">
        <v>2101</v>
      </c>
      <c r="B17" s="764" t="s">
        <v>688</v>
      </c>
      <c r="C17" s="52" t="e">
        <f ca="1">ROUND(F17*(F43+INDIRECT("'数据-取费表'!S"&amp;$G$1))/10000,0)</f>
        <v>#N/A</v>
      </c>
      <c r="D17" s="764" t="s">
        <v>1963</v>
      </c>
      <c r="E17" s="764" t="s">
        <v>1964</v>
      </c>
      <c r="F17" s="55">
        <f>'数据-取费表'!B38</f>
        <v>200</v>
      </c>
      <c r="G17" s="1574"/>
      <c r="H17" s="1630" t="s">
        <v>2044</v>
      </c>
      <c r="I17" s="764" t="s">
        <v>691</v>
      </c>
      <c r="J17" s="52" t="e">
        <f ca="1">ROUND(IF(项目基本情况!B11="自然人",J5*M17,J18+J19+J20),0)</f>
        <v>#N/A</v>
      </c>
      <c r="K17" s="2497" t="s">
        <v>1965</v>
      </c>
      <c r="L17" s="2496" t="s">
        <v>1966</v>
      </c>
      <c r="M17" s="790" t="str">
        <f ca="1">IF(项目基本情况!B11="企业","",IF(INDIRECT("'数据-取费表'!c"&amp;$G$1)="住宅",4.5%,IF(M6*M7*M8/12&gt;20000,11%,6%)))</f>
        <v/>
      </c>
      <c r="N17" s="2040"/>
      <c r="O17" s="2040"/>
      <c r="P17" s="2040"/>
      <c r="Q17" s="2405"/>
      <c r="R17" s="2040"/>
      <c r="S17" s="2040"/>
      <c r="T17" s="2040"/>
      <c r="U17" s="2040"/>
      <c r="V17" s="2040"/>
      <c r="W17" s="2040"/>
      <c r="X17" s="2040"/>
      <c r="Y17" s="2040"/>
      <c r="Z17" s="2040"/>
      <c r="AA17" s="2040"/>
      <c r="AB17" s="2040"/>
      <c r="AC17" s="2040"/>
      <c r="AD17" s="2040"/>
      <c r="AE17" s="2040"/>
      <c r="AF17" s="2040"/>
      <c r="AG17" s="2040"/>
    </row>
    <row r="18" spans="1:33" s="2041" customFormat="1" ht="18" customHeight="1">
      <c r="A18" s="1629" t="s">
        <v>2102</v>
      </c>
      <c r="B18" s="764" t="s">
        <v>694</v>
      </c>
      <c r="C18" s="52" t="e">
        <f ca="1">ROUND(C14*F18,0)</f>
        <v>#N/A</v>
      </c>
      <c r="D18" s="764" t="s">
        <v>1958</v>
      </c>
      <c r="E18" s="764" t="s">
        <v>1959</v>
      </c>
      <c r="F18" s="789">
        <f>'数据-取费表'!B39</f>
        <v>1.4999999999999999E-2</v>
      </c>
      <c r="G18" s="1574"/>
      <c r="H18" s="1629" t="s">
        <v>2098</v>
      </c>
      <c r="I18" s="764" t="s">
        <v>1967</v>
      </c>
      <c r="J18" s="52" t="e">
        <f ca="1">ROUND(J5*M18/1.05,1)</f>
        <v>#N/A</v>
      </c>
      <c r="K18" s="2496" t="s">
        <v>1968</v>
      </c>
      <c r="L18" s="764" t="s">
        <v>1959</v>
      </c>
      <c r="M18" s="789">
        <f>'数据-取费表'!B44</f>
        <v>5.5000000000000007E-2</v>
      </c>
      <c r="N18" s="2040"/>
      <c r="O18" s="2040"/>
      <c r="P18" s="2040"/>
      <c r="Q18" s="2405"/>
      <c r="R18" s="2040"/>
      <c r="S18" s="2040"/>
      <c r="T18" s="2040"/>
      <c r="U18" s="2040"/>
      <c r="V18" s="2040"/>
      <c r="W18" s="2040"/>
      <c r="X18" s="2040"/>
      <c r="Y18" s="2040"/>
      <c r="Z18" s="2040"/>
      <c r="AA18" s="2040"/>
      <c r="AB18" s="2040"/>
      <c r="AC18" s="2040"/>
      <c r="AD18" s="2040"/>
      <c r="AE18" s="2040"/>
      <c r="AF18" s="2040"/>
      <c r="AG18" s="2040"/>
    </row>
    <row r="19" spans="1:33" ht="18" customHeight="1">
      <c r="A19" s="1630" t="s">
        <v>2044</v>
      </c>
      <c r="B19" s="764" t="s">
        <v>697</v>
      </c>
      <c r="C19" s="52" t="e">
        <f ca="1">SUM(C14:C18)</f>
        <v>#N/A</v>
      </c>
      <c r="D19" s="238" t="s">
        <v>1969</v>
      </c>
      <c r="E19" s="1958"/>
      <c r="F19" s="55"/>
      <c r="G19" s="1573"/>
      <c r="H19" s="1629" t="s">
        <v>2099</v>
      </c>
      <c r="I19" s="764" t="s">
        <v>1970</v>
      </c>
      <c r="J19" s="52" t="e">
        <f ca="1">IF(K19="按租金收入计税",ROUND(J5*M19,1),ROUND(C29*F33*0.7,1))</f>
        <v>#N/A</v>
      </c>
      <c r="K19" s="791" t="s">
        <v>700</v>
      </c>
      <c r="L19" s="764" t="s">
        <v>1959</v>
      </c>
      <c r="M19" s="789">
        <f>IF(K19="按租金收入计税",'数据-取费表'!B54,'数据-取费表'!B53)</f>
        <v>1.2E-2</v>
      </c>
    </row>
    <row r="20" spans="1:33" s="2041" customFormat="1" ht="18" customHeight="1">
      <c r="A20" s="1630" t="s">
        <v>2103</v>
      </c>
      <c r="B20" s="764" t="s">
        <v>701</v>
      </c>
      <c r="C20" s="52" t="e">
        <f ca="1">ROUND(C19*F20,0)</f>
        <v>#N/A</v>
      </c>
      <c r="D20" s="792" t="s">
        <v>1971</v>
      </c>
      <c r="E20" s="764" t="s">
        <v>1959</v>
      </c>
      <c r="F20" s="789">
        <f>'数据-取费表'!B40</f>
        <v>0.01</v>
      </c>
      <c r="G20" s="1574"/>
      <c r="H20" s="1632" t="s">
        <v>2094</v>
      </c>
      <c r="I20" s="321" t="s">
        <v>1972</v>
      </c>
      <c r="J20" s="53" t="e">
        <f ca="1">ROUND(M20*M21/10000,0)</f>
        <v>#N/A</v>
      </c>
      <c r="K20" s="794" t="s">
        <v>1973</v>
      </c>
      <c r="L20" s="764" t="s">
        <v>1974</v>
      </c>
      <c r="M20" s="620">
        <f>'数据-取费表'!B55</f>
        <v>1.5</v>
      </c>
      <c r="N20" s="2040"/>
      <c r="O20" s="2040"/>
      <c r="P20" s="2040"/>
      <c r="Q20" s="2405"/>
      <c r="R20" s="2040"/>
      <c r="S20" s="2040"/>
      <c r="T20" s="2040"/>
      <c r="U20" s="2040"/>
      <c r="V20" s="2040"/>
      <c r="W20" s="2040"/>
      <c r="X20" s="2040"/>
      <c r="Y20" s="2040"/>
      <c r="Z20" s="2040"/>
      <c r="AA20" s="2040"/>
      <c r="AB20" s="2040"/>
      <c r="AC20" s="2040"/>
      <c r="AD20" s="2040"/>
      <c r="AE20" s="2040"/>
      <c r="AF20" s="2040"/>
      <c r="AG20" s="2040"/>
    </row>
    <row r="21" spans="1:33" s="2041" customFormat="1" ht="18" customHeight="1">
      <c r="A21" s="1630" t="s">
        <v>2104</v>
      </c>
      <c r="B21" s="764" t="s">
        <v>1975</v>
      </c>
      <c r="C21" s="52" t="s">
        <v>1976</v>
      </c>
      <c r="D21" s="792" t="s">
        <v>2526</v>
      </c>
      <c r="E21" s="764" t="s">
        <v>1977</v>
      </c>
      <c r="F21" s="789">
        <f>'数据-取费表'!B41</f>
        <v>0.01</v>
      </c>
      <c r="G21" s="1574"/>
      <c r="H21" s="2518"/>
      <c r="I21" s="773"/>
      <c r="J21" s="66"/>
      <c r="K21" s="796"/>
      <c r="L21" s="764" t="s">
        <v>1978</v>
      </c>
      <c r="M21" s="765" t="e">
        <f ca="1">INDIRECT("'数据-取费表'!r"&amp;$G$1)</f>
        <v>#N/A</v>
      </c>
      <c r="N21" s="2040"/>
      <c r="O21" s="2040"/>
      <c r="P21" s="2040"/>
      <c r="Q21" s="2405"/>
      <c r="R21" s="2040"/>
      <c r="S21" s="2040"/>
      <c r="T21" s="2040"/>
      <c r="U21" s="2040"/>
      <c r="V21" s="2040"/>
      <c r="W21" s="2040"/>
      <c r="X21" s="2040"/>
      <c r="Y21" s="2040"/>
      <c r="Z21" s="2040"/>
      <c r="AA21" s="2040"/>
      <c r="AB21" s="2040"/>
      <c r="AC21" s="2040"/>
      <c r="AD21" s="2040"/>
      <c r="AE21" s="2040"/>
      <c r="AF21" s="2040"/>
      <c r="AG21" s="2040"/>
    </row>
    <row r="22" spans="1:33" ht="18" customHeight="1">
      <c r="A22" s="1630" t="s">
        <v>2105</v>
      </c>
      <c r="B22" s="764" t="s">
        <v>1979</v>
      </c>
      <c r="C22" s="52"/>
      <c r="D22" s="2584" t="str">
        <f>IF(F23&lt;=1,"单利计息。","复利计息。")&amp;"建造成本、管理费用、销售费用产生的利息。"</f>
        <v>复利计息。建造成本、管理费用、销售费用产生的利息。</v>
      </c>
      <c r="E22" s="1958"/>
      <c r="F22" s="55"/>
      <c r="G22" s="1573"/>
      <c r="H22" s="1630" t="s">
        <v>2103</v>
      </c>
      <c r="I22" s="764" t="s">
        <v>1980</v>
      </c>
      <c r="J22" s="52" t="e">
        <f ca="1">ROUND(J14*M22,0)</f>
        <v>#N/A</v>
      </c>
      <c r="K22" s="2496" t="s">
        <v>1981</v>
      </c>
      <c r="L22" s="764" t="s">
        <v>1959</v>
      </c>
      <c r="M22" s="797" t="e">
        <f ca="1">INDIRECT("'数据-取费表'!Ak"&amp;$G$1)</f>
        <v>#N/A</v>
      </c>
    </row>
    <row r="23" spans="1:33" s="2041" customFormat="1" ht="18" customHeight="1">
      <c r="A23" s="1629" t="s">
        <v>2045</v>
      </c>
      <c r="B23" s="764" t="s">
        <v>2800</v>
      </c>
      <c r="C23" s="52" t="e">
        <f ca="1">ROUND(IF('数据-取费表'!B25&lt;=1,(C19+C20)*F24*F23/2,(C19+C20)*(POWER((1+F24),F23/2)-1)),0)</f>
        <v>#N/A</v>
      </c>
      <c r="D23" s="2583" t="str">
        <f>IF(F23&lt;=1,"(建造成本+管理费用)×利率×(建设周期÷2)","(建造成本+管理费用)×((1+利率)^(建设周期÷2)-1)")</f>
        <v>(建造成本+管理费用)×((1+利率)^(建设周期÷2)-1)</v>
      </c>
      <c r="E23" s="764" t="s">
        <v>1982</v>
      </c>
      <c r="F23" s="620">
        <f>'数据-取费表'!B23</f>
        <v>2.5</v>
      </c>
      <c r="G23" s="1574"/>
      <c r="H23" s="1630" t="s">
        <v>2104</v>
      </c>
      <c r="I23" s="764" t="s">
        <v>714</v>
      </c>
      <c r="J23" s="52" t="e">
        <f ca="1">ROUND(J13*M23,0)</f>
        <v>#N/A</v>
      </c>
      <c r="K23" s="2496" t="s">
        <v>1983</v>
      </c>
      <c r="L23" s="764" t="s">
        <v>1959</v>
      </c>
      <c r="M23" s="798" t="e">
        <f ca="1">INDIRECT("'数据-取费表'!Al"&amp;$G$1)</f>
        <v>#N/A</v>
      </c>
      <c r="N23" s="2040"/>
      <c r="O23" s="2040"/>
      <c r="P23" s="2040"/>
      <c r="Q23" s="2405"/>
      <c r="R23" s="2040"/>
      <c r="S23" s="2040"/>
      <c r="T23" s="2040"/>
      <c r="U23" s="2040"/>
      <c r="V23" s="2040"/>
      <c r="W23" s="2040"/>
      <c r="X23" s="2040"/>
      <c r="Y23" s="2040"/>
      <c r="Z23" s="2040"/>
      <c r="AA23" s="2040"/>
      <c r="AB23" s="2040"/>
      <c r="AC23" s="2040"/>
      <c r="AD23" s="2040"/>
      <c r="AE23" s="2040"/>
      <c r="AF23" s="2040"/>
      <c r="AG23" s="2040"/>
    </row>
    <row r="24" spans="1:33" s="2041" customFormat="1" ht="18" customHeight="1" thickBot="1">
      <c r="A24" s="1629" t="s">
        <v>2046</v>
      </c>
      <c r="B24" s="764" t="s">
        <v>1984</v>
      </c>
      <c r="C24" s="52">
        <f ca="1">ROUND(IF('数据-取费表'!B25&lt;=1,F21*F24*F23/2,F21*(POWER((1+F24),F23/2)-1)),4)</f>
        <v>5.9999999999999995E-4</v>
      </c>
      <c r="D24" s="2583" t="str">
        <f>IF(F23&lt;=1,"销售费用×利率×(建设周期÷2)","销售费用×((1+利率)^(建设周期÷2)-1)")</f>
        <v>销售费用×((1+利率)^(建设周期÷2)-1)</v>
      </c>
      <c r="E24" s="764" t="s">
        <v>1985</v>
      </c>
      <c r="F24" s="799">
        <f ca="1">'数据-取费表'!B43</f>
        <v>4.7500000000000001E-2</v>
      </c>
      <c r="G24" s="1574"/>
      <c r="H24" s="2563" t="s">
        <v>2105</v>
      </c>
      <c r="I24" s="2558" t="s">
        <v>701</v>
      </c>
      <c r="J24" s="2556" t="e">
        <f ca="1">ROUND(J5*M24,0)</f>
        <v>#N/A</v>
      </c>
      <c r="K24" s="2557" t="s">
        <v>1986</v>
      </c>
      <c r="L24" s="2558" t="s">
        <v>1959</v>
      </c>
      <c r="M24" s="2554" t="e">
        <f ca="1">INDIRECT("'数据-取费表'!Am"&amp;$G$1)</f>
        <v>#N/A</v>
      </c>
      <c r="N24" s="2040"/>
      <c r="O24" s="2040"/>
      <c r="P24" s="2040"/>
      <c r="Q24" s="2405"/>
      <c r="R24" s="2040"/>
      <c r="S24" s="2040"/>
      <c r="T24" s="2040"/>
      <c r="U24" s="2040"/>
      <c r="V24" s="2040"/>
      <c r="W24" s="2040"/>
      <c r="X24" s="2040"/>
      <c r="Y24" s="2040"/>
      <c r="Z24" s="2040"/>
      <c r="AA24" s="2040"/>
      <c r="AB24" s="2040"/>
      <c r="AC24" s="2040"/>
      <c r="AD24" s="2040"/>
      <c r="AE24" s="2040"/>
      <c r="AF24" s="2040"/>
      <c r="AG24" s="2040"/>
    </row>
    <row r="25" spans="1:33" ht="18" customHeight="1" thickTop="1">
      <c r="A25" s="1631" t="s">
        <v>2054</v>
      </c>
      <c r="B25" s="764" t="s">
        <v>719</v>
      </c>
      <c r="C25" s="52"/>
      <c r="D25" s="238" t="s">
        <v>1987</v>
      </c>
      <c r="E25" s="1958"/>
      <c r="F25" s="55"/>
      <c r="G25" s="1573"/>
      <c r="H25" s="1803" t="s">
        <v>1988</v>
      </c>
      <c r="I25" s="3028" t="s">
        <v>3108</v>
      </c>
      <c r="J25" s="772" t="e">
        <f ca="1">J5-J16</f>
        <v>#N/A</v>
      </c>
      <c r="K25" s="2560" t="s">
        <v>1989</v>
      </c>
      <c r="L25" s="2561"/>
      <c r="M25" s="2562"/>
    </row>
    <row r="26" spans="1:33" ht="18" customHeight="1">
      <c r="A26" s="1629" t="s">
        <v>2045</v>
      </c>
      <c r="B26" s="764" t="s">
        <v>2700</v>
      </c>
      <c r="C26" s="52" t="e">
        <f ca="1">ROUND((C19+C20)*F26,0)</f>
        <v>#N/A</v>
      </c>
      <c r="D26" s="792" t="s">
        <v>1990</v>
      </c>
      <c r="E26" s="775" t="s">
        <v>1991</v>
      </c>
      <c r="F26" s="774" t="e">
        <f ca="1">INDIRECT("'数据-取费表'!q"&amp;$G$1)</f>
        <v>#N/A</v>
      </c>
      <c r="G26" s="1573"/>
      <c r="H26" s="2514" t="s">
        <v>1992</v>
      </c>
      <c r="I26" s="2212" t="s">
        <v>3113</v>
      </c>
      <c r="J26" s="763" t="e">
        <f ca="1">IF(J5&lt;&gt;0,ROUND(J25*(1-((1+M28)/(1+M26))^M27)/(M26-M28),0),0)</f>
        <v>#N/A</v>
      </c>
      <c r="K26" s="794" t="s">
        <v>1993</v>
      </c>
      <c r="L26" s="764" t="s">
        <v>2674</v>
      </c>
      <c r="M26" s="774" t="e">
        <f ca="1">INDIRECT("'数据-取费表'!I"&amp;$G$1)</f>
        <v>#N/A</v>
      </c>
    </row>
    <row r="27" spans="1:33" ht="18" customHeight="1">
      <c r="A27" s="1629" t="s">
        <v>2046</v>
      </c>
      <c r="B27" s="764" t="s">
        <v>721</v>
      </c>
      <c r="C27" s="52" t="e">
        <f ca="1">ROUND(F21*F26,4)</f>
        <v>#N/A</v>
      </c>
      <c r="D27" s="792" t="s">
        <v>1994</v>
      </c>
      <c r="E27" s="786"/>
      <c r="F27" s="787"/>
      <c r="G27" s="1573"/>
      <c r="H27" s="2515"/>
      <c r="I27" s="767"/>
      <c r="J27" s="768"/>
      <c r="K27" s="801" t="s">
        <v>1995</v>
      </c>
      <c r="L27" s="764" t="s">
        <v>1996</v>
      </c>
      <c r="M27" s="802" t="e">
        <f ca="1">INDIRECT("'数据-取费表'!ag"&amp;$G$1)</f>
        <v>#N/A</v>
      </c>
    </row>
    <row r="28" spans="1:33" s="2041" customFormat="1" ht="18" customHeight="1">
      <c r="A28" s="1631" t="s">
        <v>2055</v>
      </c>
      <c r="B28" s="764" t="s">
        <v>722</v>
      </c>
      <c r="C28" s="52">
        <f>ROUND(F28/(1+'数据-取费表'!B45),4)</f>
        <v>5.2400000000000002E-2</v>
      </c>
      <c r="D28" s="792" t="s">
        <v>2527</v>
      </c>
      <c r="E28" s="764" t="s">
        <v>1997</v>
      </c>
      <c r="F28" s="789">
        <f>'数据-取费表'!B44</f>
        <v>5.5000000000000007E-2</v>
      </c>
      <c r="G28" s="1574"/>
      <c r="H28" s="1803"/>
      <c r="I28" s="771"/>
      <c r="J28" s="772"/>
      <c r="K28" s="796"/>
      <c r="L28" s="764" t="s">
        <v>1998</v>
      </c>
      <c r="M28" s="774" t="e">
        <f ca="1">INDIRECT("'数据-取费表'!aa"&amp;$G$1)</f>
        <v>#N/A</v>
      </c>
      <c r="N28" s="2040"/>
      <c r="O28" s="2040"/>
      <c r="P28" s="2040"/>
      <c r="Q28" s="2405"/>
      <c r="R28" s="2040"/>
      <c r="S28" s="2040"/>
      <c r="T28" s="2040"/>
      <c r="U28" s="2040"/>
      <c r="V28" s="2040"/>
      <c r="W28" s="2040"/>
      <c r="X28" s="2040"/>
      <c r="Y28" s="2040"/>
      <c r="Z28" s="2040"/>
      <c r="AA28" s="2040"/>
      <c r="AB28" s="2040"/>
      <c r="AC28" s="2040"/>
      <c r="AD28" s="2040"/>
      <c r="AE28" s="2040"/>
      <c r="AF28" s="2040"/>
      <c r="AG28" s="2040"/>
    </row>
    <row r="29" spans="1:33" s="2041" customFormat="1" ht="18" customHeight="1" thickBot="1">
      <c r="A29" s="2555" t="s">
        <v>2106</v>
      </c>
      <c r="B29" s="2553" t="s">
        <v>2528</v>
      </c>
      <c r="C29" s="2556" t="e">
        <f ca="1">ROUND((C19+C20+C23+C26)/(1-F21-C24-C27-C28),0)</f>
        <v>#N/A</v>
      </c>
      <c r="D29" s="2557"/>
      <c r="E29" s="2558"/>
      <c r="F29" s="2559"/>
      <c r="G29" s="1574"/>
      <c r="H29" s="803" t="s">
        <v>1999</v>
      </c>
      <c r="I29" s="804" t="s">
        <v>2000</v>
      </c>
      <c r="J29" s="805" t="e">
        <f ca="1">ROUND(J26/(1+F40)^F41,0)</f>
        <v>#N/A</v>
      </c>
      <c r="K29" s="806" t="s">
        <v>2001</v>
      </c>
      <c r="L29" s="807"/>
      <c r="M29" s="808" t="e">
        <f ca="1">INDIRECT("'数据-取费表'!k"&amp;$G$1)</f>
        <v>#N/A</v>
      </c>
      <c r="N29" s="2040"/>
      <c r="O29" s="2040"/>
      <c r="P29" s="2040"/>
      <c r="Q29" s="2405"/>
      <c r="R29" s="2040"/>
      <c r="S29" s="2040"/>
      <c r="T29" s="2040"/>
      <c r="U29" s="2040"/>
      <c r="V29" s="2040"/>
      <c r="W29" s="2040"/>
      <c r="X29" s="2040"/>
      <c r="Y29" s="2040"/>
      <c r="Z29" s="2040"/>
      <c r="AA29" s="2040"/>
      <c r="AB29" s="2040"/>
      <c r="AC29" s="2040"/>
      <c r="AD29" s="2040"/>
      <c r="AE29" s="2040"/>
      <c r="AF29" s="2040"/>
      <c r="AG29" s="2040"/>
    </row>
    <row r="30" spans="1:33" ht="18" customHeight="1" thickTop="1">
      <c r="A30" s="1803" t="s">
        <v>2107</v>
      </c>
      <c r="B30" s="1801" t="s">
        <v>2002</v>
      </c>
      <c r="C30" s="772" t="e">
        <f ca="1">ROUND(C31+C36+C37+C38,0)</f>
        <v>#N/A</v>
      </c>
      <c r="D30" s="1795" t="s">
        <v>2003</v>
      </c>
      <c r="E30" s="2498"/>
      <c r="F30" s="2503"/>
      <c r="G30" s="2039"/>
      <c r="H30" s="2042"/>
      <c r="I30" s="2043"/>
      <c r="J30" s="2044"/>
      <c r="K30" s="2045"/>
      <c r="L30" s="2046"/>
      <c r="M30" s="2047"/>
    </row>
    <row r="31" spans="1:33" ht="18" customHeight="1">
      <c r="A31" s="1630" t="s">
        <v>2044</v>
      </c>
      <c r="B31" s="764" t="s">
        <v>691</v>
      </c>
      <c r="C31" s="52" t="e">
        <f ca="1">ROUND(IF(项目基本情况!B11="自然人",C5*F31,C32+C33+C34),1)</f>
        <v>#N/A</v>
      </c>
      <c r="D31" s="1955" t="s">
        <v>2004</v>
      </c>
      <c r="E31" s="1953" t="s">
        <v>2005</v>
      </c>
      <c r="F31" s="790" t="str">
        <f ca="1">IF(项目基本情况!B11="企业","",IF(INDIRECT("'数据-取费表'!c"&amp;$G$1)="住宅",4.5%,IF(F6*F7*F8/12&gt;20000,11%,6%)))</f>
        <v/>
      </c>
      <c r="G31" s="2039"/>
      <c r="H31" s="2042"/>
      <c r="I31" s="2043"/>
      <c r="J31" s="2044"/>
      <c r="K31" s="2045"/>
      <c r="L31" s="2046"/>
      <c r="M31" s="2047"/>
    </row>
    <row r="32" spans="1:33" ht="18" customHeight="1">
      <c r="A32" s="1629" t="s">
        <v>2045</v>
      </c>
      <c r="B32" s="764" t="s">
        <v>2006</v>
      </c>
      <c r="C32" s="52" t="e">
        <f ca="1">ROUND(C5*F32/1.05,1)</f>
        <v>#N/A</v>
      </c>
      <c r="D32" s="1953" t="s">
        <v>2007</v>
      </c>
      <c r="E32" s="764" t="s">
        <v>2008</v>
      </c>
      <c r="F32" s="789">
        <f>'数据-取费表'!B44</f>
        <v>5.5000000000000007E-2</v>
      </c>
      <c r="G32" s="2039"/>
      <c r="H32" s="2048"/>
      <c r="I32" s="2049"/>
      <c r="J32" s="2050"/>
      <c r="K32" s="2051"/>
      <c r="L32" s="2052"/>
      <c r="M32" s="2053"/>
    </row>
    <row r="33" spans="1:18" ht="18" customHeight="1">
      <c r="A33" s="1629" t="s">
        <v>2046</v>
      </c>
      <c r="B33" s="764" t="s">
        <v>2009</v>
      </c>
      <c r="C33" s="52" t="e">
        <f ca="1">IF(D33="按租金收入计税",ROUND(C5*F33,1),IF(D33="按房产原值计税",ROUND(C29*F33*0.7,1),INDIRECT("'数据-取费表'!Aj"&amp;$G$1)))</f>
        <v>#N/A</v>
      </c>
      <c r="D33" s="791" t="s">
        <v>1892</v>
      </c>
      <c r="E33" s="764" t="s">
        <v>2008</v>
      </c>
      <c r="F33" s="789">
        <f>IF(D33="按租金收入计税",'数据-取费表'!B54,'数据-取费表'!B53)</f>
        <v>1.2E-2</v>
      </c>
      <c r="G33" s="2039"/>
      <c r="H33" s="2054"/>
      <c r="I33" s="2054"/>
      <c r="J33" s="2054"/>
      <c r="K33" s="2055"/>
      <c r="L33" s="2054"/>
      <c r="M33" s="2054"/>
    </row>
    <row r="34" spans="1:18" ht="18" customHeight="1">
      <c r="A34" s="1632" t="s">
        <v>2047</v>
      </c>
      <c r="B34" s="321" t="s">
        <v>2010</v>
      </c>
      <c r="C34" s="53" t="e">
        <f ca="1">ROUND(F34*F35/10000,1)</f>
        <v>#N/A</v>
      </c>
      <c r="D34" s="794" t="s">
        <v>2011</v>
      </c>
      <c r="E34" s="764" t="s">
        <v>2012</v>
      </c>
      <c r="F34" s="620">
        <f>'数据-取费表'!B55</f>
        <v>1.5</v>
      </c>
      <c r="G34" s="2039"/>
      <c r="H34" s="2042"/>
      <c r="I34" s="815" t="s">
        <v>2026</v>
      </c>
      <c r="J34" s="816"/>
      <c r="K34" s="2057"/>
      <c r="L34" s="2056"/>
      <c r="M34" s="2056"/>
    </row>
    <row r="35" spans="1:18" ht="18" customHeight="1">
      <c r="A35" s="795"/>
      <c r="B35" s="773"/>
      <c r="C35" s="66"/>
      <c r="D35" s="796"/>
      <c r="E35" s="764" t="s">
        <v>2013</v>
      </c>
      <c r="F35" s="765" t="e">
        <f ca="1">INDIRECT("'数据-取费表'!r"&amp;$G$1)</f>
        <v>#N/A</v>
      </c>
      <c r="G35" s="2039"/>
      <c r="H35" s="2042"/>
      <c r="I35" s="817" t="s">
        <v>2027</v>
      </c>
      <c r="J35" s="818" t="e">
        <f ca="1">ROUND(C13*J36,0)</f>
        <v>#N/A</v>
      </c>
      <c r="K35" s="2055"/>
      <c r="L35" s="2054"/>
      <c r="M35" s="2054"/>
    </row>
    <row r="36" spans="1:18" ht="18" customHeight="1">
      <c r="A36" s="1630" t="s">
        <v>2103</v>
      </c>
      <c r="B36" s="764" t="s">
        <v>2014</v>
      </c>
      <c r="C36" s="52" t="e">
        <f ca="1">ROUND(C29*F36,1)</f>
        <v>#N/A</v>
      </c>
      <c r="D36" s="1953" t="s">
        <v>2015</v>
      </c>
      <c r="E36" s="764" t="s">
        <v>2008</v>
      </c>
      <c r="F36" s="797" t="e">
        <f ca="1">INDIRECT("'数据-取费表'!Ak"&amp;$G$1)</f>
        <v>#N/A</v>
      </c>
      <c r="G36" s="2039"/>
      <c r="H36" s="2054"/>
      <c r="I36" s="819" t="s">
        <v>2028</v>
      </c>
      <c r="J36" s="820" t="e">
        <f ca="1">INDIRECT("'数据-取费表'!j"&amp;$G$1)</f>
        <v>#N/A</v>
      </c>
      <c r="K36" s="2059"/>
      <c r="L36" s="2054"/>
      <c r="M36" s="2054"/>
    </row>
    <row r="37" spans="1:18" ht="18" customHeight="1">
      <c r="A37" s="1630" t="s">
        <v>2104</v>
      </c>
      <c r="B37" s="764" t="s">
        <v>714</v>
      </c>
      <c r="C37" s="52" t="e">
        <f ca="1">ROUND(C13*F37,1)</f>
        <v>#N/A</v>
      </c>
      <c r="D37" s="1953" t="s">
        <v>2016</v>
      </c>
      <c r="E37" s="764" t="s">
        <v>2008</v>
      </c>
      <c r="F37" s="798" t="e">
        <f ca="1">INDIRECT("'数据-取费表'!Al"&amp;$G$1)</f>
        <v>#N/A</v>
      </c>
      <c r="G37" s="2039"/>
      <c r="H37" s="2054"/>
      <c r="I37" s="821" t="s">
        <v>2029</v>
      </c>
      <c r="J37" s="822"/>
      <c r="K37" s="2059"/>
      <c r="L37" s="2054"/>
      <c r="M37" s="2054"/>
    </row>
    <row r="38" spans="1:18" ht="18" customHeight="1" thickBot="1">
      <c r="A38" s="2563" t="s">
        <v>2105</v>
      </c>
      <c r="B38" s="2558" t="s">
        <v>701</v>
      </c>
      <c r="C38" s="2556" t="e">
        <f ca="1">ROUND(C5*F38,1)</f>
        <v>#N/A</v>
      </c>
      <c r="D38" s="2557" t="s">
        <v>2017</v>
      </c>
      <c r="E38" s="2558" t="s">
        <v>2008</v>
      </c>
      <c r="F38" s="2554" t="e">
        <f ca="1">INDIRECT("'数据-取费表'!Am"&amp;$G$1)</f>
        <v>#N/A</v>
      </c>
      <c r="G38" s="2039"/>
      <c r="H38" s="2054"/>
      <c r="I38" s="823" t="s">
        <v>2030</v>
      </c>
      <c r="J38" s="824"/>
      <c r="K38" s="2060"/>
      <c r="L38" s="2054"/>
      <c r="M38" s="2054"/>
    </row>
    <row r="39" spans="1:18" ht="24.6" customHeight="1" thickTop="1">
      <c r="A39" s="1803" t="s">
        <v>2108</v>
      </c>
      <c r="B39" s="3028" t="s">
        <v>3108</v>
      </c>
      <c r="C39" s="772" t="e">
        <f ca="1">C5-C30</f>
        <v>#N/A</v>
      </c>
      <c r="D39" s="2560" t="s">
        <v>2018</v>
      </c>
      <c r="E39" s="2561"/>
      <c r="F39" s="2562"/>
      <c r="G39" s="2039"/>
      <c r="H39" s="2054"/>
      <c r="I39" s="817" t="s">
        <v>2031</v>
      </c>
      <c r="J39" s="825" t="e">
        <f ca="1">ROUND(J35/C39,3)</f>
        <v>#N/A</v>
      </c>
      <c r="K39" s="2060"/>
      <c r="L39" s="2054"/>
      <c r="M39" s="2054"/>
    </row>
    <row r="40" spans="1:18" ht="18" customHeight="1">
      <c r="A40" s="761" t="s">
        <v>2109</v>
      </c>
      <c r="B40" s="2212" t="s">
        <v>2529</v>
      </c>
      <c r="C40" s="763" t="e">
        <f ca="1">ROUND(C39*(1-((1+F42)/(1+F40))^F41)/(F40-F42),0)</f>
        <v>#N/A</v>
      </c>
      <c r="D40" s="794" t="s">
        <v>2019</v>
      </c>
      <c r="E40" s="764" t="s">
        <v>2674</v>
      </c>
      <c r="F40" s="774" t="e">
        <f ca="1">INDIRECT("'数据-取费表'!I"&amp;$G$1)</f>
        <v>#N/A</v>
      </c>
      <c r="G40" s="2039"/>
      <c r="H40" s="2039"/>
      <c r="I40" s="817" t="s">
        <v>2032</v>
      </c>
      <c r="J40" s="825" t="e">
        <f ca="1">1-J39</f>
        <v>#N/A</v>
      </c>
      <c r="K40" s="2060"/>
      <c r="L40" s="2039"/>
      <c r="M40" s="2039"/>
    </row>
    <row r="41" spans="1:18" ht="18" customHeight="1">
      <c r="A41" s="766"/>
      <c r="B41" s="767"/>
      <c r="C41" s="768"/>
      <c r="D41" s="801" t="s">
        <v>2020</v>
      </c>
      <c r="E41" s="764" t="s">
        <v>2021</v>
      </c>
      <c r="F41" s="802" t="e">
        <f ca="1">IF(INDIRECT("'数据-取费表'!af"&amp;$G$1)=0,INDIRECT("'数据-取费表'!ae"&amp;$G$1),INDIRECT("'数据-取费表'!af"&amp;$G$1))</f>
        <v>#N/A</v>
      </c>
      <c r="G41" s="2039"/>
      <c r="H41" s="1964"/>
      <c r="I41" s="823" t="s">
        <v>2033</v>
      </c>
      <c r="J41" s="826"/>
      <c r="K41" s="2059"/>
      <c r="L41" s="1964"/>
      <c r="M41" s="1964"/>
    </row>
    <row r="42" spans="1:18" ht="18" customHeight="1">
      <c r="A42" s="770"/>
      <c r="B42" s="771"/>
      <c r="C42" s="772"/>
      <c r="D42" s="796"/>
      <c r="E42" s="764" t="s">
        <v>2022</v>
      </c>
      <c r="F42" s="774" t="e">
        <f ca="1">INDIRECT("'数据-取费表'!v"&amp;$G$1)</f>
        <v>#N/A</v>
      </c>
      <c r="G42" s="2039"/>
      <c r="H42" s="1964"/>
      <c r="I42" s="827" t="s">
        <v>2034</v>
      </c>
      <c r="J42" s="825" t="e">
        <f ca="1">ROUND(C13/C40,3)</f>
        <v>#N/A</v>
      </c>
      <c r="K42" s="2059"/>
      <c r="L42" s="1964"/>
      <c r="M42" s="1964"/>
    </row>
    <row r="43" spans="1:18" ht="18" customHeight="1" thickBot="1">
      <c r="A43" s="803" t="s">
        <v>1999</v>
      </c>
      <c r="B43" s="804" t="s">
        <v>2023</v>
      </c>
      <c r="C43" s="805" t="e">
        <f ca="1">ROUND(C40*10000/F43,0)</f>
        <v>#N/A</v>
      </c>
      <c r="D43" s="806" t="s">
        <v>2024</v>
      </c>
      <c r="E43" s="807" t="s">
        <v>2025</v>
      </c>
      <c r="F43" s="808" t="e">
        <f ca="1">INDIRECT("'数据-取费表'!k"&amp;$G$1)</f>
        <v>#N/A</v>
      </c>
      <c r="G43" s="2039"/>
      <c r="H43" s="1964"/>
      <c r="I43" s="827" t="s">
        <v>2035</v>
      </c>
      <c r="J43" s="828" t="e">
        <f ca="1">1-J42</f>
        <v>#N/A</v>
      </c>
      <c r="K43" s="2059"/>
      <c r="L43" s="1964"/>
      <c r="M43" s="1964"/>
    </row>
    <row r="44" spans="1:18" s="2036" customFormat="1" ht="18" customHeight="1">
      <c r="A44" s="2062"/>
      <c r="B44" s="2062"/>
      <c r="C44" s="2082"/>
      <c r="D44" s="2062"/>
      <c r="E44" s="2062"/>
      <c r="F44" s="2062"/>
      <c r="K44" s="2063"/>
      <c r="Q44" s="2077"/>
    </row>
    <row r="45" spans="1:18" s="2036" customFormat="1" ht="18" customHeight="1" thickBot="1">
      <c r="A45" s="2062"/>
      <c r="B45" s="2062"/>
      <c r="C45" s="2082"/>
      <c r="D45" s="2062"/>
      <c r="E45" s="2062"/>
      <c r="F45" s="2062"/>
      <c r="K45" s="2063"/>
      <c r="Q45" s="2077"/>
    </row>
    <row r="46" spans="1:18" s="2036" customFormat="1" ht="18" customHeight="1" thickBot="1">
      <c r="A46" s="2210" t="s">
        <v>2523</v>
      </c>
      <c r="B46" s="2062"/>
      <c r="C46" s="2586" t="e">
        <f ca="1">C67-C40</f>
        <v>#N/A</v>
      </c>
      <c r="D46" s="2062"/>
      <c r="E46" s="2062"/>
      <c r="F46" s="2062"/>
      <c r="I46" s="2364" t="s">
        <v>2594</v>
      </c>
      <c r="J46" s="2365"/>
      <c r="K46" s="2366"/>
      <c r="L46" s="2367">
        <f>IF(M47="住宅",0,IF(L48&gt;J51,L60,J60))</f>
        <v>0</v>
      </c>
      <c r="O46" s="2406" t="s">
        <v>2664</v>
      </c>
      <c r="P46" s="1573"/>
      <c r="Q46" s="1585"/>
      <c r="R46" s="1573"/>
    </row>
    <row r="47" spans="1:18" s="2036" customFormat="1" ht="18" customHeight="1" thickBot="1">
      <c r="A47" s="2358">
        <v>1</v>
      </c>
      <c r="B47" s="2359" t="s">
        <v>670</v>
      </c>
      <c r="C47" s="2586" t="e">
        <f ca="1">C48+C52+C54</f>
        <v>#N/A</v>
      </c>
      <c r="D47" s="2062"/>
      <c r="E47" s="2062"/>
      <c r="F47" s="2062"/>
      <c r="I47" s="2368" t="s">
        <v>2595</v>
      </c>
      <c r="J47" s="2373" t="s">
        <v>2626</v>
      </c>
      <c r="K47" s="2374" t="s">
        <v>2601</v>
      </c>
      <c r="L47" s="2375" t="e">
        <f ca="1">INDIRECT("'数据-取费表'!d"&amp;$G$1)</f>
        <v>#N/A</v>
      </c>
      <c r="M47" s="1585" t="str">
        <f>IF(ISNUMBER(FIND("住宅",C1)),"住宅","非住宅")</f>
        <v>住宅</v>
      </c>
      <c r="O47" s="2407" t="s">
        <v>2629</v>
      </c>
      <c r="P47" s="2408" t="s">
        <v>2630</v>
      </c>
      <c r="Q47" s="2409" t="s">
        <v>2631</v>
      </c>
      <c r="R47" s="2408" t="s">
        <v>2632</v>
      </c>
    </row>
    <row r="48" spans="1:18" s="2036" customFormat="1" ht="18" customHeight="1" thickBot="1">
      <c r="A48" s="2656" t="s">
        <v>2802</v>
      </c>
      <c r="B48" s="2657" t="s">
        <v>2803</v>
      </c>
      <c r="C48" s="2360" t="e">
        <f ca="1">ROUND(F48*F50*F49*(1-F51)/10000,0)</f>
        <v>#N/A</v>
      </c>
      <c r="D48" s="2361" t="s">
        <v>671</v>
      </c>
      <c r="E48" s="2362" t="s">
        <v>2524</v>
      </c>
      <c r="F48" s="2363"/>
      <c r="G48" s="2067"/>
      <c r="I48" s="2369" t="s">
        <v>2596</v>
      </c>
      <c r="J48" s="2376" t="s">
        <v>2602</v>
      </c>
      <c r="K48" s="2377" t="s">
        <v>2603</v>
      </c>
      <c r="L48" s="2378" t="e">
        <f ca="1">INDIRECT("'数据-取费表'!f"&amp;$G$1)</f>
        <v>#N/A</v>
      </c>
      <c r="O48" s="2410" t="s">
        <v>2633</v>
      </c>
      <c r="P48" s="2411" t="s">
        <v>2659</v>
      </c>
      <c r="Q48" s="2412" t="e">
        <f ca="1">C40+J29</f>
        <v>#N/A</v>
      </c>
      <c r="R48" s="2411" t="s">
        <v>2634</v>
      </c>
    </row>
    <row r="49" spans="1:18" s="2036" customFormat="1" ht="18" customHeight="1" thickBot="1">
      <c r="A49" s="766"/>
      <c r="B49" s="767"/>
      <c r="C49" s="768"/>
      <c r="D49" s="769"/>
      <c r="E49" s="764" t="s">
        <v>1951</v>
      </c>
      <c r="F49" s="765" t="e">
        <f ca="1">F7</f>
        <v>#N/A</v>
      </c>
      <c r="G49" s="2067"/>
      <c r="H49" s="2070"/>
      <c r="I49" s="2369" t="s">
        <v>2597</v>
      </c>
      <c r="J49" s="2379">
        <v>2002</v>
      </c>
      <c r="K49" s="2380" t="s">
        <v>2604</v>
      </c>
      <c r="L49" s="2381">
        <v>45000</v>
      </c>
      <c r="O49" s="2410" t="s">
        <v>2635</v>
      </c>
      <c r="P49" s="2411" t="s">
        <v>2660</v>
      </c>
      <c r="Q49" s="2412" t="e">
        <f ca="1">J60</f>
        <v>#N/A</v>
      </c>
      <c r="R49" s="2411" t="s">
        <v>2636</v>
      </c>
    </row>
    <row r="50" spans="1:18" s="2036" customFormat="1" ht="18" customHeight="1" thickBot="1">
      <c r="A50" s="766"/>
      <c r="B50" s="767"/>
      <c r="C50" s="768"/>
      <c r="D50" s="769"/>
      <c r="E50" s="764" t="s">
        <v>1952</v>
      </c>
      <c r="F50" s="765" t="e">
        <f ca="1">F8</f>
        <v>#N/A</v>
      </c>
      <c r="G50" s="2075"/>
      <c r="H50" s="2070"/>
      <c r="I50" s="2369" t="s">
        <v>2598</v>
      </c>
      <c r="J50" s="2382">
        <f>SUMPRODUCT((I63:I65=J47)*(J62:L62=J48)*(J63:L65))</f>
        <v>60</v>
      </c>
      <c r="K50" s="2380" t="s">
        <v>2605</v>
      </c>
      <c r="L50" s="2381">
        <v>55000</v>
      </c>
      <c r="O50" s="2413" t="s">
        <v>2637</v>
      </c>
      <c r="P50" s="2411" t="s">
        <v>2661</v>
      </c>
      <c r="Q50" s="2412" t="e">
        <f ca="1">C29</f>
        <v>#N/A</v>
      </c>
      <c r="R50" s="2411" t="s">
        <v>2634</v>
      </c>
    </row>
    <row r="51" spans="1:18" s="2036" customFormat="1" ht="18" customHeight="1" thickBot="1">
      <c r="A51" s="766"/>
      <c r="B51" s="767"/>
      <c r="C51" s="768"/>
      <c r="D51" s="769"/>
      <c r="E51" s="764" t="s">
        <v>675</v>
      </c>
      <c r="F51" s="2357"/>
      <c r="H51" s="2070"/>
      <c r="I51" s="2370" t="s">
        <v>2599</v>
      </c>
      <c r="J51" s="2383">
        <f>IF(J49="",J50,J49+J50-YEAR('数据-取费表'!B2))</f>
        <v>45</v>
      </c>
      <c r="K51" s="2369" t="s">
        <v>2606</v>
      </c>
      <c r="L51" s="2384" t="e">
        <f ca="1">ROUND(-PV(INDIRECT("'数据-取费表'!h"&amp;$G$1),L48,(C39-C13*J35),0),0)</f>
        <v>#N/A</v>
      </c>
      <c r="O51" s="2413" t="s">
        <v>2638</v>
      </c>
      <c r="P51" s="2411" t="s">
        <v>2639</v>
      </c>
      <c r="Q51" s="2414">
        <f>J58</f>
        <v>0.6</v>
      </c>
      <c r="R51" s="2415"/>
    </row>
    <row r="52" spans="1:18" s="2036" customFormat="1" ht="18" customHeight="1" thickBot="1">
      <c r="A52" s="761" t="s">
        <v>2801</v>
      </c>
      <c r="B52" s="2506" t="s">
        <v>2722</v>
      </c>
      <c r="C52" s="779">
        <f ca="1">ROUND(IF(F52="押一",F48*F50*F49/12*F11,IF(F52="押二",F48*F50*F49/12*2*F11,IF(F52="押三",F48*F50*F49/12*3*F11,C53*F11)))/10000,0)</f>
        <v>0</v>
      </c>
      <c r="D52" s="2513" t="s">
        <v>2730</v>
      </c>
      <c r="E52" s="2510" t="s">
        <v>2727</v>
      </c>
      <c r="F52" s="2634" t="s">
        <v>2842</v>
      </c>
      <c r="I52" s="2371" t="s">
        <v>2676</v>
      </c>
      <c r="J52" s="2385">
        <v>0.09</v>
      </c>
      <c r="K52" s="2371" t="s">
        <v>2675</v>
      </c>
      <c r="L52" s="2385">
        <v>0.04</v>
      </c>
      <c r="O52" s="2413" t="s">
        <v>2640</v>
      </c>
      <c r="P52" s="2411" t="s">
        <v>2641</v>
      </c>
      <c r="Q52" s="2414">
        <f>J52</f>
        <v>0.09</v>
      </c>
      <c r="R52" s="2415"/>
    </row>
    <row r="53" spans="1:18" s="2036" customFormat="1" ht="39.75" customHeight="1" thickBot="1">
      <c r="A53" s="766"/>
      <c r="B53" s="2507" t="s">
        <v>2844</v>
      </c>
      <c r="C53" s="2511"/>
      <c r="D53" s="2513"/>
      <c r="E53" s="2510"/>
      <c r="F53" s="780"/>
      <c r="I53" s="2372" t="s">
        <v>2600</v>
      </c>
      <c r="J53" s="2386">
        <f>IF(M47="住宅",J51,MIN(J51,L48))</f>
        <v>45</v>
      </c>
      <c r="K53" s="348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489"/>
      <c r="O53" s="2413" t="s">
        <v>2642</v>
      </c>
      <c r="P53" s="2411" t="s">
        <v>2643</v>
      </c>
      <c r="Q53" s="2412">
        <f>J53</f>
        <v>45</v>
      </c>
      <c r="R53" s="2411" t="s">
        <v>2644</v>
      </c>
    </row>
    <row r="54" spans="1:18" s="2036" customFormat="1" ht="18" customHeight="1" thickBot="1">
      <c r="A54" s="2549" t="s">
        <v>2732</v>
      </c>
      <c r="B54" s="2550" t="s">
        <v>2723</v>
      </c>
      <c r="C54" s="2551"/>
      <c r="D54" s="2513"/>
      <c r="E54" s="2510"/>
      <c r="F54" s="780"/>
      <c r="K54" s="2063"/>
      <c r="O54" s="2410" t="s">
        <v>2645</v>
      </c>
      <c r="P54" s="2411" t="s">
        <v>2662</v>
      </c>
      <c r="Q54" s="2412" t="e">
        <f ca="1">Q48+Q49</f>
        <v>#N/A</v>
      </c>
      <c r="R54" s="2415" t="s">
        <v>2646</v>
      </c>
    </row>
    <row r="55" spans="1:18" s="2036" customFormat="1" ht="18" customHeight="1" thickTop="1" thickBot="1">
      <c r="A55" s="777">
        <v>2</v>
      </c>
      <c r="B55" s="778" t="s">
        <v>679</v>
      </c>
      <c r="C55" s="779" t="e">
        <f ca="1">C13</f>
        <v>#N/A</v>
      </c>
      <c r="D55" s="775"/>
      <c r="E55" s="775"/>
      <c r="F55" s="780"/>
      <c r="I55" s="2387" t="s">
        <v>2607</v>
      </c>
      <c r="J55" s="2388"/>
      <c r="K55" s="2389" t="s">
        <v>2608</v>
      </c>
      <c r="L55" s="2390" t="s">
        <v>2609</v>
      </c>
      <c r="O55" s="2416" t="s">
        <v>2665</v>
      </c>
      <c r="P55" s="1573"/>
      <c r="Q55" s="1585"/>
      <c r="R55" s="1573"/>
    </row>
    <row r="56" spans="1:18" s="2036" customFormat="1" ht="42.75" customHeight="1" thickBot="1">
      <c r="A56" s="1631"/>
      <c r="B56" s="2211" t="s">
        <v>2530</v>
      </c>
      <c r="C56" s="52" t="e">
        <f ca="1">C29</f>
        <v>#N/A</v>
      </c>
      <c r="D56" s="2653"/>
      <c r="E56" s="764"/>
      <c r="F56" s="789"/>
      <c r="I56" s="2391" t="s">
        <v>2610</v>
      </c>
      <c r="J56" s="2400" t="s">
        <v>1885</v>
      </c>
      <c r="K56" s="2369" t="s">
        <v>2615</v>
      </c>
      <c r="L56" s="2378" t="e">
        <f ca="1">IF(L48&lt;J51,"——",L48-J51)</f>
        <v>#N/A</v>
      </c>
      <c r="O56" s="2407" t="s">
        <v>2629</v>
      </c>
      <c r="P56" s="2408" t="s">
        <v>2630</v>
      </c>
      <c r="Q56" s="2409" t="s">
        <v>2631</v>
      </c>
      <c r="R56" s="2408" t="s">
        <v>2632</v>
      </c>
    </row>
    <row r="57" spans="1:18" s="2036" customFormat="1" ht="28.5" customHeight="1" thickBot="1">
      <c r="A57" s="777" t="s">
        <v>1960</v>
      </c>
      <c r="B57" s="778" t="s">
        <v>686</v>
      </c>
      <c r="C57" s="779" t="e">
        <f ca="1">ROUND(C58+C63+C64+C65,0)</f>
        <v>#N/A</v>
      </c>
      <c r="D57" s="25" t="s">
        <v>1962</v>
      </c>
      <c r="E57" s="2654"/>
      <c r="F57" s="55"/>
      <c r="I57" s="2392" t="s">
        <v>2611</v>
      </c>
      <c r="J57" s="2394" t="e">
        <f ca="1">IF(OR(M47="住宅",J51&lt;L48,J56="是"),"——",J51-L48)</f>
        <v>#N/A</v>
      </c>
      <c r="K57" s="2369" t="s">
        <v>2616</v>
      </c>
      <c r="L57" s="2378" t="e">
        <f ca="1">IF(L48&lt;J51,"——",IF(L55="比较法",L49,IF(L55="基准地价",L50,L51)))</f>
        <v>#N/A</v>
      </c>
      <c r="O57" s="2410" t="s">
        <v>2633</v>
      </c>
      <c r="P57" s="2411" t="s">
        <v>2663</v>
      </c>
      <c r="Q57" s="2412" t="e">
        <f ca="1">C40+J29</f>
        <v>#N/A</v>
      </c>
      <c r="R57" s="2411" t="s">
        <v>2634</v>
      </c>
    </row>
    <row r="58" spans="1:18" s="2036" customFormat="1" ht="28.5" customHeight="1" thickBot="1">
      <c r="A58" s="1630" t="s">
        <v>2038</v>
      </c>
      <c r="B58" s="764" t="s">
        <v>691</v>
      </c>
      <c r="C58" s="52" t="e">
        <f ca="1">ROUND(IF(项目基本情况!B11="自然人",C47*F58,C59+C60+C61),1)</f>
        <v>#N/A</v>
      </c>
      <c r="D58" s="2652" t="s">
        <v>692</v>
      </c>
      <c r="E58" s="2653" t="s">
        <v>725</v>
      </c>
      <c r="F58" s="790" t="str">
        <f ca="1">IF(项目基本情况!B11="企业","",IF(INDIRECT("'数据-取费表'!c"&amp;$G$1)="住宅",4.5%,IF(F48*F49*F50/12&gt;20000,11%,6%)))</f>
        <v/>
      </c>
      <c r="I58" s="2392" t="s">
        <v>2612</v>
      </c>
      <c r="J58" s="2395">
        <v>0.6</v>
      </c>
      <c r="K58" s="2369" t="s">
        <v>2617</v>
      </c>
      <c r="L58" s="2378">
        <f ca="1">IF(ISERROR(POWER(1+L52,L47-L48)*(POWER(1+L52,L48)-1)/(POWER(1+L52,L47)-1)),0,POWER(1+L52,L47-L48)*(POWER(1+L52,L48)-1)/(POWER(1+L52,L47)-1))</f>
        <v>0</v>
      </c>
      <c r="O58" s="2410" t="s">
        <v>2635</v>
      </c>
      <c r="P58" s="2411" t="s">
        <v>2666</v>
      </c>
      <c r="Q58" s="2412" t="e">
        <f ca="1">L60</f>
        <v>#N/A</v>
      </c>
      <c r="R58" s="2415" t="s">
        <v>2668</v>
      </c>
    </row>
    <row r="59" spans="1:18" s="2036" customFormat="1" ht="28.5" customHeight="1" thickBot="1">
      <c r="A59" s="1629" t="s">
        <v>2045</v>
      </c>
      <c r="B59" s="764" t="s">
        <v>695</v>
      </c>
      <c r="C59" s="52" t="e">
        <f ca="1">ROUND(C47*F59/1.05,1)</f>
        <v>#N/A</v>
      </c>
      <c r="D59" s="2653" t="s">
        <v>1968</v>
      </c>
      <c r="E59" s="764" t="s">
        <v>1959</v>
      </c>
      <c r="F59" s="789">
        <f t="shared" ref="F59:F65" si="0">F32</f>
        <v>5.5000000000000007E-2</v>
      </c>
      <c r="I59" s="2392" t="s">
        <v>2613</v>
      </c>
      <c r="J59" s="2394" t="e">
        <f ca="1">IF(OR(M47="住宅",J51&lt;L48,J56="是"),"——",ROUND(C29*J58,0))</f>
        <v>#N/A</v>
      </c>
      <c r="K59" s="2369" t="s">
        <v>2618</v>
      </c>
      <c r="L59" s="2378">
        <f ca="1">IF(ISERROR(POWER(1+L52,L47-J51)*(POWER(1+L52,J51)-1)/(POWER(1+L52,L47)-1)),0,POWER(1+L52,L47-J51)*(POWER(1+L52,J51)-1)/(POWER(1+L52,L47)-1))</f>
        <v>0</v>
      </c>
      <c r="O59" s="2413" t="s">
        <v>2637</v>
      </c>
      <c r="P59" s="2411" t="s">
        <v>2667</v>
      </c>
      <c r="Q59" s="2412">
        <f>IF(L55="比较法",L49,IF(L55="基准地价",L50,0))</f>
        <v>0</v>
      </c>
      <c r="R59" s="2411" t="s">
        <v>2634</v>
      </c>
    </row>
    <row r="60" spans="1:18" s="2036" customFormat="1" ht="18" customHeight="1" thickBot="1">
      <c r="A60" s="1629" t="s">
        <v>2046</v>
      </c>
      <c r="B60" s="764" t="s">
        <v>1970</v>
      </c>
      <c r="C60" s="52" t="e">
        <f ca="1">IF(D60="按租金收入计税",ROUND(C47*F60,1),IF(D60="按房产原值计税",ROUND(C56*F60*0.7,1),INDIRECT("'数据-取费表'!Aj"&amp;$G$1)))</f>
        <v>#N/A</v>
      </c>
      <c r="D60" s="2653" t="str">
        <f>D33</f>
        <v>按房产原值计税</v>
      </c>
      <c r="E60" s="764" t="s">
        <v>1959</v>
      </c>
      <c r="F60" s="789">
        <f t="shared" si="0"/>
        <v>1.2E-2</v>
      </c>
      <c r="I60" s="2393" t="s">
        <v>2614</v>
      </c>
      <c r="J60" s="2396" t="e">
        <f ca="1">IF(OR(M47="住宅",J51&lt;L48,J56="是"),"0",ROUND(J59/(1+J52)^J53,0))</f>
        <v>#N/A</v>
      </c>
      <c r="K60" s="2397" t="s">
        <v>2619</v>
      </c>
      <c r="L60" s="2396" t="e">
        <f ca="1">IF(OR(M47="住宅",L48&lt;J51),0,ROUND(L57*(L58/L59-1),0))</f>
        <v>#N/A</v>
      </c>
      <c r="O60" s="2413" t="s">
        <v>2638</v>
      </c>
      <c r="P60" s="2411" t="s">
        <v>2647</v>
      </c>
      <c r="Q60" s="2414">
        <f>L52</f>
        <v>0.04</v>
      </c>
      <c r="R60" s="2415"/>
    </row>
    <row r="61" spans="1:18" s="2036" customFormat="1" ht="18" customHeight="1" thickBot="1">
      <c r="A61" s="1632" t="s">
        <v>2047</v>
      </c>
      <c r="B61" s="321" t="s">
        <v>703</v>
      </c>
      <c r="C61" s="53" t="e">
        <f ca="1">ROUND(F61*F62/10000,1)</f>
        <v>#N/A</v>
      </c>
      <c r="D61" s="794" t="s">
        <v>704</v>
      </c>
      <c r="E61" s="764" t="s">
        <v>705</v>
      </c>
      <c r="F61" s="620">
        <f t="shared" si="0"/>
        <v>1.5</v>
      </c>
      <c r="K61" s="2063"/>
      <c r="O61" s="2413" t="s">
        <v>2640</v>
      </c>
      <c r="P61" s="2411" t="s">
        <v>2648</v>
      </c>
      <c r="Q61" s="2412">
        <f ca="1">L58</f>
        <v>0</v>
      </c>
      <c r="R61" s="2415" t="s">
        <v>2649</v>
      </c>
    </row>
    <row r="62" spans="1:18" s="2036" customFormat="1" ht="20.25" thickBot="1">
      <c r="A62" s="795"/>
      <c r="B62" s="773"/>
      <c r="C62" s="66"/>
      <c r="D62" s="796"/>
      <c r="E62" s="764" t="s">
        <v>709</v>
      </c>
      <c r="F62" s="765" t="e">
        <f t="shared" ca="1" si="0"/>
        <v>#N/A</v>
      </c>
      <c r="I62" s="2398" t="s">
        <v>2620</v>
      </c>
      <c r="J62" s="2399" t="s">
        <v>2621</v>
      </c>
      <c r="K62" s="2399" t="s">
        <v>2622</v>
      </c>
      <c r="L62" s="2399" t="s">
        <v>2602</v>
      </c>
      <c r="O62" s="2413" t="s">
        <v>2642</v>
      </c>
      <c r="P62" s="2411" t="s">
        <v>2650</v>
      </c>
      <c r="Q62" s="2412">
        <f ca="1">L59</f>
        <v>0</v>
      </c>
      <c r="R62" s="2415" t="s">
        <v>2651</v>
      </c>
    </row>
    <row r="63" spans="1:18" s="2036" customFormat="1" ht="15.75" thickBot="1">
      <c r="A63" s="1630" t="s">
        <v>2103</v>
      </c>
      <c r="B63" s="764" t="s">
        <v>711</v>
      </c>
      <c r="C63" s="52" t="e">
        <f ca="1">ROUND(C56*F63,1)</f>
        <v>#N/A</v>
      </c>
      <c r="D63" s="2653" t="s">
        <v>2015</v>
      </c>
      <c r="E63" s="764" t="s">
        <v>1959</v>
      </c>
      <c r="F63" s="797" t="e">
        <f t="shared" ca="1" si="0"/>
        <v>#N/A</v>
      </c>
      <c r="I63" s="2398" t="s">
        <v>2623</v>
      </c>
      <c r="J63" s="2399">
        <v>70</v>
      </c>
      <c r="K63" s="2399">
        <v>50</v>
      </c>
      <c r="L63" s="2399">
        <v>80</v>
      </c>
      <c r="O63" s="2410" t="s">
        <v>2645</v>
      </c>
      <c r="P63" s="2411" t="s">
        <v>2662</v>
      </c>
      <c r="Q63" s="2412" t="e">
        <f ca="1">Q57+Q58</f>
        <v>#N/A</v>
      </c>
      <c r="R63" s="2415" t="s">
        <v>2646</v>
      </c>
    </row>
    <row r="64" spans="1:18" s="2036" customFormat="1" ht="16.5" thickBot="1">
      <c r="A64" s="1630" t="s">
        <v>2104</v>
      </c>
      <c r="B64" s="764" t="s">
        <v>714</v>
      </c>
      <c r="C64" s="52" t="e">
        <f ca="1">ROUND(C55*F64,1)</f>
        <v>#N/A</v>
      </c>
      <c r="D64" s="2653" t="s">
        <v>715</v>
      </c>
      <c r="E64" s="764" t="s">
        <v>1959</v>
      </c>
      <c r="F64" s="798" t="e">
        <f t="shared" ca="1" si="0"/>
        <v>#N/A</v>
      </c>
      <c r="I64" s="2398" t="s">
        <v>2624</v>
      </c>
      <c r="J64" s="2399">
        <v>50</v>
      </c>
      <c r="K64" s="2399">
        <v>35</v>
      </c>
      <c r="L64" s="2399">
        <v>60</v>
      </c>
      <c r="O64" s="2416" t="s">
        <v>2669</v>
      </c>
      <c r="P64" s="1573"/>
      <c r="Q64" s="1585"/>
      <c r="R64" s="1573"/>
    </row>
    <row r="65" spans="1:18" s="2036" customFormat="1" ht="15.75" thickBot="1">
      <c r="A65" s="1630" t="s">
        <v>2105</v>
      </c>
      <c r="B65" s="764" t="s">
        <v>701</v>
      </c>
      <c r="C65" s="52" t="e">
        <f ca="1">ROUND(C47*F65,1)</f>
        <v>#N/A</v>
      </c>
      <c r="D65" s="2653" t="s">
        <v>718</v>
      </c>
      <c r="E65" s="764" t="s">
        <v>1959</v>
      </c>
      <c r="F65" s="774" t="e">
        <f t="shared" ca="1" si="0"/>
        <v>#N/A</v>
      </c>
      <c r="I65" s="2398" t="s">
        <v>2625</v>
      </c>
      <c r="J65" s="2399">
        <v>40</v>
      </c>
      <c r="K65" s="2399">
        <v>30</v>
      </c>
      <c r="L65" s="2399">
        <v>50</v>
      </c>
      <c r="O65" s="2407" t="s">
        <v>2629</v>
      </c>
      <c r="P65" s="2408" t="s">
        <v>2630</v>
      </c>
      <c r="Q65" s="2409" t="s">
        <v>2631</v>
      </c>
      <c r="R65" s="2408" t="s">
        <v>2632</v>
      </c>
    </row>
    <row r="66" spans="1:18" s="2036" customFormat="1" ht="24.75" thickBot="1">
      <c r="A66" s="777" t="s">
        <v>1988</v>
      </c>
      <c r="B66" s="3029" t="s">
        <v>3108</v>
      </c>
      <c r="C66" s="779" t="e">
        <f ca="1">C47-C57</f>
        <v>#N/A</v>
      </c>
      <c r="D66" s="2652" t="s">
        <v>736</v>
      </c>
      <c r="E66" s="2651"/>
      <c r="F66" s="800"/>
      <c r="K66" s="2063"/>
      <c r="O66" s="2410" t="s">
        <v>2633</v>
      </c>
      <c r="P66" s="2411" t="s">
        <v>2663</v>
      </c>
      <c r="Q66" s="2412" t="e">
        <f ca="1">C40+J29</f>
        <v>#N/A</v>
      </c>
      <c r="R66" s="2411" t="s">
        <v>2634</v>
      </c>
    </row>
    <row r="67" spans="1:18" s="2036" customFormat="1" ht="20.25" thickBot="1">
      <c r="A67" s="761" t="s">
        <v>1992</v>
      </c>
      <c r="B67" s="2212" t="s">
        <v>2529</v>
      </c>
      <c r="C67" s="763" t="e">
        <f ca="1">ROUND(C66*(1-((1+F69)/(1+F67))^F68)/(F67-F69),0)</f>
        <v>#N/A</v>
      </c>
      <c r="D67" s="794" t="s">
        <v>740</v>
      </c>
      <c r="E67" s="764" t="s">
        <v>741</v>
      </c>
      <c r="F67" s="774" t="e">
        <f ca="1">F40</f>
        <v>#N/A</v>
      </c>
      <c r="K67" s="2063"/>
      <c r="O67" s="2410" t="s">
        <v>2635</v>
      </c>
      <c r="P67" s="2411" t="s">
        <v>2666</v>
      </c>
      <c r="Q67" s="2412" t="e">
        <f ca="1">L60</f>
        <v>#N/A</v>
      </c>
      <c r="R67" s="2415" t="s">
        <v>2668</v>
      </c>
    </row>
    <row r="68" spans="1:18" ht="21.75" thickBot="1">
      <c r="A68" s="766"/>
      <c r="B68" s="767"/>
      <c r="C68" s="768"/>
      <c r="D68" s="801" t="s">
        <v>2020</v>
      </c>
      <c r="E68" s="764" t="s">
        <v>1996</v>
      </c>
      <c r="F68" s="802" t="e">
        <f ca="1">F41</f>
        <v>#N/A</v>
      </c>
      <c r="O68" s="2413" t="s">
        <v>2637</v>
      </c>
      <c r="P68" s="2411" t="s">
        <v>2667</v>
      </c>
      <c r="Q68" s="2417" t="e">
        <f ca="1">L51</f>
        <v>#N/A</v>
      </c>
      <c r="R68" s="2418" t="s">
        <v>2670</v>
      </c>
    </row>
    <row r="69" spans="1:18" ht="20.25" thickBot="1">
      <c r="A69" s="770"/>
      <c r="B69" s="771"/>
      <c r="C69" s="772"/>
      <c r="D69" s="796"/>
      <c r="E69" s="764" t="s">
        <v>746</v>
      </c>
      <c r="F69" s="2357"/>
      <c r="O69" s="2413" t="s">
        <v>2638</v>
      </c>
      <c r="P69" s="2419" t="s">
        <v>2652</v>
      </c>
      <c r="Q69" s="2412" t="e">
        <f ca="1">ROUND(Q70-Q71*Q72,0)</f>
        <v>#N/A</v>
      </c>
      <c r="R69" s="2415"/>
    </row>
    <row r="70" spans="1:18" ht="15.75" thickBot="1">
      <c r="A70" s="803" t="s">
        <v>1999</v>
      </c>
      <c r="B70" s="804" t="s">
        <v>2023</v>
      </c>
      <c r="C70" s="805" t="e">
        <f ca="1">ROUND(C67*10000/F70,0)</f>
        <v>#N/A</v>
      </c>
      <c r="D70" s="806" t="s">
        <v>2024</v>
      </c>
      <c r="E70" s="807" t="s">
        <v>2025</v>
      </c>
      <c r="F70" s="808" t="e">
        <f ca="1">F43</f>
        <v>#N/A</v>
      </c>
      <c r="O70" s="2413" t="s">
        <v>2653</v>
      </c>
      <c r="P70" s="2419" t="s">
        <v>2654</v>
      </c>
      <c r="Q70" s="2412" t="e">
        <f ca="1">C39</f>
        <v>#N/A</v>
      </c>
      <c r="R70" s="2411" t="s">
        <v>2634</v>
      </c>
    </row>
    <row r="71" spans="1:18" ht="15.75" thickBot="1">
      <c r="O71" s="2413" t="s">
        <v>2655</v>
      </c>
      <c r="P71" s="2419" t="s">
        <v>2656</v>
      </c>
      <c r="Q71" s="2412" t="e">
        <f ca="1">C13</f>
        <v>#N/A</v>
      </c>
      <c r="R71" s="2411" t="s">
        <v>2634</v>
      </c>
    </row>
    <row r="72" spans="1:18" ht="15.75" thickBot="1">
      <c r="O72" s="2413" t="s">
        <v>2657</v>
      </c>
      <c r="P72" s="2419" t="s">
        <v>2658</v>
      </c>
      <c r="Q72" s="2414" t="e">
        <f ca="1">J36</f>
        <v>#N/A</v>
      </c>
      <c r="R72" s="2415"/>
    </row>
    <row r="73" spans="1:18" ht="15.75" thickBot="1">
      <c r="O73" s="2413" t="s">
        <v>2640</v>
      </c>
      <c r="P73" s="2411" t="s">
        <v>2647</v>
      </c>
      <c r="Q73" s="2414">
        <f>L52</f>
        <v>0.04</v>
      </c>
      <c r="R73" s="2415"/>
    </row>
    <row r="74" spans="1:18" ht="20.25" thickBot="1">
      <c r="O74" s="2413" t="s">
        <v>2642</v>
      </c>
      <c r="P74" s="2411" t="s">
        <v>2648</v>
      </c>
      <c r="Q74" s="2412">
        <f ca="1">L58</f>
        <v>0</v>
      </c>
      <c r="R74" s="2415" t="s">
        <v>2649</v>
      </c>
    </row>
    <row r="75" spans="1:18" ht="20.25" thickBot="1">
      <c r="O75" s="2413" t="s">
        <v>2671</v>
      </c>
      <c r="P75" s="2411" t="s">
        <v>2650</v>
      </c>
      <c r="Q75" s="2412">
        <f ca="1">L59</f>
        <v>0</v>
      </c>
      <c r="R75" s="2415" t="s">
        <v>2651</v>
      </c>
    </row>
    <row r="76" spans="1:18" ht="15.75" thickBot="1">
      <c r="O76" s="2410" t="s">
        <v>2645</v>
      </c>
      <c r="P76" s="2411" t="s">
        <v>2662</v>
      </c>
      <c r="Q76" s="2412" t="e">
        <f ca="1">Q66+Q67</f>
        <v>#N/A</v>
      </c>
      <c r="R76" s="2415" t="s">
        <v>2646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0" t="s">
        <v>2736</v>
      </c>
      <c r="B1" s="3491"/>
      <c r="C1" s="3492"/>
      <c r="D1" s="3493">
        <f>SUM(I10,I15,I20,I21,I23)</f>
        <v>0</v>
      </c>
      <c r="E1" s="3493"/>
      <c r="F1" s="3493"/>
      <c r="G1" s="3493"/>
      <c r="H1" s="3493"/>
      <c r="I1" s="3494"/>
    </row>
    <row r="2" spans="1:9">
      <c r="A2" s="3495" t="s">
        <v>2737</v>
      </c>
      <c r="B2" s="3496" t="s">
        <v>2738</v>
      </c>
      <c r="C2" s="3496"/>
      <c r="D2" s="2519" t="s">
        <v>2739</v>
      </c>
      <c r="E2" s="2519" t="s">
        <v>2740</v>
      </c>
      <c r="F2" s="2519" t="s">
        <v>2741</v>
      </c>
      <c r="G2" s="2519" t="s">
        <v>2742</v>
      </c>
      <c r="H2" s="2519" t="s">
        <v>2743</v>
      </c>
      <c r="I2" s="2520" t="s">
        <v>2744</v>
      </c>
    </row>
    <row r="3" spans="1:9">
      <c r="A3" s="3495"/>
      <c r="B3" s="3496" t="s">
        <v>2745</v>
      </c>
      <c r="C3" s="3496"/>
      <c r="D3" s="2521"/>
      <c r="E3" s="2519"/>
      <c r="F3" s="2522"/>
      <c r="G3" s="2522"/>
      <c r="H3" s="2523"/>
      <c r="I3" s="2524">
        <f>ROUND(D3*E3*F3*G3*H3/10000,0)</f>
        <v>0</v>
      </c>
    </row>
    <row r="4" spans="1:9">
      <c r="A4" s="3495"/>
      <c r="B4" s="3496" t="s">
        <v>2746</v>
      </c>
      <c r="C4" s="3496"/>
      <c r="D4" s="2521"/>
      <c r="E4" s="2519"/>
      <c r="F4" s="2522"/>
      <c r="G4" s="2522"/>
      <c r="H4" s="2523"/>
      <c r="I4" s="2524">
        <f t="shared" ref="I4:I9" si="0">ROUND(D4*E4*F4*G4*H4/10000,0)</f>
        <v>0</v>
      </c>
    </row>
    <row r="5" spans="1:9">
      <c r="A5" s="3495"/>
      <c r="B5" s="3496" t="s">
        <v>2747</v>
      </c>
      <c r="C5" s="3496"/>
      <c r="D5" s="2521"/>
      <c r="E5" s="2519"/>
      <c r="F5" s="2522"/>
      <c r="G5" s="2522"/>
      <c r="H5" s="2523"/>
      <c r="I5" s="2524">
        <f t="shared" si="0"/>
        <v>0</v>
      </c>
    </row>
    <row r="6" spans="1:9">
      <c r="A6" s="3495"/>
      <c r="B6" s="3496" t="s">
        <v>2748</v>
      </c>
      <c r="C6" s="3496"/>
      <c r="D6" s="2521"/>
      <c r="E6" s="2519"/>
      <c r="F6" s="2522"/>
      <c r="G6" s="2522"/>
      <c r="H6" s="2523"/>
      <c r="I6" s="2524">
        <f t="shared" si="0"/>
        <v>0</v>
      </c>
    </row>
    <row r="7" spans="1:9">
      <c r="A7" s="3495"/>
      <c r="B7" s="3496" t="s">
        <v>2749</v>
      </c>
      <c r="C7" s="3496"/>
      <c r="D7" s="2521"/>
      <c r="E7" s="2519"/>
      <c r="F7" s="2522"/>
      <c r="G7" s="2522"/>
      <c r="H7" s="2523"/>
      <c r="I7" s="2524">
        <f t="shared" si="0"/>
        <v>0</v>
      </c>
    </row>
    <row r="8" spans="1:9">
      <c r="A8" s="3495"/>
      <c r="B8" s="3496" t="s">
        <v>2750</v>
      </c>
      <c r="C8" s="3496"/>
      <c r="D8" s="2521"/>
      <c r="E8" s="2519"/>
      <c r="F8" s="2522"/>
      <c r="G8" s="2522"/>
      <c r="H8" s="2523"/>
      <c r="I8" s="2524">
        <f t="shared" si="0"/>
        <v>0</v>
      </c>
    </row>
    <row r="9" spans="1:9">
      <c r="A9" s="3495"/>
      <c r="B9" s="3496" t="s">
        <v>2751</v>
      </c>
      <c r="C9" s="3496"/>
      <c r="D9" s="2521"/>
      <c r="E9" s="2519"/>
      <c r="F9" s="2522"/>
      <c r="G9" s="2522"/>
      <c r="H9" s="2523"/>
      <c r="I9" s="2524">
        <f t="shared" si="0"/>
        <v>0</v>
      </c>
    </row>
    <row r="10" spans="1:9">
      <c r="A10" s="3495"/>
      <c r="B10" s="3497" t="s">
        <v>2752</v>
      </c>
      <c r="C10" s="3497"/>
      <c r="D10" s="2525">
        <v>527</v>
      </c>
      <c r="E10" s="2525" t="e">
        <f>ROUND(D1*10000/D10/H9,0)</f>
        <v>#DIV/0!</v>
      </c>
      <c r="F10" s="2526"/>
      <c r="G10" s="2526"/>
      <c r="H10" s="2527"/>
      <c r="I10" s="2528">
        <f>SUM(I3:I9)</f>
        <v>0</v>
      </c>
    </row>
    <row r="11" spans="1:9" ht="14.25">
      <c r="A11" s="3495" t="s">
        <v>2753</v>
      </c>
      <c r="B11" s="3496" t="s">
        <v>2754</v>
      </c>
      <c r="C11" s="3496"/>
      <c r="D11" s="2521" t="s">
        <v>2755</v>
      </c>
      <c r="E11" s="2521" t="s">
        <v>2756</v>
      </c>
      <c r="F11" s="2522" t="s">
        <v>2757</v>
      </c>
      <c r="G11" s="2522" t="s">
        <v>2758</v>
      </c>
      <c r="H11" s="2529" t="s">
        <v>2759</v>
      </c>
      <c r="I11" s="2520" t="s">
        <v>2760</v>
      </c>
    </row>
    <row r="12" spans="1:9">
      <c r="A12" s="3495"/>
      <c r="B12" s="3496" t="s">
        <v>2761</v>
      </c>
      <c r="C12" s="3496"/>
      <c r="D12" s="2521"/>
      <c r="E12" s="2521"/>
      <c r="F12" s="2522"/>
      <c r="G12" s="2523"/>
      <c r="H12" s="2530"/>
      <c r="I12" s="2520">
        <f>ROUND(D12*E12*F12*G12/10000,0)</f>
        <v>0</v>
      </c>
    </row>
    <row r="13" spans="1:9">
      <c r="A13" s="3495"/>
      <c r="B13" s="3496" t="s">
        <v>2762</v>
      </c>
      <c r="C13" s="3496"/>
      <c r="D13" s="2521"/>
      <c r="E13" s="2521"/>
      <c r="F13" s="2522"/>
      <c r="G13" s="2523"/>
      <c r="H13" s="2530"/>
      <c r="I13" s="2520">
        <f>ROUND(D13*E13*F13*G13/10000,0)</f>
        <v>0</v>
      </c>
    </row>
    <row r="14" spans="1:9">
      <c r="A14" s="3495"/>
      <c r="B14" s="3496" t="s">
        <v>2763</v>
      </c>
      <c r="C14" s="3496"/>
      <c r="D14" s="2521"/>
      <c r="E14" s="2521"/>
      <c r="F14" s="2522"/>
      <c r="G14" s="2523"/>
      <c r="H14" s="2530"/>
      <c r="I14" s="2520">
        <f>ROUND(D14*E14*F14*G14/10000,0)</f>
        <v>0</v>
      </c>
    </row>
    <row r="15" spans="1:9">
      <c r="A15" s="3495"/>
      <c r="B15" s="3497" t="s">
        <v>2752</v>
      </c>
      <c r="C15" s="3497"/>
      <c r="D15" s="2525"/>
      <c r="E15" s="2525">
        <f>SUM(E12:E14)</f>
        <v>0</v>
      </c>
      <c r="F15" s="2526"/>
      <c r="G15" s="2523"/>
      <c r="H15" s="2530"/>
      <c r="I15" s="2531">
        <f>SUM(I12:I14)</f>
        <v>0</v>
      </c>
    </row>
    <row r="16" spans="1:9" ht="24">
      <c r="A16" s="3495" t="s">
        <v>2764</v>
      </c>
      <c r="B16" s="3496" t="s">
        <v>2765</v>
      </c>
      <c r="C16" s="3496"/>
      <c r="D16" s="2521" t="s">
        <v>2766</v>
      </c>
      <c r="E16" s="2532" t="s">
        <v>2767</v>
      </c>
      <c r="F16" s="2522" t="s">
        <v>2768</v>
      </c>
      <c r="G16" s="2523" t="s">
        <v>2758</v>
      </c>
      <c r="H16" s="2529" t="s">
        <v>2759</v>
      </c>
      <c r="I16" s="2520" t="s">
        <v>2760</v>
      </c>
    </row>
    <row r="17" spans="1:9" ht="14.25">
      <c r="A17" s="3495"/>
      <c r="B17" s="3496" t="s">
        <v>2769</v>
      </c>
      <c r="C17" s="3496"/>
      <c r="D17" s="2521"/>
      <c r="E17" s="2521"/>
      <c r="F17" s="2522"/>
      <c r="G17" s="2523"/>
      <c r="H17" s="2533"/>
      <c r="I17" s="2534">
        <f>ROUND(D17*E17*F17*G17/10000,0)</f>
        <v>0</v>
      </c>
    </row>
    <row r="18" spans="1:9" ht="14.25">
      <c r="A18" s="3495"/>
      <c r="B18" s="3496" t="s">
        <v>2770</v>
      </c>
      <c r="C18" s="3496"/>
      <c r="D18" s="2521"/>
      <c r="E18" s="2521"/>
      <c r="F18" s="2522"/>
      <c r="G18" s="2523"/>
      <c r="H18" s="2533"/>
      <c r="I18" s="2534">
        <f>ROUND(D18*E18*F18*G18/10000,0)</f>
        <v>0</v>
      </c>
    </row>
    <row r="19" spans="1:9" ht="14.25">
      <c r="A19" s="3495"/>
      <c r="B19" s="3496" t="s">
        <v>2771</v>
      </c>
      <c r="C19" s="3496"/>
      <c r="D19" s="2521"/>
      <c r="E19" s="2521"/>
      <c r="F19" s="2522"/>
      <c r="G19" s="2523"/>
      <c r="H19" s="2533"/>
      <c r="I19" s="2534">
        <f>ROUND(D19*E19*F19*G19/10000,0)</f>
        <v>0</v>
      </c>
    </row>
    <row r="20" spans="1:9">
      <c r="A20" s="3495"/>
      <c r="B20" s="3497" t="s">
        <v>2752</v>
      </c>
      <c r="C20" s="3497"/>
      <c r="D20" s="2525">
        <f>SUM(D17:D19)</f>
        <v>0</v>
      </c>
      <c r="E20" s="2525"/>
      <c r="F20" s="2526"/>
      <c r="G20" s="2523"/>
      <c r="H20" s="2530"/>
      <c r="I20" s="2531">
        <f>SUM(I17:I19)</f>
        <v>0</v>
      </c>
    </row>
    <row r="21" spans="1:9">
      <c r="A21" s="3495" t="s">
        <v>2772</v>
      </c>
      <c r="B21" s="3499"/>
      <c r="C21" s="3499"/>
      <c r="D21" s="3499"/>
      <c r="E21" s="3499"/>
      <c r="F21" s="3499"/>
      <c r="G21" s="3499"/>
      <c r="H21" s="2535">
        <v>0.1</v>
      </c>
      <c r="I21" s="2528">
        <f>ROUND(I10*H21,0)</f>
        <v>0</v>
      </c>
    </row>
    <row r="22" spans="1:9" ht="14.25">
      <c r="A22" s="3500" t="s">
        <v>2773</v>
      </c>
      <c r="B22" s="3501"/>
      <c r="C22" s="3502"/>
      <c r="D22" s="2536" t="s">
        <v>2774</v>
      </c>
      <c r="E22" s="2536" t="s">
        <v>2775</v>
      </c>
      <c r="F22" s="2537" t="s">
        <v>2776</v>
      </c>
      <c r="G22" s="2537" t="s">
        <v>2777</v>
      </c>
      <c r="H22" s="2529" t="s">
        <v>2778</v>
      </c>
      <c r="I22" s="2520" t="s">
        <v>2779</v>
      </c>
    </row>
    <row r="23" spans="1:9" ht="14.25" thickBot="1">
      <c r="A23" s="3503"/>
      <c r="B23" s="3504"/>
      <c r="C23" s="3505"/>
      <c r="D23" s="2538"/>
      <c r="E23" s="2538"/>
      <c r="F23" s="2538"/>
      <c r="G23" s="2539"/>
      <c r="H23" s="2540"/>
      <c r="I23" s="2541">
        <f>ROUND(E23*D23*F23*(1-G23)/10000,0)</f>
        <v>0</v>
      </c>
    </row>
    <row r="26" spans="1:9">
      <c r="A26" s="2542" t="s">
        <v>2780</v>
      </c>
      <c r="B26" s="2542"/>
      <c r="C26" s="2542"/>
      <c r="D26" s="2542"/>
      <c r="E26" s="3506">
        <f>C27-C30-C31-C32</f>
        <v>0</v>
      </c>
      <c r="F26" s="3506"/>
      <c r="G26" s="3506"/>
      <c r="H26" s="3045" t="s">
        <v>3130</v>
      </c>
    </row>
    <row r="27" spans="1:9">
      <c r="A27" s="2543">
        <v>1</v>
      </c>
      <c r="B27" s="2544" t="s">
        <v>2781</v>
      </c>
      <c r="C27" s="2544"/>
      <c r="D27" s="2544"/>
      <c r="E27" s="3507"/>
      <c r="F27" s="3507"/>
      <c r="G27" s="3507"/>
    </row>
    <row r="28" spans="1:9">
      <c r="A28" s="2545" t="s">
        <v>2782</v>
      </c>
      <c r="B28" s="2544" t="s">
        <v>2783</v>
      </c>
      <c r="C28" s="2544"/>
      <c r="D28" s="2544"/>
      <c r="E28" s="3507"/>
      <c r="F28" s="3507"/>
      <c r="G28" s="3507"/>
    </row>
    <row r="29" spans="1:9">
      <c r="A29" s="2545" t="s">
        <v>2784</v>
      </c>
      <c r="B29" s="2544" t="s">
        <v>2723</v>
      </c>
      <c r="C29" s="2544"/>
      <c r="D29" s="2544"/>
      <c r="E29" s="2544" t="s">
        <v>2785</v>
      </c>
      <c r="F29" s="2544"/>
      <c r="G29" s="2544"/>
    </row>
    <row r="30" spans="1:9">
      <c r="A30" s="2543">
        <v>2</v>
      </c>
      <c r="B30" s="2544" t="s">
        <v>2786</v>
      </c>
      <c r="C30" s="2544">
        <f>C27*D30</f>
        <v>0</v>
      </c>
      <c r="D30" s="2546">
        <v>0.2</v>
      </c>
      <c r="E30" s="2544" t="s">
        <v>2787</v>
      </c>
      <c r="F30" s="2544"/>
      <c r="G30" s="2544"/>
    </row>
    <row r="31" spans="1:9">
      <c r="A31" s="2543">
        <v>3</v>
      </c>
      <c r="B31" s="2544" t="s">
        <v>2788</v>
      </c>
      <c r="C31" s="2544">
        <f>C25*D31</f>
        <v>0</v>
      </c>
      <c r="D31" s="2546">
        <v>0.15</v>
      </c>
      <c r="E31" s="2544" t="s">
        <v>2789</v>
      </c>
      <c r="F31" s="2544"/>
      <c r="G31" s="2544"/>
    </row>
    <row r="32" spans="1:9">
      <c r="A32" s="2543">
        <v>4</v>
      </c>
      <c r="B32" s="2544" t="s">
        <v>2790</v>
      </c>
      <c r="C32" s="2544">
        <f>C27*D32</f>
        <v>0</v>
      </c>
      <c r="D32" s="2546">
        <v>0.05</v>
      </c>
      <c r="E32" s="3498"/>
      <c r="F32" s="3498"/>
      <c r="G32" s="3498"/>
    </row>
    <row r="33" spans="1:7" hidden="1">
      <c r="A33" s="3508" t="s">
        <v>2791</v>
      </c>
      <c r="B33" s="3509"/>
      <c r="C33" s="3509"/>
      <c r="D33" s="3510"/>
      <c r="E33" s="3506"/>
      <c r="F33" s="3506"/>
      <c r="G33" s="3506"/>
    </row>
    <row r="34" spans="1:7" hidden="1">
      <c r="A34" s="2547">
        <v>1</v>
      </c>
      <c r="B34" s="2544" t="s">
        <v>2792</v>
      </c>
      <c r="C34" s="2544"/>
      <c r="D34" s="2544"/>
      <c r="E34" s="3507"/>
      <c r="F34" s="3507"/>
      <c r="G34" s="3507"/>
    </row>
    <row r="35" spans="1:7" hidden="1">
      <c r="A35" s="2547">
        <v>2</v>
      </c>
      <c r="B35" s="2544" t="s">
        <v>2793</v>
      </c>
      <c r="C35" s="2544"/>
      <c r="D35" s="2544"/>
      <c r="E35" s="3507"/>
      <c r="F35" s="3507"/>
      <c r="G35" s="3507"/>
    </row>
    <row r="36" spans="1:7" hidden="1">
      <c r="A36" s="2547">
        <v>3</v>
      </c>
      <c r="B36" s="2544" t="s">
        <v>2794</v>
      </c>
      <c r="C36" s="2544"/>
      <c r="D36" s="2544"/>
      <c r="E36" s="3507"/>
      <c r="F36" s="3507"/>
      <c r="G36" s="3507"/>
    </row>
    <row r="37" spans="1:7" hidden="1">
      <c r="A37" s="2547">
        <v>4</v>
      </c>
      <c r="B37" s="2544" t="s">
        <v>2795</v>
      </c>
      <c r="C37" s="2544"/>
      <c r="D37" s="2544"/>
      <c r="E37" s="3507"/>
      <c r="F37" s="3507"/>
      <c r="G37" s="3507"/>
    </row>
    <row r="38" spans="1:7" hidden="1">
      <c r="A38" s="3508" t="s">
        <v>2796</v>
      </c>
      <c r="B38" s="3509"/>
      <c r="C38" s="3509"/>
      <c r="D38" s="3510"/>
      <c r="E38" s="3506"/>
      <c r="F38" s="3506"/>
      <c r="G38" s="35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6" customFormat="1" ht="20.25">
      <c r="A1" s="401" t="s">
        <v>638</v>
      </c>
      <c r="B1" s="722"/>
      <c r="C1" s="2162"/>
      <c r="D1" s="2162"/>
      <c r="E1" s="2162"/>
      <c r="F1" s="2162"/>
      <c r="G1" s="2088"/>
    </row>
    <row r="2" spans="1:25" s="2036" customFormat="1" ht="18" customHeight="1">
      <c r="A2" s="403" t="s">
        <v>450</v>
      </c>
      <c r="B2" s="405">
        <f ca="1">C23</f>
        <v>2838</v>
      </c>
      <c r="C2" s="2088"/>
      <c r="D2" s="2088"/>
      <c r="E2" s="2088"/>
      <c r="F2" s="2088"/>
      <c r="G2" s="2088"/>
    </row>
    <row r="3" spans="1:25" s="2036" customFormat="1" ht="18" customHeight="1">
      <c r="A3" s="1360" t="s">
        <v>1894</v>
      </c>
      <c r="B3" s="405">
        <f ca="1">ROUND(B2*10000/'数据-汇总表'!E3,0)</f>
        <v>56</v>
      </c>
      <c r="C3" s="2088"/>
      <c r="D3" s="2088"/>
      <c r="E3" s="2088"/>
      <c r="F3" s="2088"/>
      <c r="G3" s="2088"/>
    </row>
    <row r="4" spans="1:25" s="2036" customFormat="1" ht="18" customHeight="1">
      <c r="A4" s="406" t="s">
        <v>451</v>
      </c>
      <c r="B4" s="407">
        <f ca="1">ROUND(B2*10000/'数据-汇总表'!D3,0)</f>
        <v>249</v>
      </c>
      <c r="C4" s="2038"/>
      <c r="D4" s="2088"/>
      <c r="E4" s="2088"/>
      <c r="F4" s="2088"/>
      <c r="G4" s="2088"/>
    </row>
    <row r="5" spans="1:25" s="2036" customFormat="1" ht="18" customHeight="1" thickBot="1">
      <c r="A5" s="409"/>
      <c r="B5" s="410">
        <f ca="1">ROUND(B2/('数据-汇总表'!D3/666.67),0)</f>
        <v>17</v>
      </c>
      <c r="C5" s="411" t="s">
        <v>452</v>
      </c>
      <c r="D5" s="2088"/>
      <c r="E5" s="2088"/>
      <c r="F5" s="2088"/>
      <c r="G5" s="2088"/>
    </row>
    <row r="6" spans="1:25" s="2163" customFormat="1" ht="13.5" customHeight="1">
      <c r="A6" s="723"/>
      <c r="B6" s="724" t="s">
        <v>639</v>
      </c>
      <c r="C6" s="725" t="s">
        <v>640</v>
      </c>
      <c r="D6" s="725" t="s">
        <v>641</v>
      </c>
      <c r="E6" s="726" t="s">
        <v>642</v>
      </c>
      <c r="F6" s="726" t="s">
        <v>643</v>
      </c>
      <c r="G6" s="727"/>
    </row>
    <row r="7" spans="1:25" s="2163" customFormat="1" ht="13.5" customHeight="1">
      <c r="A7" s="2481">
        <v>1</v>
      </c>
      <c r="B7" s="728" t="s">
        <v>644</v>
      </c>
      <c r="C7" s="729">
        <f>C8+C9</f>
        <v>0</v>
      </c>
      <c r="D7" s="729"/>
      <c r="E7" s="730"/>
      <c r="F7" s="730"/>
      <c r="G7" s="2491" t="s">
        <v>2593</v>
      </c>
    </row>
    <row r="8" spans="1:25" s="2163" customFormat="1" ht="13.5" customHeight="1">
      <c r="A8" s="2481" t="s">
        <v>2702</v>
      </c>
      <c r="B8" s="2484" t="s">
        <v>2704</v>
      </c>
      <c r="C8" s="2485"/>
      <c r="D8" s="729"/>
      <c r="E8" s="730"/>
      <c r="F8" s="730"/>
      <c r="G8" s="731"/>
    </row>
    <row r="9" spans="1:25" s="2163" customFormat="1" ht="13.5" customHeight="1">
      <c r="A9" s="2481" t="s">
        <v>2703</v>
      </c>
      <c r="B9" s="2484" t="s">
        <v>2705</v>
      </c>
      <c r="C9" s="2485"/>
      <c r="D9" s="729"/>
      <c r="E9" s="730"/>
      <c r="F9" s="730"/>
      <c r="G9" s="731"/>
    </row>
    <row r="10" spans="1:25" s="2163" customFormat="1" ht="36">
      <c r="A10" s="2481">
        <v>2</v>
      </c>
      <c r="B10" s="728" t="s">
        <v>648</v>
      </c>
      <c r="C10" s="729">
        <f>C11+C14+C15</f>
        <v>2425</v>
      </c>
      <c r="D10" s="740">
        <f>'数据-汇总表'!E3</f>
        <v>507462.25</v>
      </c>
      <c r="E10" s="729">
        <f>'数据-取费表'!B34</f>
        <v>200</v>
      </c>
      <c r="F10" s="741"/>
      <c r="G10" s="739" t="s">
        <v>649</v>
      </c>
    </row>
    <row r="11" spans="1:25" s="2163" customFormat="1" ht="13.5" customHeight="1">
      <c r="A11" s="2481" t="s">
        <v>2702</v>
      </c>
      <c r="B11" s="732" t="s">
        <v>645</v>
      </c>
      <c r="C11" s="733">
        <f>'数据-取费表'!B32</f>
        <v>2425</v>
      </c>
      <c r="D11" s="734"/>
      <c r="E11" s="733"/>
      <c r="F11" s="735"/>
      <c r="G11" s="2490" t="s">
        <v>2713</v>
      </c>
    </row>
    <row r="12" spans="1:25" s="2163" customFormat="1" ht="13.5" customHeight="1">
      <c r="A12" s="2488" t="s">
        <v>2710</v>
      </c>
      <c r="B12" s="736" t="s">
        <v>646</v>
      </c>
      <c r="C12" s="737">
        <f>ROUND(D12*E12/10000,0)</f>
        <v>3540</v>
      </c>
      <c r="D12" s="738">
        <f>'数据-汇总表'!E5</f>
        <v>236022.38</v>
      </c>
      <c r="E12" s="737">
        <f>'数据-取费表'!B30</f>
        <v>150</v>
      </c>
      <c r="F12" s="735"/>
      <c r="G12" s="739"/>
    </row>
    <row r="13" spans="1:25" s="2163" customFormat="1" ht="13.5" customHeight="1">
      <c r="A13" s="2488" t="s">
        <v>2709</v>
      </c>
      <c r="B13" s="736" t="s">
        <v>647</v>
      </c>
      <c r="C13" s="737">
        <f>ROUND(D13*E13/10000,0)</f>
        <v>5157</v>
      </c>
      <c r="D13" s="738">
        <f>'数据-汇总表'!E6</f>
        <v>271439.87</v>
      </c>
      <c r="E13" s="737">
        <f>'数据-取费表'!B31</f>
        <v>190</v>
      </c>
      <c r="F13" s="735"/>
      <c r="G13" s="739"/>
    </row>
    <row r="14" spans="1:25" s="2163" customFormat="1" ht="13.5" customHeight="1">
      <c r="A14" s="2481" t="s">
        <v>2703</v>
      </c>
      <c r="B14" s="2487" t="s">
        <v>2706</v>
      </c>
      <c r="C14" s="2485"/>
      <c r="D14" s="738"/>
      <c r="E14" s="737"/>
      <c r="F14" s="2486"/>
      <c r="G14" s="2489" t="s">
        <v>2711</v>
      </c>
    </row>
    <row r="15" spans="1:25" s="2163" customFormat="1" ht="13.5" customHeight="1">
      <c r="A15" s="2481" t="s">
        <v>2708</v>
      </c>
      <c r="B15" s="2487" t="s">
        <v>2707</v>
      </c>
      <c r="C15" s="2485"/>
      <c r="D15" s="738"/>
      <c r="E15" s="737"/>
      <c r="F15" s="2486"/>
      <c r="G15" s="2489" t="s">
        <v>2712</v>
      </c>
    </row>
    <row r="16" spans="1:25" s="2164" customFormat="1" ht="48">
      <c r="A16" s="2481">
        <v>3</v>
      </c>
      <c r="B16" s="728" t="s">
        <v>650</v>
      </c>
      <c r="C16" s="2485"/>
      <c r="D16" s="740"/>
      <c r="E16" s="729"/>
      <c r="F16" s="741"/>
      <c r="G16" s="739" t="s">
        <v>2714</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82">
        <v>4</v>
      </c>
      <c r="B17" s="728" t="s">
        <v>651</v>
      </c>
      <c r="C17" s="2585">
        <f ca="1">ROUND(IF('数据-取费表'!B22&lt;=1,((C7+C16)*'数据-取费表'!B22+C10*'数据-取费表'!B22/2)*F17,((C7+C16)*(POWER((1+F17),'数据-取费表'!B22)-1)+C10*(POWER((1+F17),'数据-取费表'!B22/2)-1))),0)</f>
        <v>0</v>
      </c>
      <c r="D17" s="742"/>
      <c r="E17" s="743"/>
      <c r="F17" s="744">
        <f ca="1">存贷款利率!E3</f>
        <v>0</v>
      </c>
      <c r="G17" s="745" t="str">
        <f>IF('数据-取费表'!B22&lt;=1,"((１＋３)×土地开发期+２×(土地开发期÷２))×利率","((１＋３)×((1+利率)^土地开发期-1)+２×((1+利率)^(土地开发期÷２)-1)")</f>
        <v>((１＋３)×土地开发期+２×(土地开发期÷２))×利率</v>
      </c>
      <c r="H17" s="2493"/>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82">
        <v>5</v>
      </c>
      <c r="B18" s="728" t="s">
        <v>652</v>
      </c>
      <c r="C18" s="729">
        <f>ROUND((C7+C10+C16)*F18,0)</f>
        <v>364</v>
      </c>
      <c r="D18" s="742"/>
      <c r="E18" s="743"/>
      <c r="F18" s="741">
        <f>'数据-取费表'!Q19</f>
        <v>0.15</v>
      </c>
      <c r="G18" s="745" t="s">
        <v>653</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81">
        <v>6</v>
      </c>
      <c r="B19" s="728" t="s">
        <v>654</v>
      </c>
      <c r="C19" s="729">
        <f ca="1">C7+C10+C16+C17+C18</f>
        <v>2789</v>
      </c>
      <c r="D19" s="740"/>
      <c r="E19" s="729"/>
      <c r="F19" s="741"/>
      <c r="G19" s="745" t="s">
        <v>655</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81">
        <v>7</v>
      </c>
      <c r="B20" s="728" t="s">
        <v>656</v>
      </c>
      <c r="C20" s="729">
        <f ca="1">ROUND(C19*F20,0)</f>
        <v>279</v>
      </c>
      <c r="D20" s="740"/>
      <c r="E20" s="729"/>
      <c r="F20" s="1334">
        <v>0.1</v>
      </c>
      <c r="G20" s="745" t="s">
        <v>657</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81">
        <v>8</v>
      </c>
      <c r="B21" s="728" t="s">
        <v>658</v>
      </c>
      <c r="C21" s="729">
        <f ca="1">C19+C20</f>
        <v>3068</v>
      </c>
      <c r="D21" s="740"/>
      <c r="E21" s="729"/>
      <c r="F21" s="741"/>
      <c r="G21" s="745" t="s">
        <v>659</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81">
        <v>9</v>
      </c>
      <c r="B22" s="728" t="s">
        <v>660</v>
      </c>
      <c r="C22" s="729">
        <f ca="1">ROUND(C21*F22,0)</f>
        <v>2838</v>
      </c>
      <c r="D22" s="740"/>
      <c r="E22" s="729"/>
      <c r="F22" s="746">
        <f>'数据-取费表'!AP19</f>
        <v>0.92500000000000004</v>
      </c>
      <c r="G22" s="745" t="s">
        <v>661</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83">
        <v>10</v>
      </c>
      <c r="B23" s="747" t="s">
        <v>662</v>
      </c>
      <c r="C23" s="748">
        <f ca="1">C22</f>
        <v>2838</v>
      </c>
      <c r="D23" s="749"/>
      <c r="E23" s="748"/>
      <c r="F23" s="750"/>
      <c r="G23" s="751"/>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47" sqref="E47:J47"/>
    </sheetView>
  </sheetViews>
  <sheetFormatPr defaultRowHeight="14.25"/>
  <cols>
    <col min="1" max="1" width="10.5" style="1322" customWidth="1"/>
    <col min="2" max="2" width="15.75" style="1322" customWidth="1"/>
    <col min="3" max="3" width="15.12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82" t="s">
        <v>755</v>
      </c>
      <c r="B1" s="2636" t="s">
        <v>756</v>
      </c>
      <c r="C1" s="2637" t="s">
        <v>757</v>
      </c>
      <c r="D1" s="2638" t="s">
        <v>3285</v>
      </c>
      <c r="E1" s="2639"/>
      <c r="F1" s="2825" t="s">
        <v>2843</v>
      </c>
      <c r="G1" s="1582" t="s">
        <v>758</v>
      </c>
      <c r="H1" s="486"/>
      <c r="I1" s="486"/>
      <c r="J1" s="486"/>
      <c r="K1" s="487"/>
      <c r="L1" s="1543"/>
      <c r="M1" s="1544"/>
      <c r="N1" s="1544"/>
      <c r="O1" s="1544"/>
      <c r="P1" s="1545"/>
      <c r="Q1" s="1545"/>
      <c r="R1" s="1545"/>
      <c r="S1" s="1545"/>
      <c r="T1" s="1545"/>
      <c r="U1" s="1545"/>
      <c r="V1" s="1545"/>
      <c r="W1" s="1545"/>
      <c r="X1" s="1545"/>
      <c r="Y1" s="1545"/>
      <c r="Z1" s="1545"/>
      <c r="AA1" s="1545"/>
      <c r="AB1" s="1545"/>
      <c r="AC1" s="1546"/>
    </row>
    <row r="2" spans="1:29" s="1348" customFormat="1" ht="28.5" customHeight="1">
      <c r="A2" s="403" t="s">
        <v>450</v>
      </c>
      <c r="B2" s="2635">
        <f>ROUND(B3*D3/10000,0)</f>
        <v>607650</v>
      </c>
      <c r="C2" s="2107"/>
      <c r="D2" s="2107"/>
      <c r="E2" s="2107"/>
      <c r="F2" s="2181"/>
      <c r="G2" s="2107"/>
      <c r="H2" s="2107"/>
      <c r="I2" s="2107"/>
      <c r="J2" s="2107"/>
      <c r="K2" s="2182"/>
      <c r="L2" s="2183"/>
      <c r="M2" s="2184"/>
      <c r="N2" s="2184"/>
      <c r="O2" s="2184"/>
      <c r="P2" s="1583"/>
      <c r="Q2" s="1583"/>
      <c r="R2" s="1583"/>
      <c r="S2" s="1583"/>
      <c r="T2" s="1583"/>
      <c r="U2" s="1583"/>
      <c r="V2" s="1583"/>
      <c r="W2" s="1583"/>
      <c r="X2" s="1583"/>
      <c r="Y2" s="1583"/>
      <c r="Z2" s="1583"/>
      <c r="AA2" s="1583"/>
      <c r="AB2" s="1583"/>
      <c r="AC2" s="1584"/>
    </row>
    <row r="3" spans="1:29" s="1348" customFormat="1" ht="28.5" customHeight="1" thickBot="1">
      <c r="A3" s="489" t="s">
        <v>503</v>
      </c>
      <c r="B3" s="831">
        <f>C49</f>
        <v>63747</v>
      </c>
      <c r="C3" s="832" t="s">
        <v>759</v>
      </c>
      <c r="D3" s="831">
        <f>SUMIF('数据-汇总表'!$C19:$C36,D1,'数据-汇总表'!$E19:$E36)</f>
        <v>95322.06</v>
      </c>
      <c r="E3" s="2107"/>
      <c r="F3" s="2181"/>
      <c r="G3" s="2107"/>
      <c r="H3" s="2107"/>
      <c r="I3" s="2107"/>
      <c r="J3" s="2107"/>
      <c r="K3" s="2182"/>
      <c r="L3" s="2183"/>
      <c r="M3" s="2184"/>
      <c r="N3" s="2184"/>
      <c r="O3" s="2184"/>
      <c r="P3" s="1583"/>
      <c r="Q3" s="1583"/>
      <c r="R3" s="1583"/>
      <c r="S3" s="1583"/>
      <c r="T3" s="1583"/>
      <c r="U3" s="1583"/>
      <c r="V3" s="1583"/>
      <c r="W3" s="1583"/>
      <c r="X3" s="1583"/>
      <c r="Y3" s="1583"/>
      <c r="Z3" s="1583"/>
      <c r="AA3" s="1583"/>
      <c r="AB3" s="1583"/>
      <c r="AC3" s="1585"/>
    </row>
    <row r="4" spans="1:29" ht="15">
      <c r="A4" s="492" t="s">
        <v>505</v>
      </c>
      <c r="B4" s="493"/>
      <c r="C4" s="3402" t="s">
        <v>506</v>
      </c>
      <c r="D4" s="3403"/>
      <c r="E4" s="3444" t="s">
        <v>507</v>
      </c>
      <c r="F4" s="3445"/>
      <c r="G4" s="3402" t="s">
        <v>508</v>
      </c>
      <c r="H4" s="3403"/>
      <c r="I4" s="3402" t="s">
        <v>509</v>
      </c>
      <c r="J4" s="3403"/>
      <c r="K4" s="833" t="s">
        <v>510</v>
      </c>
      <c r="L4" s="2113"/>
      <c r="M4" s="2114"/>
      <c r="N4" s="2114"/>
      <c r="O4" s="2114"/>
      <c r="P4" s="3404" t="s">
        <v>511</v>
      </c>
      <c r="Q4" s="3405"/>
      <c r="R4" s="3410" t="s">
        <v>507</v>
      </c>
      <c r="S4" s="3411"/>
      <c r="T4" s="3410" t="s">
        <v>508</v>
      </c>
      <c r="U4" s="3411"/>
      <c r="V4" s="3397" t="s">
        <v>509</v>
      </c>
      <c r="W4" s="3397"/>
      <c r="X4" s="1548"/>
      <c r="Y4" s="3410" t="s">
        <v>511</v>
      </c>
      <c r="Z4" s="3411"/>
      <c r="AA4" s="3399" t="s">
        <v>507</v>
      </c>
      <c r="AB4" s="3399" t="s">
        <v>508</v>
      </c>
      <c r="AC4" s="3399" t="s">
        <v>509</v>
      </c>
    </row>
    <row r="5" spans="1:29" ht="15">
      <c r="A5" s="495"/>
      <c r="B5" s="496"/>
      <c r="C5" s="3418" t="str">
        <f>'[1]比较法-住宅、综合'!C7:D7</f>
        <v>昌平区南邵镇0303-07地块</v>
      </c>
      <c r="D5" s="3419"/>
      <c r="E5" s="3518" t="s">
        <v>3310</v>
      </c>
      <c r="F5" s="3519"/>
      <c r="G5" s="3515" t="s">
        <v>3333</v>
      </c>
      <c r="H5" s="3419"/>
      <c r="I5" s="3420" t="s">
        <v>3311</v>
      </c>
      <c r="J5" s="3421"/>
      <c r="K5" s="834"/>
      <c r="L5" s="2113"/>
      <c r="M5" s="2114"/>
      <c r="N5" s="2114"/>
      <c r="O5" s="2114"/>
      <c r="P5" s="3406"/>
      <c r="Q5" s="3407"/>
      <c r="R5" s="3412"/>
      <c r="S5" s="3413"/>
      <c r="T5" s="3412"/>
      <c r="U5" s="3413"/>
      <c r="V5" s="3397"/>
      <c r="W5" s="3397"/>
      <c r="X5" s="1548"/>
      <c r="Y5" s="3412"/>
      <c r="Z5" s="3413"/>
      <c r="AA5" s="3400"/>
      <c r="AB5" s="3400"/>
      <c r="AC5" s="3400"/>
    </row>
    <row r="6" spans="1:29" ht="15.75" thickBot="1">
      <c r="A6" s="497"/>
      <c r="B6" s="498"/>
      <c r="C6" s="3418" t="str">
        <f>'[1]比较法-住宅、综合'!C8:D8</f>
        <v>昌平区南邵镇（中关村科技园昌平园东区二期）0303-07地块住宅混合公建用地（配建“限价商品住房”）</v>
      </c>
      <c r="D6" s="3419"/>
      <c r="E6" s="3516" t="s">
        <v>3312</v>
      </c>
      <c r="F6" s="3517"/>
      <c r="G6" s="3514" t="s">
        <v>3334</v>
      </c>
      <c r="H6" s="3417"/>
      <c r="I6" s="3514" t="s">
        <v>3313</v>
      </c>
      <c r="J6" s="3417"/>
      <c r="K6" s="834" t="s">
        <v>517</v>
      </c>
      <c r="L6" s="2113"/>
      <c r="M6" s="2114"/>
      <c r="N6" s="2114"/>
      <c r="O6" s="2114"/>
      <c r="P6" s="3408"/>
      <c r="Q6" s="3409"/>
      <c r="R6" s="3412"/>
      <c r="S6" s="3413"/>
      <c r="T6" s="3414"/>
      <c r="U6" s="3415"/>
      <c r="V6" s="3397"/>
      <c r="W6" s="3397"/>
      <c r="X6" s="1548"/>
      <c r="Y6" s="3414"/>
      <c r="Z6" s="3415"/>
      <c r="AA6" s="3401"/>
      <c r="AB6" s="3401"/>
      <c r="AC6" s="3401"/>
    </row>
    <row r="7" spans="1:29" s="1199" customFormat="1" ht="15.75" thickBot="1">
      <c r="A7" s="2929"/>
      <c r="B7" s="2936" t="s">
        <v>518</v>
      </c>
      <c r="C7" s="499">
        <f>'数据-取费表'!B2</f>
        <v>42898</v>
      </c>
      <c r="D7" s="500">
        <v>100</v>
      </c>
      <c r="E7" s="3183">
        <f>C7</f>
        <v>42898</v>
      </c>
      <c r="F7" s="502">
        <f>SUMIF(58:58,YEAR(E7)&amp;"-"&amp;MONTH(E7),59:59)</f>
        <v>100</v>
      </c>
      <c r="G7" s="3183">
        <f>E7</f>
        <v>42898</v>
      </c>
      <c r="H7" s="500">
        <f>SUMIF(58:58,YEAR(G7)&amp;"-"&amp;MONTH(G7),59:59)</f>
        <v>100</v>
      </c>
      <c r="I7" s="3183">
        <f>E7</f>
        <v>42898</v>
      </c>
      <c r="J7" s="500">
        <f>SUMIF(58:58,YEAR(I7)&amp;"-"&amp;MONTH(I7),59:59)</f>
        <v>100</v>
      </c>
      <c r="K7" s="835"/>
      <c r="L7" s="2115"/>
      <c r="M7" s="2116"/>
      <c r="N7" s="2116"/>
      <c r="O7" s="2116"/>
      <c r="P7" s="3431" t="s">
        <v>519</v>
      </c>
      <c r="Q7" s="3433"/>
      <c r="R7" s="1549" t="s">
        <v>12</v>
      </c>
      <c r="S7" s="1550">
        <f t="shared" ref="S7:S15" si="0">F7</f>
        <v>100</v>
      </c>
      <c r="T7" s="1549" t="s">
        <v>12</v>
      </c>
      <c r="U7" s="1550">
        <f t="shared" ref="U7:U15" si="1">H7</f>
        <v>100</v>
      </c>
      <c r="V7" s="1549" t="s">
        <v>12</v>
      </c>
      <c r="W7" s="1550">
        <f t="shared" ref="W7:W15" si="2">J7</f>
        <v>100</v>
      </c>
      <c r="X7" s="1551"/>
      <c r="Y7" s="3431" t="s">
        <v>519</v>
      </c>
      <c r="Z7" s="3432"/>
      <c r="AA7" s="1552">
        <f>D7/F7</f>
        <v>1</v>
      </c>
      <c r="AB7" s="1552">
        <f>D7/H7</f>
        <v>1</v>
      </c>
      <c r="AC7" s="1552">
        <f>D7/J7</f>
        <v>1</v>
      </c>
    </row>
    <row r="8" spans="1:29" s="1199" customFormat="1" ht="15.75" thickBot="1">
      <c r="A8" s="2930"/>
      <c r="B8" s="2937" t="s">
        <v>520</v>
      </c>
      <c r="C8" s="3144" t="s">
        <v>3314</v>
      </c>
      <c r="D8" s="500">
        <v>100</v>
      </c>
      <c r="E8" s="3138" t="s">
        <v>3314</v>
      </c>
      <c r="F8" s="502">
        <f>SUMIF(61:61,E8,62:62)-SUMIF(61:61,C8,62:62)+100</f>
        <v>100</v>
      </c>
      <c r="G8" s="3144" t="s">
        <v>3314</v>
      </c>
      <c r="H8" s="500">
        <f>SUMIF(61:61,G8,62:62)-SUMIF(61:61,C8,62:62)+100</f>
        <v>100</v>
      </c>
      <c r="I8" s="3138" t="s">
        <v>3314</v>
      </c>
      <c r="J8" s="500">
        <f>SUMIF(61:61,I8,62:62)-SUMIF(61:61,C8,62:62)+100</f>
        <v>100</v>
      </c>
      <c r="K8" s="835"/>
      <c r="L8" s="2115"/>
      <c r="M8" s="2116"/>
      <c r="N8" s="2116"/>
      <c r="O8" s="2116"/>
      <c r="P8" s="3431" t="s">
        <v>522</v>
      </c>
      <c r="Q8" s="3432"/>
      <c r="R8" s="1549" t="s">
        <v>12</v>
      </c>
      <c r="S8" s="1550">
        <f t="shared" si="0"/>
        <v>100</v>
      </c>
      <c r="T8" s="1549" t="s">
        <v>12</v>
      </c>
      <c r="U8" s="1550">
        <f t="shared" si="1"/>
        <v>100</v>
      </c>
      <c r="V8" s="1549" t="s">
        <v>12</v>
      </c>
      <c r="W8" s="1550">
        <f t="shared" si="2"/>
        <v>100</v>
      </c>
      <c r="X8" s="1551"/>
      <c r="Y8" s="3431" t="s">
        <v>522</v>
      </c>
      <c r="Z8" s="3432"/>
      <c r="AA8" s="1552">
        <f t="shared" ref="AA8:AA46" si="3">D8/F8</f>
        <v>1</v>
      </c>
      <c r="AB8" s="1552">
        <f t="shared" ref="AB8:AB46" si="4">D8/H8</f>
        <v>1</v>
      </c>
      <c r="AC8" s="1552">
        <f t="shared" ref="AC8:AC46" si="5">D8/J8</f>
        <v>1</v>
      </c>
    </row>
    <row r="9" spans="1:29" s="1199" customFormat="1" ht="15">
      <c r="A9" s="2931"/>
      <c r="B9" s="2938" t="s">
        <v>3039</v>
      </c>
      <c r="C9" s="837" t="s">
        <v>760</v>
      </c>
      <c r="D9" s="231">
        <v>100</v>
      </c>
      <c r="E9" s="3184" t="s">
        <v>760</v>
      </c>
      <c r="F9" s="839">
        <f>SUMIF(63:63,E9,64:64)-SUMIF(63:63,C9,64:64)+100</f>
        <v>100</v>
      </c>
      <c r="G9" s="3191" t="s">
        <v>3323</v>
      </c>
      <c r="H9" s="231">
        <f>SUMIF(63:63,G9,64:64)-SUMIF(63:63,C9,64:64)+100</f>
        <v>100</v>
      </c>
      <c r="I9" s="3191" t="s">
        <v>3323</v>
      </c>
      <c r="J9" s="231">
        <f>SUMIF(63:63,I9,64:64)-SUMIF(63:63,C9,64:64)+100</f>
        <v>100</v>
      </c>
      <c r="K9" s="835"/>
      <c r="L9" s="2115"/>
      <c r="M9" s="2116"/>
      <c r="N9" s="2116"/>
      <c r="O9" s="2117"/>
      <c r="P9" s="3396" t="s">
        <v>524</v>
      </c>
      <c r="Q9" s="1130" t="str">
        <f t="shared" ref="Q9:Q15" si="6">B9</f>
        <v>用途</v>
      </c>
      <c r="R9" s="1549" t="s">
        <v>8</v>
      </c>
      <c r="S9" s="1550">
        <f t="shared" si="0"/>
        <v>100</v>
      </c>
      <c r="T9" s="1549" t="s">
        <v>8</v>
      </c>
      <c r="U9" s="1550">
        <f t="shared" si="1"/>
        <v>100</v>
      </c>
      <c r="V9" s="1549" t="s">
        <v>8</v>
      </c>
      <c r="W9" s="1550">
        <f t="shared" si="2"/>
        <v>100</v>
      </c>
      <c r="X9" s="1551"/>
      <c r="Y9" s="3343" t="s">
        <v>525</v>
      </c>
      <c r="Z9" s="1129" t="str">
        <f t="shared" ref="Z9:Z15" si="7">Q9</f>
        <v>用途</v>
      </c>
      <c r="AA9" s="1552">
        <f t="shared" si="3"/>
        <v>1</v>
      </c>
      <c r="AB9" s="1552">
        <f t="shared" si="4"/>
        <v>1</v>
      </c>
      <c r="AC9" s="1552">
        <f t="shared" si="5"/>
        <v>1</v>
      </c>
    </row>
    <row r="10" spans="1:29" s="1323" customFormat="1" ht="27">
      <c r="A10" s="2932"/>
      <c r="B10" s="2937" t="s">
        <v>3040</v>
      </c>
      <c r="C10" s="3181" t="s">
        <v>762</v>
      </c>
      <c r="D10" s="232">
        <v>100</v>
      </c>
      <c r="E10" s="3185" t="s">
        <v>762</v>
      </c>
      <c r="F10" s="843">
        <f>SUMIF(65:65,E10,66:66)-SUMIF(65:65,C10,66:66)+100</f>
        <v>100</v>
      </c>
      <c r="G10" s="3181" t="s">
        <v>762</v>
      </c>
      <c r="H10" s="232">
        <f>SUMIF(65:65,G10,66:66)-SUMIF(65:65,C10,66:66)+100</f>
        <v>100</v>
      </c>
      <c r="I10" s="3181" t="s">
        <v>762</v>
      </c>
      <c r="J10" s="232">
        <f>SUMIF(65:65,I10,66:66)-SUMIF(65:65,C10,66:66)+100</f>
        <v>100</v>
      </c>
      <c r="K10" s="844">
        <v>2</v>
      </c>
      <c r="L10" s="2118"/>
      <c r="M10" s="2158"/>
      <c r="N10" s="2158"/>
      <c r="O10" s="2119"/>
      <c r="P10" s="3396"/>
      <c r="Q10" s="1130" t="str">
        <f t="shared" si="6"/>
        <v>土地使用年限（年）</v>
      </c>
      <c r="R10" s="1549" t="s">
        <v>8</v>
      </c>
      <c r="S10" s="1550">
        <f t="shared" si="0"/>
        <v>100</v>
      </c>
      <c r="T10" s="1549" t="s">
        <v>8</v>
      </c>
      <c r="U10" s="1550">
        <f t="shared" si="1"/>
        <v>100</v>
      </c>
      <c r="V10" s="1549" t="s">
        <v>8</v>
      </c>
      <c r="W10" s="1550">
        <f t="shared" si="2"/>
        <v>100</v>
      </c>
      <c r="X10" s="1551"/>
      <c r="Y10" s="3343"/>
      <c r="Z10" s="1129" t="str">
        <f t="shared" si="7"/>
        <v>土地使用年限（年）</v>
      </c>
      <c r="AA10" s="1552">
        <f t="shared" si="3"/>
        <v>1</v>
      </c>
      <c r="AB10" s="1552">
        <f t="shared" si="4"/>
        <v>1</v>
      </c>
      <c r="AC10" s="1552">
        <f t="shared" si="5"/>
        <v>1</v>
      </c>
    </row>
    <row r="11" spans="1:29" ht="15">
      <c r="A11" s="2933"/>
      <c r="B11" s="2937" t="s">
        <v>3041</v>
      </c>
      <c r="C11" s="513">
        <f>'数据-汇总表'!I7</f>
        <v>4.45</v>
      </c>
      <c r="D11" s="232">
        <v>100</v>
      </c>
      <c r="E11" s="514">
        <v>1.52</v>
      </c>
      <c r="F11" s="843">
        <f>LOOKUP(E11,68:68,69:69)-LOOKUP(C11,68:68,69:69)+100</f>
        <v>103</v>
      </c>
      <c r="G11" s="513">
        <v>1.67</v>
      </c>
      <c r="H11" s="232">
        <f>LOOKUP(G11,68:68,69:69)-LOOKUP(C11,68:68,69:69)+100</f>
        <v>103</v>
      </c>
      <c r="I11" s="513">
        <v>1.55</v>
      </c>
      <c r="J11" s="232">
        <f>LOOKUP(I11,68:68,69:69)-LOOKUP(C11,68:68,69:69)+100</f>
        <v>103</v>
      </c>
      <c r="K11" s="844">
        <f>'[1]比较法-住宅、综合'!K13</f>
        <v>1</v>
      </c>
      <c r="L11" s="2120"/>
      <c r="M11" s="2114"/>
      <c r="N11" s="2114"/>
      <c r="O11" s="2121"/>
      <c r="P11" s="3396"/>
      <c r="Q11" s="1130" t="str">
        <f t="shared" si="6"/>
        <v>容积率</v>
      </c>
      <c r="R11" s="1549" t="s">
        <v>11</v>
      </c>
      <c r="S11" s="1550">
        <f t="shared" si="0"/>
        <v>103</v>
      </c>
      <c r="T11" s="1549" t="s">
        <v>11</v>
      </c>
      <c r="U11" s="1550">
        <f t="shared" si="1"/>
        <v>103</v>
      </c>
      <c r="V11" s="1549" t="s">
        <v>11</v>
      </c>
      <c r="W11" s="1550">
        <f t="shared" si="2"/>
        <v>103</v>
      </c>
      <c r="X11" s="1551"/>
      <c r="Y11" s="3343"/>
      <c r="Z11" s="1129" t="str">
        <f t="shared" si="7"/>
        <v>容积率</v>
      </c>
      <c r="AA11" s="1552">
        <f t="shared" si="3"/>
        <v>0.970873786407767</v>
      </c>
      <c r="AB11" s="1552">
        <f t="shared" si="4"/>
        <v>0.970873786407767</v>
      </c>
      <c r="AC11" s="1552">
        <f t="shared" si="5"/>
        <v>0.970873786407767</v>
      </c>
    </row>
    <row r="12" spans="1:29" s="1199" customFormat="1" ht="15">
      <c r="A12" s="2934"/>
      <c r="B12" s="2940"/>
      <c r="C12" s="508"/>
      <c r="D12" s="518">
        <v>100</v>
      </c>
      <c r="E12" s="508"/>
      <c r="F12" s="843">
        <f>SUMIF(70:70,E12,71:71)-SUMIF(70:70,C12,71:71)+100</f>
        <v>100</v>
      </c>
      <c r="G12" s="508"/>
      <c r="H12" s="232">
        <f>SUMIF(70:70,G12,71:71)-SUMIF(70:70,C12,71:71)+100</f>
        <v>100</v>
      </c>
      <c r="I12" s="508"/>
      <c r="J12" s="232">
        <f>SUMIF(70:70,I12,71:71)-SUMIF(70:70,C12,71:71)+100</f>
        <v>100</v>
      </c>
      <c r="K12" s="845"/>
      <c r="L12" s="2115"/>
      <c r="M12" s="2116"/>
      <c r="N12" s="2116"/>
      <c r="O12" s="2117"/>
      <c r="P12" s="3396"/>
      <c r="Q12" s="1130">
        <f t="shared" si="6"/>
        <v>0</v>
      </c>
      <c r="R12" s="1549" t="s">
        <v>11</v>
      </c>
      <c r="S12" s="1550">
        <f t="shared" si="0"/>
        <v>100</v>
      </c>
      <c r="T12" s="1549" t="s">
        <v>11</v>
      </c>
      <c r="U12" s="1550">
        <f t="shared" si="1"/>
        <v>100</v>
      </c>
      <c r="V12" s="1549" t="s">
        <v>11</v>
      </c>
      <c r="W12" s="1550">
        <f t="shared" si="2"/>
        <v>100</v>
      </c>
      <c r="X12" s="1551"/>
      <c r="Y12" s="3343"/>
      <c r="Z12" s="1129">
        <f t="shared" si="7"/>
        <v>0</v>
      </c>
      <c r="AA12" s="1552">
        <f>D12/F12</f>
        <v>1</v>
      </c>
      <c r="AB12" s="1552">
        <f>D12/H12</f>
        <v>1</v>
      </c>
      <c r="AC12" s="1552">
        <f>D12/J12</f>
        <v>1</v>
      </c>
    </row>
    <row r="13" spans="1:29" ht="15">
      <c r="A13" s="2934"/>
      <c r="B13" s="2940"/>
      <c r="C13" s="519"/>
      <c r="D13" s="520">
        <v>100</v>
      </c>
      <c r="E13" s="519"/>
      <c r="F13" s="843">
        <f>SUMIF(72:72,E13,73:73)-SUMIF(72:72,C13,73:73)+100</f>
        <v>100</v>
      </c>
      <c r="G13" s="519"/>
      <c r="H13" s="520">
        <f>SUMIF(72:72,G13,73:73)-SUMIF(72:72,C13,73:73)+100</f>
        <v>100</v>
      </c>
      <c r="I13" s="519"/>
      <c r="J13" s="520">
        <f>SUMIF(72:72,I13,73:73)-SUMIF(72:72,C13,73:73)+100</f>
        <v>100</v>
      </c>
      <c r="K13" s="845"/>
      <c r="L13" s="2122"/>
      <c r="M13" s="2114"/>
      <c r="N13" s="2114"/>
      <c r="O13" s="2121"/>
      <c r="P13" s="3396"/>
      <c r="Q13" s="1130">
        <f t="shared" si="6"/>
        <v>0</v>
      </c>
      <c r="R13" s="1549" t="s">
        <v>11</v>
      </c>
      <c r="S13" s="1550">
        <f t="shared" si="0"/>
        <v>100</v>
      </c>
      <c r="T13" s="1549" t="s">
        <v>11</v>
      </c>
      <c r="U13" s="1550">
        <f t="shared" si="1"/>
        <v>100</v>
      </c>
      <c r="V13" s="1549" t="s">
        <v>11</v>
      </c>
      <c r="W13" s="1550">
        <f t="shared" si="2"/>
        <v>100</v>
      </c>
      <c r="X13" s="1551"/>
      <c r="Y13" s="3343"/>
      <c r="Z13" s="1129">
        <f t="shared" si="7"/>
        <v>0</v>
      </c>
      <c r="AA13" s="1552">
        <f t="shared" si="3"/>
        <v>1</v>
      </c>
      <c r="AB13" s="1552">
        <f t="shared" si="4"/>
        <v>1</v>
      </c>
      <c r="AC13" s="1552">
        <f t="shared" si="5"/>
        <v>1</v>
      </c>
    </row>
    <row r="14" spans="1:29" ht="15.75" thickBot="1">
      <c r="A14" s="2935"/>
      <c r="B14" s="2941"/>
      <c r="C14" s="525"/>
      <c r="D14" s="526">
        <v>100</v>
      </c>
      <c r="E14" s="525"/>
      <c r="F14" s="846">
        <f>SUMIF(74:74,E14,75:75)-SUMIF(74:74,C14,75:75)+100</f>
        <v>100</v>
      </c>
      <c r="G14" s="525"/>
      <c r="H14" s="526">
        <f>SUMIF(74:74,G14,75:75)-SUMIF(74:74,C14,75:75)+100</f>
        <v>100</v>
      </c>
      <c r="I14" s="525"/>
      <c r="J14" s="526">
        <f>SUMIF(74:74,I14,75:75)-SUMIF(74:74,C14,75:75)+100</f>
        <v>100</v>
      </c>
      <c r="K14" s="845"/>
      <c r="L14" s="2122"/>
      <c r="M14" s="2114"/>
      <c r="N14" s="2114"/>
      <c r="O14" s="2121"/>
      <c r="P14" s="3396"/>
      <c r="Q14" s="1130">
        <f t="shared" si="6"/>
        <v>0</v>
      </c>
      <c r="R14" s="1549" t="s">
        <v>11</v>
      </c>
      <c r="S14" s="1550">
        <f t="shared" si="0"/>
        <v>100</v>
      </c>
      <c r="T14" s="1549" t="s">
        <v>11</v>
      </c>
      <c r="U14" s="1550">
        <f t="shared" si="1"/>
        <v>100</v>
      </c>
      <c r="V14" s="1549" t="s">
        <v>11</v>
      </c>
      <c r="W14" s="1550">
        <f t="shared" si="2"/>
        <v>100</v>
      </c>
      <c r="X14" s="1551"/>
      <c r="Y14" s="3343"/>
      <c r="Z14" s="1129">
        <f t="shared" si="7"/>
        <v>0</v>
      </c>
      <c r="AA14" s="1552">
        <f t="shared" si="3"/>
        <v>1</v>
      </c>
      <c r="AB14" s="1552">
        <f t="shared" si="4"/>
        <v>1</v>
      </c>
      <c r="AC14" s="1552">
        <f t="shared" si="5"/>
        <v>1</v>
      </c>
    </row>
    <row r="15" spans="1:29" ht="156" customHeight="1">
      <c r="A15" s="2927" t="s">
        <v>3037</v>
      </c>
      <c r="B15" s="157" t="s">
        <v>278</v>
      </c>
      <c r="C15" s="847" t="str">
        <f>估价对象房地状况!C3</f>
        <v>估价对象周边居住用地比例合宜，周边有路劲世界城和北京风景等住宅小区、居住规模较大，社区发展完善程度较好，综合评价居住社区成熟度较好</v>
      </c>
      <c r="D15" s="529">
        <v>100</v>
      </c>
      <c r="E15" s="3150" t="s">
        <v>3319</v>
      </c>
      <c r="F15" s="531">
        <f>SUMIF(76:76,E16,77:77)-SUMIF(76:76,C16,77:77)+100</f>
        <v>100</v>
      </c>
      <c r="G15" s="3150" t="s">
        <v>3327</v>
      </c>
      <c r="H15" s="529">
        <f>SUMIF(76:76,G16,77:77)-SUMIF(76:76,C16,77:77)+100</f>
        <v>95</v>
      </c>
      <c r="I15" s="3150" t="s">
        <v>3327</v>
      </c>
      <c r="J15" s="529">
        <f>SUMIF(76:76,I16,77:77)-SUMIF(76:76,C16,77:77)+100</f>
        <v>95</v>
      </c>
      <c r="K15" s="848">
        <v>5</v>
      </c>
      <c r="L15" s="2122"/>
      <c r="M15" s="2114"/>
      <c r="N15" s="2114"/>
      <c r="O15" s="2121"/>
      <c r="P15" s="3434" t="s">
        <v>529</v>
      </c>
      <c r="Q15" s="1553" t="str">
        <f t="shared" si="6"/>
        <v>居住社区成熟度</v>
      </c>
      <c r="R15" s="1554" t="s">
        <v>11</v>
      </c>
      <c r="S15" s="1555">
        <f t="shared" si="0"/>
        <v>100</v>
      </c>
      <c r="T15" s="1554" t="s">
        <v>11</v>
      </c>
      <c r="U15" s="1555">
        <f t="shared" si="1"/>
        <v>95</v>
      </c>
      <c r="V15" s="1554" t="s">
        <v>11</v>
      </c>
      <c r="W15" s="1555">
        <f t="shared" si="2"/>
        <v>95</v>
      </c>
      <c r="X15" s="1548"/>
      <c r="Y15" s="3434" t="s">
        <v>529</v>
      </c>
      <c r="Z15" s="1556" t="str">
        <f t="shared" si="7"/>
        <v>居住社区成熟度</v>
      </c>
      <c r="AA15" s="1557">
        <f t="shared" si="3"/>
        <v>1</v>
      </c>
      <c r="AB15" s="1557">
        <f t="shared" si="4"/>
        <v>1.0526315789473684</v>
      </c>
      <c r="AC15" s="1557">
        <f t="shared" si="5"/>
        <v>1.0526315789473684</v>
      </c>
    </row>
    <row r="16" spans="1:29" ht="15">
      <c r="A16" s="512"/>
      <c r="B16" s="849"/>
      <c r="C16" s="556" t="s">
        <v>1072</v>
      </c>
      <c r="D16" s="535"/>
      <c r="E16" s="534" t="s">
        <v>531</v>
      </c>
      <c r="F16" s="537"/>
      <c r="G16" s="534" t="s">
        <v>1073</v>
      </c>
      <c r="H16" s="539"/>
      <c r="I16" s="534" t="s">
        <v>1073</v>
      </c>
      <c r="J16" s="535"/>
      <c r="K16" s="850"/>
      <c r="L16" s="2122"/>
      <c r="M16" s="2114"/>
      <c r="N16" s="2114"/>
      <c r="O16" s="2121"/>
      <c r="P16" s="3435"/>
      <c r="Q16" s="1553"/>
      <c r="R16" s="1554"/>
      <c r="S16" s="1555"/>
      <c r="T16" s="1554"/>
      <c r="U16" s="1555"/>
      <c r="V16" s="1554"/>
      <c r="W16" s="1555"/>
      <c r="X16" s="1548"/>
      <c r="Y16" s="3435"/>
      <c r="Z16" s="1556"/>
      <c r="AA16" s="1557">
        <v>1</v>
      </c>
      <c r="AB16" s="1557">
        <v>1</v>
      </c>
      <c r="AC16" s="1557">
        <v>1</v>
      </c>
    </row>
    <row r="17" spans="1:29" ht="128.25">
      <c r="A17" s="512"/>
      <c r="B17" s="851" t="s">
        <v>279</v>
      </c>
      <c r="C17" s="852" t="str">
        <f>估价对象房地状况!C6</f>
        <v>估价对象周边有326、643等公交线路、紧邻昌平线，公共交通通达情况；项目自身有停车位、停车便捷程度较好，综合评价交通便捷度较好</v>
      </c>
      <c r="D17" s="539">
        <v>100</v>
      </c>
      <c r="E17" s="3151" t="s">
        <v>3320</v>
      </c>
      <c r="F17" s="543">
        <f>SUMIF(78:78,E18,79:79)-SUMIF(78:78,C18,79:79)+100</f>
        <v>100</v>
      </c>
      <c r="G17" s="3151" t="s">
        <v>3328</v>
      </c>
      <c r="H17" s="545">
        <f>SUMIF(78:78,G18,79:79)-SUMIF(78:78,C18,79:79)+100</f>
        <v>100</v>
      </c>
      <c r="I17" s="3151" t="s">
        <v>3328</v>
      </c>
      <c r="J17" s="545">
        <f>SUMIF(78:78,I18,79:79)-SUMIF(78:78,C18,79:79)+100</f>
        <v>100</v>
      </c>
      <c r="K17" s="848">
        <v>2</v>
      </c>
      <c r="L17" s="2122"/>
      <c r="M17" s="2114"/>
      <c r="N17" s="2114"/>
      <c r="O17" s="2121"/>
      <c r="P17" s="3435"/>
      <c r="Q17" s="1553" t="str">
        <f>B17</f>
        <v>交通便捷度</v>
      </c>
      <c r="R17" s="1554" t="s">
        <v>11</v>
      </c>
      <c r="S17" s="1555">
        <f>F17</f>
        <v>100</v>
      </c>
      <c r="T17" s="1554" t="s">
        <v>11</v>
      </c>
      <c r="U17" s="1555">
        <f>H17</f>
        <v>100</v>
      </c>
      <c r="V17" s="1554" t="s">
        <v>11</v>
      </c>
      <c r="W17" s="1555">
        <f>J17</f>
        <v>100</v>
      </c>
      <c r="X17" s="1548"/>
      <c r="Y17" s="3435"/>
      <c r="Z17" s="1556" t="str">
        <f>Q17</f>
        <v>交通便捷度</v>
      </c>
      <c r="AA17" s="1557">
        <f t="shared" si="3"/>
        <v>1</v>
      </c>
      <c r="AB17" s="1557">
        <f t="shared" si="4"/>
        <v>1</v>
      </c>
      <c r="AC17" s="1557">
        <f t="shared" si="5"/>
        <v>1</v>
      </c>
    </row>
    <row r="18" spans="1:29" ht="15">
      <c r="A18" s="512"/>
      <c r="B18" s="575"/>
      <c r="C18" s="853" t="s">
        <v>1072</v>
      </c>
      <c r="D18" s="539"/>
      <c r="E18" s="547" t="s">
        <v>531</v>
      </c>
      <c r="F18" s="543"/>
      <c r="G18" s="547" t="s">
        <v>1072</v>
      </c>
      <c r="H18" s="535"/>
      <c r="I18" s="547" t="s">
        <v>1072</v>
      </c>
      <c r="J18" s="535"/>
      <c r="K18" s="850"/>
      <c r="L18" s="2122"/>
      <c r="M18" s="2114"/>
      <c r="N18" s="2114"/>
      <c r="O18" s="2121"/>
      <c r="P18" s="3435"/>
      <c r="Q18" s="1553"/>
      <c r="R18" s="1554"/>
      <c r="S18" s="1555"/>
      <c r="T18" s="1554"/>
      <c r="U18" s="1555"/>
      <c r="V18" s="1554"/>
      <c r="W18" s="1555"/>
      <c r="X18" s="1548"/>
      <c r="Y18" s="3435"/>
      <c r="Z18" s="1556"/>
      <c r="AA18" s="1557">
        <v>1</v>
      </c>
      <c r="AB18" s="1557">
        <v>1</v>
      </c>
      <c r="AC18" s="1557">
        <v>1</v>
      </c>
    </row>
    <row r="19" spans="1:29" ht="42.75">
      <c r="A19" s="512"/>
      <c r="B19" s="2613" t="s">
        <v>2813</v>
      </c>
      <c r="C19" s="852" t="str">
        <f>估价对象房地状况!C7</f>
        <v>估价对象所在区域公共配套设施较齐备；</v>
      </c>
      <c r="D19" s="545">
        <v>100</v>
      </c>
      <c r="E19" s="571" t="s">
        <v>3263</v>
      </c>
      <c r="F19" s="551">
        <f>SUMIF(80:80,E20,81:81)-SUMIF(80:80,C20,81:81)+100</f>
        <v>100</v>
      </c>
      <c r="G19" s="571" t="s">
        <v>3263</v>
      </c>
      <c r="H19" s="539">
        <f>SUMIF(80:80,G20,81:81)-SUMIF(80:80,C20,81:81)+100</f>
        <v>100</v>
      </c>
      <c r="I19" s="571" t="s">
        <v>3263</v>
      </c>
      <c r="J19" s="539">
        <f>SUMIF(80:80,I20,81:81)-SUMIF(80:80,C20,81:81)+100</f>
        <v>100</v>
      </c>
      <c r="K19" s="848">
        <v>2</v>
      </c>
      <c r="L19" s="2122"/>
      <c r="M19" s="2114"/>
      <c r="N19" s="2114"/>
      <c r="O19" s="2121"/>
      <c r="P19" s="3435"/>
      <c r="Q19" s="1553" t="str">
        <f>B19</f>
        <v>公共配套设施</v>
      </c>
      <c r="R19" s="1554" t="s">
        <v>11</v>
      </c>
      <c r="S19" s="1555">
        <f>F19</f>
        <v>100</v>
      </c>
      <c r="T19" s="1554" t="s">
        <v>11</v>
      </c>
      <c r="U19" s="1555">
        <f>H19</f>
        <v>100</v>
      </c>
      <c r="V19" s="1554" t="s">
        <v>11</v>
      </c>
      <c r="W19" s="1555">
        <f>J19</f>
        <v>100</v>
      </c>
      <c r="X19" s="1548"/>
      <c r="Y19" s="3435"/>
      <c r="Z19" s="1556" t="str">
        <f>Q19</f>
        <v>公共配套设施</v>
      </c>
      <c r="AA19" s="1557">
        <f t="shared" si="3"/>
        <v>1</v>
      </c>
      <c r="AB19" s="1557">
        <f t="shared" si="4"/>
        <v>1</v>
      </c>
      <c r="AC19" s="1557">
        <f t="shared" si="5"/>
        <v>1</v>
      </c>
    </row>
    <row r="20" spans="1:29" ht="15">
      <c r="A20" s="512"/>
      <c r="B20" s="575"/>
      <c r="C20" s="556" t="s">
        <v>531</v>
      </c>
      <c r="D20" s="535"/>
      <c r="E20" s="534" t="s">
        <v>1072</v>
      </c>
      <c r="F20" s="537"/>
      <c r="G20" s="534" t="s">
        <v>531</v>
      </c>
      <c r="H20" s="535"/>
      <c r="I20" s="534" t="s">
        <v>531</v>
      </c>
      <c r="J20" s="535"/>
      <c r="K20" s="850"/>
      <c r="L20" s="2122"/>
      <c r="M20" s="2114"/>
      <c r="N20" s="2114"/>
      <c r="O20" s="2121"/>
      <c r="P20" s="3435"/>
      <c r="Q20" s="1553"/>
      <c r="R20" s="1554"/>
      <c r="S20" s="1555"/>
      <c r="T20" s="1554"/>
      <c r="U20" s="1555"/>
      <c r="V20" s="1554"/>
      <c r="W20" s="1555"/>
      <c r="X20" s="1548"/>
      <c r="Y20" s="3435"/>
      <c r="Z20" s="1556"/>
      <c r="AA20" s="1557">
        <v>1</v>
      </c>
      <c r="AB20" s="1557">
        <v>1</v>
      </c>
      <c r="AC20" s="1557">
        <v>1</v>
      </c>
    </row>
    <row r="21" spans="1:29" ht="28.5">
      <c r="A21" s="512"/>
      <c r="B21" s="2606" t="s">
        <v>2827</v>
      </c>
      <c r="C21" s="852" t="str">
        <f>估价对象房地状况!C8</f>
        <v>基础设施水平七通一平</v>
      </c>
      <c r="D21" s="545">
        <v>100</v>
      </c>
      <c r="E21" s="3169" t="s">
        <v>3264</v>
      </c>
      <c r="F21" s="551">
        <f>SUMIF(82:82,E22,83:83)-SUMIF(82:82,C22,83:83)+100</f>
        <v>100</v>
      </c>
      <c r="G21" s="571" t="s">
        <v>3264</v>
      </c>
      <c r="H21" s="545">
        <f>SUMIF(82:82,G22,83:83)-SUMIF(82:82,C22,83:83)+100</f>
        <v>100</v>
      </c>
      <c r="I21" s="571" t="s">
        <v>3264</v>
      </c>
      <c r="J21" s="545">
        <f>SUMIF(82:82,I22,83:83)-SUMIF(82:82,C22,83:83)+100</f>
        <v>100</v>
      </c>
      <c r="K21" s="848">
        <v>1</v>
      </c>
      <c r="L21" s="2122"/>
      <c r="M21" s="2114"/>
      <c r="N21" s="2114"/>
      <c r="O21" s="2121"/>
      <c r="P21" s="3435"/>
      <c r="Q21" s="2591" t="str">
        <f>B21</f>
        <v>基础设施水平</v>
      </c>
      <c r="R21" s="1554" t="s">
        <v>11</v>
      </c>
      <c r="S21" s="1555">
        <f>F21</f>
        <v>100</v>
      </c>
      <c r="T21" s="1554" t="s">
        <v>11</v>
      </c>
      <c r="U21" s="1555">
        <f>H21</f>
        <v>100</v>
      </c>
      <c r="V21" s="1554" t="s">
        <v>11</v>
      </c>
      <c r="W21" s="1555">
        <f>J21</f>
        <v>100</v>
      </c>
      <c r="X21" s="2593"/>
      <c r="Y21" s="3435"/>
      <c r="Z21" s="2592" t="str">
        <f>Q21</f>
        <v>基础设施水平</v>
      </c>
      <c r="AA21" s="1557">
        <f t="shared" ref="AA21" si="8">D21/F21</f>
        <v>1</v>
      </c>
      <c r="AB21" s="1557">
        <f t="shared" ref="AB21" si="9">D21/H21</f>
        <v>1</v>
      </c>
      <c r="AC21" s="1557">
        <f t="shared" ref="AC21" si="10">D21/J21</f>
        <v>1</v>
      </c>
    </row>
    <row r="22" spans="1:29" ht="15">
      <c r="A22" s="512"/>
      <c r="B22" s="901"/>
      <c r="C22" s="853" t="s">
        <v>2805</v>
      </c>
      <c r="D22" s="535"/>
      <c r="E22" s="556" t="s">
        <v>2805</v>
      </c>
      <c r="F22" s="537"/>
      <c r="G22" s="556" t="s">
        <v>2805</v>
      </c>
      <c r="H22" s="535"/>
      <c r="I22" s="556" t="s">
        <v>2805</v>
      </c>
      <c r="J22" s="535"/>
      <c r="K22" s="2612"/>
      <c r="L22" s="2122"/>
      <c r="M22" s="2114"/>
      <c r="N22" s="2114"/>
      <c r="O22" s="2121"/>
      <c r="P22" s="3435"/>
      <c r="Q22" s="2591"/>
      <c r="R22" s="1554"/>
      <c r="S22" s="1555"/>
      <c r="T22" s="1554"/>
      <c r="U22" s="1555"/>
      <c r="V22" s="1554"/>
      <c r="W22" s="1555"/>
      <c r="X22" s="2593"/>
      <c r="Y22" s="3435"/>
      <c r="Z22" s="2592"/>
      <c r="AA22" s="1557">
        <v>1</v>
      </c>
      <c r="AB22" s="1557">
        <v>1</v>
      </c>
      <c r="AC22" s="1557">
        <v>1</v>
      </c>
    </row>
    <row r="23" spans="1:29" ht="71.25">
      <c r="A23" s="512"/>
      <c r="B23" s="851" t="s">
        <v>280</v>
      </c>
      <c r="C23" s="852" t="str">
        <f>估价对象房地状况!C9</f>
        <v>区域自然环境：白浮泉公园等；人文环境：无；综合评价环境状况一般</v>
      </c>
      <c r="D23" s="539">
        <v>100</v>
      </c>
      <c r="E23" s="3151" t="s">
        <v>3251</v>
      </c>
      <c r="F23" s="543">
        <f>SUMIF(84:84,E24,85:85)-SUMIF(84:84,C24,85:85)+100</f>
        <v>100</v>
      </c>
      <c r="G23" s="3153" t="s">
        <v>3329</v>
      </c>
      <c r="H23" s="539">
        <f>SUMIF(84:84,G24,85:85)-SUMIF(84:84,C24,85:85)+100</f>
        <v>102</v>
      </c>
      <c r="I23" s="3153" t="s">
        <v>3329</v>
      </c>
      <c r="J23" s="539">
        <f>SUMIF(84:84,I24,85:85)-SUMIF(84:84,C24,85:85)+100</f>
        <v>102</v>
      </c>
      <c r="K23" s="848">
        <v>2</v>
      </c>
      <c r="L23" s="2122"/>
      <c r="M23" s="2114"/>
      <c r="N23" s="2114"/>
      <c r="O23" s="2121"/>
      <c r="P23" s="3435"/>
      <c r="Q23" s="1553" t="str">
        <f>B23</f>
        <v>自然及人文环境</v>
      </c>
      <c r="R23" s="1554" t="s">
        <v>11</v>
      </c>
      <c r="S23" s="1555">
        <f>F23</f>
        <v>100</v>
      </c>
      <c r="T23" s="1554" t="s">
        <v>11</v>
      </c>
      <c r="U23" s="1555">
        <f>H23</f>
        <v>102</v>
      </c>
      <c r="V23" s="1554" t="s">
        <v>11</v>
      </c>
      <c r="W23" s="1555">
        <f>J23</f>
        <v>102</v>
      </c>
      <c r="X23" s="1548"/>
      <c r="Y23" s="3435"/>
      <c r="Z23" s="1556" t="str">
        <f>Q23</f>
        <v>自然及人文环境</v>
      </c>
      <c r="AA23" s="1557">
        <f t="shared" si="3"/>
        <v>1</v>
      </c>
      <c r="AB23" s="1557">
        <f t="shared" si="4"/>
        <v>0.98039215686274506</v>
      </c>
      <c r="AC23" s="1557">
        <f t="shared" si="5"/>
        <v>0.98039215686274506</v>
      </c>
    </row>
    <row r="24" spans="1:29" ht="15">
      <c r="A24" s="512"/>
      <c r="B24" s="575"/>
      <c r="C24" s="556" t="s">
        <v>530</v>
      </c>
      <c r="D24" s="535"/>
      <c r="E24" s="534" t="s">
        <v>1073</v>
      </c>
      <c r="F24" s="537"/>
      <c r="G24" s="534" t="s">
        <v>1072</v>
      </c>
      <c r="H24" s="535"/>
      <c r="I24" s="534" t="s">
        <v>1072</v>
      </c>
      <c r="J24" s="535"/>
      <c r="K24" s="850"/>
      <c r="L24" s="2122"/>
      <c r="M24" s="2114"/>
      <c r="N24" s="2114"/>
      <c r="O24" s="2121"/>
      <c r="P24" s="3435"/>
      <c r="Q24" s="1553"/>
      <c r="R24" s="1554"/>
      <c r="S24" s="1555"/>
      <c r="T24" s="1554"/>
      <c r="U24" s="1555"/>
      <c r="V24" s="1554"/>
      <c r="W24" s="1555"/>
      <c r="X24" s="1548"/>
      <c r="Y24" s="3435"/>
      <c r="Z24" s="1556"/>
      <c r="AA24" s="1557">
        <v>1</v>
      </c>
      <c r="AB24" s="1557">
        <v>1</v>
      </c>
      <c r="AC24" s="1557">
        <v>1</v>
      </c>
    </row>
    <row r="25" spans="1:29" ht="15">
      <c r="A25" s="512"/>
      <c r="B25" s="1870" t="s">
        <v>2484</v>
      </c>
      <c r="C25" s="554"/>
      <c r="D25" s="520">
        <v>100</v>
      </c>
      <c r="E25" s="3186"/>
      <c r="F25" s="555">
        <f>SUMIF(86:86,E25,87:87)-SUMIF(86:86,C25,87:87)+100</f>
        <v>100</v>
      </c>
      <c r="G25" s="554"/>
      <c r="H25" s="520">
        <f>SUMIF(86:86,G25,87:87)-SUMIF(86:86,C25,87:87)+100</f>
        <v>100</v>
      </c>
      <c r="I25" s="3186"/>
      <c r="J25" s="520">
        <f>SUMIF(86:86,I25,87:87)-SUMIF(86:86,C25,87:87)+100</f>
        <v>100</v>
      </c>
      <c r="K25" s="844"/>
      <c r="L25" s="2122"/>
      <c r="M25" s="2114"/>
      <c r="N25" s="2114"/>
      <c r="O25" s="2121"/>
      <c r="P25" s="3435"/>
      <c r="Q25" s="1553" t="str">
        <f t="shared" ref="Q25:Q46" si="11">B25</f>
        <v>楼层-1</v>
      </c>
      <c r="R25" s="1554" t="s">
        <v>11</v>
      </c>
      <c r="S25" s="1555">
        <f>F25</f>
        <v>100</v>
      </c>
      <c r="T25" s="1554" t="s">
        <v>11</v>
      </c>
      <c r="U25" s="1555">
        <f>H25</f>
        <v>100</v>
      </c>
      <c r="V25" s="1554" t="s">
        <v>11</v>
      </c>
      <c r="W25" s="1555">
        <f>J25</f>
        <v>100</v>
      </c>
      <c r="X25" s="1548"/>
      <c r="Y25" s="3435"/>
      <c r="Z25" s="1556" t="str">
        <f>Q25</f>
        <v>楼层-1</v>
      </c>
      <c r="AA25" s="1557">
        <f t="shared" si="3"/>
        <v>1</v>
      </c>
      <c r="AB25" s="1557">
        <f t="shared" si="4"/>
        <v>1</v>
      </c>
      <c r="AC25" s="1557">
        <f t="shared" si="5"/>
        <v>1</v>
      </c>
    </row>
    <row r="26" spans="1:29" ht="15">
      <c r="A26" s="512"/>
      <c r="B26" s="507" t="s">
        <v>763</v>
      </c>
      <c r="C26" s="554"/>
      <c r="D26" s="520">
        <v>100</v>
      </c>
      <c r="E26" s="3186"/>
      <c r="F26" s="555">
        <f>SUMIF(88:88,E26,89:89)-SUMIF(88:88,C26,89:89)+100</f>
        <v>100</v>
      </c>
      <c r="G26" s="554"/>
      <c r="H26" s="520">
        <f>SUMIF(88:88,G26,89:89)-SUMIF(88:88,C26,89:89)+100</f>
        <v>100</v>
      </c>
      <c r="I26" s="3186"/>
      <c r="J26" s="520">
        <f>SUMIF(88:88,I26,89:89)-SUMIF(88:88,C26,89:89)+100</f>
        <v>100</v>
      </c>
      <c r="K26" s="844"/>
      <c r="L26" s="2122"/>
      <c r="M26" s="2114"/>
      <c r="N26" s="2114"/>
      <c r="O26" s="2121"/>
      <c r="P26" s="3435"/>
      <c r="Q26" s="1553" t="str">
        <f t="shared" si="11"/>
        <v>朝向</v>
      </c>
      <c r="R26" s="1554" t="s">
        <v>11</v>
      </c>
      <c r="S26" s="1555">
        <f>F26</f>
        <v>100</v>
      </c>
      <c r="T26" s="1554" t="s">
        <v>11</v>
      </c>
      <c r="U26" s="1555">
        <f>H26</f>
        <v>100</v>
      </c>
      <c r="V26" s="1554" t="s">
        <v>11</v>
      </c>
      <c r="W26" s="1555">
        <f>J26</f>
        <v>100</v>
      </c>
      <c r="X26" s="1548"/>
      <c r="Y26" s="3435"/>
      <c r="Z26" s="1556" t="str">
        <f>Q26</f>
        <v>朝向</v>
      </c>
      <c r="AA26" s="1557">
        <f t="shared" si="3"/>
        <v>1</v>
      </c>
      <c r="AB26" s="1557">
        <f t="shared" si="4"/>
        <v>1</v>
      </c>
      <c r="AC26" s="1557">
        <f t="shared" si="5"/>
        <v>1</v>
      </c>
    </row>
    <row r="27" spans="1:29" s="1199" customFormat="1" ht="15">
      <c r="A27" s="516"/>
      <c r="B27" s="517" t="s">
        <v>765</v>
      </c>
      <c r="C27" s="3140" t="s">
        <v>3315</v>
      </c>
      <c r="D27" s="855">
        <v>100</v>
      </c>
      <c r="E27" s="3187" t="s">
        <v>3315</v>
      </c>
      <c r="F27" s="856">
        <f>SUMIF(90:90,E27,91:91)-SUMIF(90:90,C27,91:91)+100</f>
        <v>100</v>
      </c>
      <c r="G27" s="3140" t="s">
        <v>3315</v>
      </c>
      <c r="H27" s="855">
        <f>SUMIF(90:90,G27,91:91)-SUMIF(90:90,C27,91:91)+100</f>
        <v>100</v>
      </c>
      <c r="I27" s="3140" t="s">
        <v>3315</v>
      </c>
      <c r="J27" s="855">
        <f>SUMIF(90:90,I27,91:91)-SUMIF(90:90,C27,91:91)+100</f>
        <v>100</v>
      </c>
      <c r="K27" s="845"/>
      <c r="L27" s="2115"/>
      <c r="M27" s="2116"/>
      <c r="N27" s="2116"/>
      <c r="O27" s="2117"/>
      <c r="P27" s="3435"/>
      <c r="Q27" s="1130" t="str">
        <f t="shared" si="11"/>
        <v>道路级别</v>
      </c>
      <c r="R27" s="1549" t="s">
        <v>11</v>
      </c>
      <c r="S27" s="1550">
        <f>F27</f>
        <v>100</v>
      </c>
      <c r="T27" s="1549" t="s">
        <v>11</v>
      </c>
      <c r="U27" s="1550">
        <f>H27</f>
        <v>100</v>
      </c>
      <c r="V27" s="1549" t="s">
        <v>11</v>
      </c>
      <c r="W27" s="1550">
        <f>J27</f>
        <v>100</v>
      </c>
      <c r="X27" s="1551"/>
      <c r="Y27" s="3435"/>
      <c r="Z27" s="1129" t="str">
        <f>Q27</f>
        <v>道路级别</v>
      </c>
      <c r="AA27" s="1557">
        <f>D27/F27</f>
        <v>1</v>
      </c>
      <c r="AB27" s="1557">
        <f>D27/H27</f>
        <v>1</v>
      </c>
      <c r="AC27" s="1557">
        <f>D27/J27</f>
        <v>1</v>
      </c>
    </row>
    <row r="28" spans="1:29" ht="15">
      <c r="A28" s="512"/>
      <c r="B28" s="857"/>
      <c r="C28" s="519"/>
      <c r="D28" s="520">
        <v>100</v>
      </c>
      <c r="E28" s="3188" t="s">
        <v>3321</v>
      </c>
      <c r="F28" s="555">
        <f>SUMIF(92:92,E28,93:93)-SUMIF(92:92,C28,93:93)+100</f>
        <v>100</v>
      </c>
      <c r="G28" s="3188" t="s">
        <v>3330</v>
      </c>
      <c r="H28" s="520">
        <f>SUMIF(92:92,G28,93:93)-SUMIF(92:92,C28,93:93)+100</f>
        <v>100</v>
      </c>
      <c r="I28" s="3188" t="s">
        <v>3330</v>
      </c>
      <c r="J28" s="520">
        <f>SUMIF(92:92,I28,93:93)-SUMIF(92:92,C28,93:93)+100</f>
        <v>100</v>
      </c>
      <c r="K28" s="845"/>
      <c r="L28" s="2122"/>
      <c r="M28" s="2114"/>
      <c r="N28" s="2114"/>
      <c r="O28" s="2121"/>
      <c r="P28" s="3435"/>
      <c r="Q28" s="1553">
        <f t="shared" si="11"/>
        <v>0</v>
      </c>
      <c r="R28" s="1554" t="s">
        <v>11</v>
      </c>
      <c r="S28" s="1555">
        <f t="shared" ref="S28:S46" si="12">F28</f>
        <v>100</v>
      </c>
      <c r="T28" s="1554" t="s">
        <v>11</v>
      </c>
      <c r="U28" s="1555">
        <f t="shared" ref="U28:U46" si="13">H28</f>
        <v>100</v>
      </c>
      <c r="V28" s="1554" t="s">
        <v>11</v>
      </c>
      <c r="W28" s="1555">
        <f t="shared" ref="W28:W46" si="14">J28</f>
        <v>100</v>
      </c>
      <c r="X28" s="1548"/>
      <c r="Y28" s="3435"/>
      <c r="Z28" s="1556">
        <f t="shared" ref="Z28:Z46" si="15">Q28</f>
        <v>0</v>
      </c>
      <c r="AA28" s="1557">
        <f t="shared" si="3"/>
        <v>1</v>
      </c>
      <c r="AB28" s="1557">
        <f t="shared" si="4"/>
        <v>1</v>
      </c>
      <c r="AC28" s="1557">
        <f t="shared" si="5"/>
        <v>1</v>
      </c>
    </row>
    <row r="29" spans="1:29" ht="15">
      <c r="A29" s="512"/>
      <c r="B29" s="857"/>
      <c r="C29" s="519"/>
      <c r="D29" s="520">
        <v>100</v>
      </c>
      <c r="E29" s="519"/>
      <c r="F29" s="555">
        <f>SUMIF(94:94,E29,95:95)-SUMIF(94:94,C29,95:95)+100</f>
        <v>100</v>
      </c>
      <c r="G29" s="3188"/>
      <c r="H29" s="520">
        <f>SUMIF(94:94,G29,95:95)-SUMIF(94:94,C29,95:95)+100</f>
        <v>100</v>
      </c>
      <c r="I29" s="519"/>
      <c r="J29" s="520">
        <f>SUMIF(94:94,I29,95:95)-SUMIF(94:94,C29,95:95)+100</f>
        <v>100</v>
      </c>
      <c r="K29" s="845"/>
      <c r="L29" s="2122"/>
      <c r="M29" s="2114"/>
      <c r="N29" s="2114"/>
      <c r="O29" s="2121"/>
      <c r="P29" s="3435"/>
      <c r="Q29" s="1553">
        <f t="shared" si="11"/>
        <v>0</v>
      </c>
      <c r="R29" s="1554" t="s">
        <v>11</v>
      </c>
      <c r="S29" s="1555">
        <f t="shared" si="12"/>
        <v>100</v>
      </c>
      <c r="T29" s="1554" t="s">
        <v>11</v>
      </c>
      <c r="U29" s="1555">
        <f t="shared" si="13"/>
        <v>100</v>
      </c>
      <c r="V29" s="1554" t="s">
        <v>11</v>
      </c>
      <c r="W29" s="1555">
        <f t="shared" si="14"/>
        <v>100</v>
      </c>
      <c r="X29" s="1548"/>
      <c r="Y29" s="3435"/>
      <c r="Z29" s="1556">
        <f t="shared" si="15"/>
        <v>0</v>
      </c>
      <c r="AA29" s="1557">
        <f t="shared" si="3"/>
        <v>1</v>
      </c>
      <c r="AB29" s="1557">
        <f t="shared" si="4"/>
        <v>1</v>
      </c>
      <c r="AC29" s="1557">
        <f t="shared" si="5"/>
        <v>1</v>
      </c>
    </row>
    <row r="30" spans="1:29" ht="15">
      <c r="A30" s="512"/>
      <c r="B30" s="857"/>
      <c r="C30" s="519"/>
      <c r="D30" s="520">
        <v>100</v>
      </c>
      <c r="E30" s="519"/>
      <c r="F30" s="555">
        <f>SUMIF(96:96,E30,97:97)-SUMIF(96:96,C30,97:97)+100</f>
        <v>100</v>
      </c>
      <c r="G30" s="519"/>
      <c r="H30" s="520">
        <f>SUMIF(96:96,G30,97:97)-SUMIF(96:96,C30,97:97)+100</f>
        <v>100</v>
      </c>
      <c r="I30" s="519"/>
      <c r="J30" s="520">
        <f>SUMIF(96:96,I30,97:97)-SUMIF(96:96,C30,97:97)+100</f>
        <v>100</v>
      </c>
      <c r="K30" s="845"/>
      <c r="L30" s="2122"/>
      <c r="M30" s="2114"/>
      <c r="N30" s="2114"/>
      <c r="O30" s="2121"/>
      <c r="P30" s="3435"/>
      <c r="Q30" s="1553">
        <f t="shared" si="11"/>
        <v>0</v>
      </c>
      <c r="R30" s="1554" t="s">
        <v>11</v>
      </c>
      <c r="S30" s="1555">
        <f t="shared" si="12"/>
        <v>100</v>
      </c>
      <c r="T30" s="1554" t="s">
        <v>11</v>
      </c>
      <c r="U30" s="1555">
        <f t="shared" si="13"/>
        <v>100</v>
      </c>
      <c r="V30" s="1554" t="s">
        <v>11</v>
      </c>
      <c r="W30" s="1555">
        <f t="shared" si="14"/>
        <v>100</v>
      </c>
      <c r="X30" s="1548"/>
      <c r="Y30" s="3435"/>
      <c r="Z30" s="1556">
        <f t="shared" si="15"/>
        <v>0</v>
      </c>
      <c r="AA30" s="1557">
        <f t="shared" si="3"/>
        <v>1</v>
      </c>
      <c r="AB30" s="1557">
        <f t="shared" si="4"/>
        <v>1</v>
      </c>
      <c r="AC30" s="1557">
        <f t="shared" si="5"/>
        <v>1</v>
      </c>
    </row>
    <row r="31" spans="1:29" ht="15.75" thickBot="1">
      <c r="A31" s="523"/>
      <c r="B31" s="857"/>
      <c r="C31" s="525"/>
      <c r="D31" s="526">
        <v>100</v>
      </c>
      <c r="E31" s="525"/>
      <c r="F31" s="846">
        <f>SUMIF(98:98,E31,99:99)-SUMIF(98:98,C31,99:99)+100</f>
        <v>100</v>
      </c>
      <c r="G31" s="525"/>
      <c r="H31" s="526">
        <f>SUMIF(98:98,G31,99:99)-SUMIF(98:98,C31,99:99)+100</f>
        <v>100</v>
      </c>
      <c r="I31" s="525"/>
      <c r="J31" s="526">
        <f>SUMIF(98:98,I31,99:99)-SUMIF(98:98,C31,99:99)+100</f>
        <v>100</v>
      </c>
      <c r="K31" s="845"/>
      <c r="L31" s="2122"/>
      <c r="M31" s="2114"/>
      <c r="N31" s="2114"/>
      <c r="O31" s="2121"/>
      <c r="P31" s="3435"/>
      <c r="Q31" s="1553">
        <f t="shared" si="11"/>
        <v>0</v>
      </c>
      <c r="R31" s="1554" t="s">
        <v>11</v>
      </c>
      <c r="S31" s="1555">
        <f t="shared" si="12"/>
        <v>100</v>
      </c>
      <c r="T31" s="1554" t="s">
        <v>11</v>
      </c>
      <c r="U31" s="1555">
        <f t="shared" si="13"/>
        <v>100</v>
      </c>
      <c r="V31" s="1554" t="s">
        <v>11</v>
      </c>
      <c r="W31" s="1555">
        <f t="shared" si="14"/>
        <v>100</v>
      </c>
      <c r="X31" s="1548"/>
      <c r="Y31" s="3435"/>
      <c r="Z31" s="1556">
        <f t="shared" si="15"/>
        <v>0</v>
      </c>
      <c r="AA31" s="1557">
        <f t="shared" si="3"/>
        <v>1</v>
      </c>
      <c r="AB31" s="1557">
        <f t="shared" si="4"/>
        <v>1</v>
      </c>
      <c r="AC31" s="1557">
        <f t="shared" si="5"/>
        <v>1</v>
      </c>
    </row>
    <row r="32" spans="1:29" ht="15">
      <c r="A32" s="2925" t="s">
        <v>3038</v>
      </c>
      <c r="B32" s="163" t="s">
        <v>769</v>
      </c>
      <c r="C32" s="895" t="s">
        <v>3316</v>
      </c>
      <c r="D32" s="577">
        <v>100</v>
      </c>
      <c r="E32" s="3189" t="s">
        <v>3243</v>
      </c>
      <c r="F32" s="555">
        <f>SUMIF(100:100,E32,101:101)-SUMIF(100:100,C32,101:101)+100</f>
        <v>95</v>
      </c>
      <c r="G32" s="3142" t="s">
        <v>3316</v>
      </c>
      <c r="H32" s="577">
        <f>SUMIF(100:100,G32,101:101)-SUMIF(100:100,C32,101:101)+100</f>
        <v>100</v>
      </c>
      <c r="I32" s="3189" t="s">
        <v>3243</v>
      </c>
      <c r="J32" s="520">
        <f>SUMIF(100:100,I32,101:101)-SUMIF(100:100,C32,101:101)+100</f>
        <v>95</v>
      </c>
      <c r="K32" s="3194">
        <v>5</v>
      </c>
      <c r="L32" s="2122"/>
      <c r="M32" s="2114"/>
      <c r="N32" s="2114"/>
      <c r="O32" s="2121"/>
      <c r="P32" s="3436" t="s">
        <v>543</v>
      </c>
      <c r="Q32" s="1553" t="str">
        <f t="shared" si="11"/>
        <v>建筑类型</v>
      </c>
      <c r="R32" s="1554" t="s">
        <v>11</v>
      </c>
      <c r="S32" s="1555">
        <f t="shared" si="12"/>
        <v>95</v>
      </c>
      <c r="T32" s="1554" t="s">
        <v>11</v>
      </c>
      <c r="U32" s="1555">
        <f t="shared" si="13"/>
        <v>100</v>
      </c>
      <c r="V32" s="1554" t="s">
        <v>11</v>
      </c>
      <c r="W32" s="1555">
        <f t="shared" si="14"/>
        <v>95</v>
      </c>
      <c r="X32" s="1548"/>
      <c r="Y32" s="3437" t="s">
        <v>543</v>
      </c>
      <c r="Z32" s="1556" t="str">
        <f t="shared" si="15"/>
        <v>建筑类型</v>
      </c>
      <c r="AA32" s="1557">
        <f t="shared" si="3"/>
        <v>1.0526315789473684</v>
      </c>
      <c r="AB32" s="1557">
        <f t="shared" si="4"/>
        <v>1</v>
      </c>
      <c r="AC32" s="1557">
        <f t="shared" si="5"/>
        <v>1.0526315789473684</v>
      </c>
    </row>
    <row r="33" spans="1:29" s="1324" customFormat="1" ht="15">
      <c r="A33" s="583"/>
      <c r="B33" s="507" t="s">
        <v>772</v>
      </c>
      <c r="C33" s="3182">
        <f>55.05*10000</f>
        <v>550500</v>
      </c>
      <c r="D33" s="232">
        <v>100</v>
      </c>
      <c r="E33" s="514">
        <v>260000</v>
      </c>
      <c r="F33" s="843">
        <f>LOOKUP(E33,103:103,104:104)-LOOKUP(C33,103:103,104:104)+100</f>
        <v>97</v>
      </c>
      <c r="G33" s="513">
        <v>210000</v>
      </c>
      <c r="H33" s="232">
        <f>LOOKUP(G33,103:103,104:104)-LOOKUP(C33,103:103,104:104)+100</f>
        <v>97</v>
      </c>
      <c r="I33" s="514">
        <v>68430</v>
      </c>
      <c r="J33" s="232">
        <f>LOOKUP(I33,103:103,104:104)-LOOKUP(C33,103:103,104:104)+100</f>
        <v>95</v>
      </c>
      <c r="K33" s="845"/>
      <c r="L33" s="2120"/>
      <c r="M33" s="2151"/>
      <c r="N33" s="2151"/>
      <c r="O33" s="2123"/>
      <c r="P33" s="3437"/>
      <c r="Q33" s="1586" t="str">
        <f t="shared" si="11"/>
        <v>项目建筑规模</v>
      </c>
      <c r="R33" s="1558" t="s">
        <v>11</v>
      </c>
      <c r="S33" s="1559">
        <f t="shared" si="12"/>
        <v>97</v>
      </c>
      <c r="T33" s="1558" t="s">
        <v>11</v>
      </c>
      <c r="U33" s="1559">
        <f t="shared" si="13"/>
        <v>97</v>
      </c>
      <c r="V33" s="1558" t="s">
        <v>11</v>
      </c>
      <c r="W33" s="1559">
        <f t="shared" si="14"/>
        <v>95</v>
      </c>
      <c r="X33" s="1560"/>
      <c r="Y33" s="3437"/>
      <c r="Z33" s="1561" t="str">
        <f t="shared" si="15"/>
        <v>项目建筑规模</v>
      </c>
      <c r="AA33" s="1557">
        <f t="shared" si="3"/>
        <v>1.0309278350515463</v>
      </c>
      <c r="AB33" s="1557">
        <f t="shared" si="4"/>
        <v>1.0309278350515463</v>
      </c>
      <c r="AC33" s="1557">
        <f t="shared" si="5"/>
        <v>1.0526315789473684</v>
      </c>
    </row>
    <row r="34" spans="1:29" ht="15">
      <c r="A34" s="574"/>
      <c r="B34" s="507" t="s">
        <v>773</v>
      </c>
      <c r="C34" s="554" t="s">
        <v>774</v>
      </c>
      <c r="D34" s="520">
        <v>100</v>
      </c>
      <c r="E34" s="3186" t="s">
        <v>774</v>
      </c>
      <c r="F34" s="555">
        <f>SUMIF(105:105,E34,106:106)-SUMIF(105:105,C34,106:106)+100</f>
        <v>100</v>
      </c>
      <c r="G34" s="554" t="s">
        <v>774</v>
      </c>
      <c r="H34" s="520">
        <f>SUMIF(105:105,G34,106:106)-SUMIF(105:105,C34,106:106)+100</f>
        <v>100</v>
      </c>
      <c r="I34" s="3186" t="s">
        <v>774</v>
      </c>
      <c r="J34" s="520">
        <f>SUMIF(105:105,I34,106:106)-SUMIF(105:105,C34,106:106)+100</f>
        <v>100</v>
      </c>
      <c r="K34" s="844">
        <v>2</v>
      </c>
      <c r="L34" s="2122"/>
      <c r="M34" s="2114"/>
      <c r="N34" s="2114"/>
      <c r="O34" s="2121"/>
      <c r="P34" s="3437"/>
      <c r="Q34" s="1553" t="str">
        <f t="shared" si="11"/>
        <v>建筑结构</v>
      </c>
      <c r="R34" s="1554" t="s">
        <v>11</v>
      </c>
      <c r="S34" s="1555">
        <f t="shared" si="12"/>
        <v>100</v>
      </c>
      <c r="T34" s="1554" t="s">
        <v>11</v>
      </c>
      <c r="U34" s="1555">
        <f t="shared" si="13"/>
        <v>100</v>
      </c>
      <c r="V34" s="1554" t="s">
        <v>11</v>
      </c>
      <c r="W34" s="1555">
        <f t="shared" si="14"/>
        <v>100</v>
      </c>
      <c r="X34" s="1548"/>
      <c r="Y34" s="3437"/>
      <c r="Z34" s="1556" t="str">
        <f t="shared" si="15"/>
        <v>建筑结构</v>
      </c>
      <c r="AA34" s="1557">
        <f t="shared" si="3"/>
        <v>1</v>
      </c>
      <c r="AB34" s="1557">
        <f t="shared" si="4"/>
        <v>1</v>
      </c>
      <c r="AC34" s="1557">
        <f t="shared" si="5"/>
        <v>1</v>
      </c>
    </row>
    <row r="35" spans="1:29" ht="15">
      <c r="A35" s="574"/>
      <c r="B35" s="507" t="s">
        <v>775</v>
      </c>
      <c r="C35" s="554" t="s">
        <v>2592</v>
      </c>
      <c r="D35" s="520">
        <v>100</v>
      </c>
      <c r="E35" s="3186" t="s">
        <v>2592</v>
      </c>
      <c r="F35" s="555">
        <f>SUMIF(107:107,E35,108:108)-SUMIF(107:107,C35,108:108)+100</f>
        <v>100</v>
      </c>
      <c r="G35" s="554" t="s">
        <v>2592</v>
      </c>
      <c r="H35" s="520">
        <f>SUMIF(107:107,G35,108:108)-SUMIF(107:107,C35,108:108)+100</f>
        <v>100</v>
      </c>
      <c r="I35" s="3186" t="s">
        <v>2592</v>
      </c>
      <c r="J35" s="520">
        <f>SUMIF(107:107,I35,108:108)-SUMIF(107:107,C35,108:108)+100</f>
        <v>100</v>
      </c>
      <c r="K35" s="844">
        <v>2</v>
      </c>
      <c r="L35" s="2122"/>
      <c r="M35" s="2114"/>
      <c r="N35" s="2114"/>
      <c r="O35" s="2121"/>
      <c r="P35" s="3437"/>
      <c r="Q35" s="1553" t="str">
        <f t="shared" si="11"/>
        <v>建筑品质</v>
      </c>
      <c r="R35" s="1554" t="s">
        <v>11</v>
      </c>
      <c r="S35" s="1555">
        <f t="shared" si="12"/>
        <v>100</v>
      </c>
      <c r="T35" s="1554" t="s">
        <v>11</v>
      </c>
      <c r="U35" s="1555">
        <f t="shared" si="13"/>
        <v>100</v>
      </c>
      <c r="V35" s="1554" t="s">
        <v>11</v>
      </c>
      <c r="W35" s="1555">
        <f t="shared" si="14"/>
        <v>100</v>
      </c>
      <c r="X35" s="1548"/>
      <c r="Y35" s="3437"/>
      <c r="Z35" s="1556" t="str">
        <f t="shared" si="15"/>
        <v>建筑品质</v>
      </c>
      <c r="AA35" s="1557">
        <f t="shared" si="3"/>
        <v>1</v>
      </c>
      <c r="AB35" s="1557">
        <f t="shared" si="4"/>
        <v>1</v>
      </c>
      <c r="AC35" s="1557">
        <f t="shared" si="5"/>
        <v>1</v>
      </c>
    </row>
    <row r="36" spans="1:29" ht="15">
      <c r="A36" s="574"/>
      <c r="B36" s="507" t="s">
        <v>776</v>
      </c>
      <c r="C36" s="554" t="s">
        <v>777</v>
      </c>
      <c r="D36" s="520">
        <v>100</v>
      </c>
      <c r="E36" s="3186" t="s">
        <v>777</v>
      </c>
      <c r="F36" s="555">
        <f>SUMIF(109:109,E36,110:110)-SUMIF(109:109,C36,110:110)+100</f>
        <v>100</v>
      </c>
      <c r="G36" s="554" t="s">
        <v>777</v>
      </c>
      <c r="H36" s="520">
        <f>SUMIF(109:109,G36,110:110)-SUMIF(109:109,C36,110:110)+100</f>
        <v>100</v>
      </c>
      <c r="I36" s="3186" t="s">
        <v>777</v>
      </c>
      <c r="J36" s="520">
        <f>SUMIF(109:109,I36,110:110)-SUMIF(109:109,C36,110:110)+100</f>
        <v>100</v>
      </c>
      <c r="K36" s="844">
        <v>2</v>
      </c>
      <c r="L36" s="2122"/>
      <c r="M36" s="2114"/>
      <c r="N36" s="2114"/>
      <c r="O36" s="2121"/>
      <c r="P36" s="3437"/>
      <c r="Q36" s="1553" t="str">
        <f t="shared" si="11"/>
        <v>公共部分装修</v>
      </c>
      <c r="R36" s="1554" t="s">
        <v>11</v>
      </c>
      <c r="S36" s="1555">
        <f t="shared" si="12"/>
        <v>100</v>
      </c>
      <c r="T36" s="1554" t="s">
        <v>11</v>
      </c>
      <c r="U36" s="1555">
        <f t="shared" si="13"/>
        <v>100</v>
      </c>
      <c r="V36" s="1554" t="s">
        <v>11</v>
      </c>
      <c r="W36" s="1555">
        <f t="shared" si="14"/>
        <v>100</v>
      </c>
      <c r="X36" s="1548"/>
      <c r="Y36" s="3437"/>
      <c r="Z36" s="1556" t="str">
        <f t="shared" si="15"/>
        <v>公共部分装修</v>
      </c>
      <c r="AA36" s="1557">
        <f t="shared" si="3"/>
        <v>1</v>
      </c>
      <c r="AB36" s="1557">
        <f t="shared" si="4"/>
        <v>1</v>
      </c>
      <c r="AC36" s="1557">
        <f t="shared" si="5"/>
        <v>1</v>
      </c>
    </row>
    <row r="37" spans="1:29" s="1199" customFormat="1" ht="15">
      <c r="A37" s="580"/>
      <c r="B37" s="507" t="s">
        <v>778</v>
      </c>
      <c r="C37" s="864">
        <v>1</v>
      </c>
      <c r="D37" s="232">
        <v>100</v>
      </c>
      <c r="E37" s="3190">
        <f>ROUND(1-(2017-2013)/60,2)</f>
        <v>0.93</v>
      </c>
      <c r="F37" s="843">
        <f>LOOKUP(E37,112:112,113:113)-LOOKUP(C37,112:112,113:113)+100</f>
        <v>100</v>
      </c>
      <c r="G37" s="864">
        <f>ROUND(1-(2017-2016)/60,2)</f>
        <v>0.98</v>
      </c>
      <c r="H37" s="232">
        <f>LOOKUP(G37,112:112,113:113)-LOOKUP(C37,112:112,113:113)+100</f>
        <v>100</v>
      </c>
      <c r="I37" s="514">
        <v>1</v>
      </c>
      <c r="J37" s="232">
        <f>LOOKUP(I37,112:112,113:113)-LOOKUP(C37,112:112,113:113)+100</f>
        <v>100</v>
      </c>
      <c r="K37" s="844">
        <v>2</v>
      </c>
      <c r="L37" s="2115"/>
      <c r="M37" s="2116"/>
      <c r="N37" s="2116"/>
      <c r="O37" s="2117"/>
      <c r="P37" s="3437"/>
      <c r="Q37" s="1130" t="str">
        <f t="shared" si="11"/>
        <v>成新度</v>
      </c>
      <c r="R37" s="1549" t="s">
        <v>11</v>
      </c>
      <c r="S37" s="1550">
        <f t="shared" si="12"/>
        <v>100</v>
      </c>
      <c r="T37" s="1549" t="s">
        <v>11</v>
      </c>
      <c r="U37" s="1550">
        <f t="shared" si="13"/>
        <v>100</v>
      </c>
      <c r="V37" s="1549" t="s">
        <v>11</v>
      </c>
      <c r="W37" s="1550">
        <f t="shared" si="14"/>
        <v>100</v>
      </c>
      <c r="X37" s="1551"/>
      <c r="Y37" s="3437"/>
      <c r="Z37" s="1129" t="str">
        <f t="shared" si="15"/>
        <v>成新度</v>
      </c>
      <c r="AA37" s="1552">
        <f t="shared" si="3"/>
        <v>1</v>
      </c>
      <c r="AB37" s="1552">
        <f t="shared" si="4"/>
        <v>1</v>
      </c>
      <c r="AC37" s="1552">
        <f t="shared" si="5"/>
        <v>1</v>
      </c>
    </row>
    <row r="38" spans="1:29" ht="15">
      <c r="A38" s="574"/>
      <c r="B38" s="507" t="s">
        <v>779</v>
      </c>
      <c r="C38" s="554" t="s">
        <v>780</v>
      </c>
      <c r="D38" s="520">
        <v>100</v>
      </c>
      <c r="E38" s="3186" t="s">
        <v>780</v>
      </c>
      <c r="F38" s="555">
        <f>SUMIF(114:114,E38,115:115)-SUMIF(114:114,C38,115:115)+100</f>
        <v>100</v>
      </c>
      <c r="G38" s="554" t="s">
        <v>780</v>
      </c>
      <c r="H38" s="520">
        <f>SUMIF(114:114,G38,115:115)-SUMIF(114:114,C38,115:115)+100</f>
        <v>100</v>
      </c>
      <c r="I38" s="3186" t="s">
        <v>780</v>
      </c>
      <c r="J38" s="520">
        <f>SUMIF(114:114,I38,115:115)-SUMIF(114:114,C38,115:115)+100</f>
        <v>100</v>
      </c>
      <c r="K38" s="844">
        <v>3</v>
      </c>
      <c r="L38" s="2122"/>
      <c r="M38" s="2114"/>
      <c r="N38" s="2114"/>
      <c r="O38" s="2121"/>
      <c r="P38" s="3437" t="s">
        <v>543</v>
      </c>
      <c r="Q38" s="1553" t="str">
        <f t="shared" si="11"/>
        <v>物业管理</v>
      </c>
      <c r="R38" s="1554" t="s">
        <v>11</v>
      </c>
      <c r="S38" s="1555">
        <f t="shared" si="12"/>
        <v>100</v>
      </c>
      <c r="T38" s="1554" t="s">
        <v>11</v>
      </c>
      <c r="U38" s="1555">
        <f t="shared" si="13"/>
        <v>100</v>
      </c>
      <c r="V38" s="1554" t="s">
        <v>11</v>
      </c>
      <c r="W38" s="1555">
        <f t="shared" si="14"/>
        <v>100</v>
      </c>
      <c r="X38" s="1548"/>
      <c r="Y38" s="3437" t="s">
        <v>543</v>
      </c>
      <c r="Z38" s="1556" t="str">
        <f t="shared" si="15"/>
        <v>物业管理</v>
      </c>
      <c r="AA38" s="1557">
        <f t="shared" si="3"/>
        <v>1</v>
      </c>
      <c r="AB38" s="1557">
        <f t="shared" si="4"/>
        <v>1</v>
      </c>
      <c r="AC38" s="1557">
        <f t="shared" si="5"/>
        <v>1</v>
      </c>
    </row>
    <row r="39" spans="1:29" ht="15">
      <c r="A39" s="574"/>
      <c r="B39" s="1870" t="s">
        <v>2833</v>
      </c>
      <c r="C39" s="554" t="s">
        <v>781</v>
      </c>
      <c r="D39" s="520">
        <v>100</v>
      </c>
      <c r="E39" s="3186" t="s">
        <v>781</v>
      </c>
      <c r="F39" s="555">
        <f>SUMIF(116:116,E39,117:117)-SUMIF(116:116,C39,117:117)+100</f>
        <v>100</v>
      </c>
      <c r="G39" s="554" t="s">
        <v>781</v>
      </c>
      <c r="H39" s="520">
        <f>SUMIF(116:116,G39,117:117)-SUMIF(116:116,C39,117:117)+100</f>
        <v>100</v>
      </c>
      <c r="I39" s="3186" t="s">
        <v>781</v>
      </c>
      <c r="J39" s="520">
        <f>SUMIF(116:116,I39,117:117)-SUMIF(116:116,C39,117:117)+100</f>
        <v>100</v>
      </c>
      <c r="K39" s="844">
        <v>1</v>
      </c>
      <c r="L39" s="2122"/>
      <c r="M39" s="2114"/>
      <c r="N39" s="2114"/>
      <c r="O39" s="2121"/>
      <c r="P39" s="3437"/>
      <c r="Q39" s="1553" t="str">
        <f t="shared" si="11"/>
        <v>市政基础设施</v>
      </c>
      <c r="R39" s="1554" t="s">
        <v>11</v>
      </c>
      <c r="S39" s="1555">
        <f t="shared" si="12"/>
        <v>100</v>
      </c>
      <c r="T39" s="1554" t="s">
        <v>11</v>
      </c>
      <c r="U39" s="1555">
        <f t="shared" si="13"/>
        <v>100</v>
      </c>
      <c r="V39" s="1554" t="s">
        <v>11</v>
      </c>
      <c r="W39" s="1555">
        <f t="shared" si="14"/>
        <v>100</v>
      </c>
      <c r="X39" s="1548"/>
      <c r="Y39" s="3437"/>
      <c r="Z39" s="1556" t="str">
        <f t="shared" si="15"/>
        <v>市政基础设施</v>
      </c>
      <c r="AA39" s="1557">
        <f t="shared" si="3"/>
        <v>1</v>
      </c>
      <c r="AB39" s="1557">
        <f t="shared" si="4"/>
        <v>1</v>
      </c>
      <c r="AC39" s="1557">
        <f t="shared" si="5"/>
        <v>1</v>
      </c>
    </row>
    <row r="40" spans="1:29" ht="15">
      <c r="A40" s="574"/>
      <c r="B40" s="507" t="s">
        <v>782</v>
      </c>
      <c r="C40" s="554" t="s">
        <v>3317</v>
      </c>
      <c r="D40" s="520">
        <v>100</v>
      </c>
      <c r="E40" s="3186" t="s">
        <v>783</v>
      </c>
      <c r="F40" s="555">
        <f>SUMIF(118:118,E40,119:119)-SUMIF(118:118,C40,119:119)+100</f>
        <v>88</v>
      </c>
      <c r="G40" s="554" t="s">
        <v>3326</v>
      </c>
      <c r="H40" s="520">
        <f>SUMIF(118:118,G40,119:119)-SUMIF(118:118,C40,119:119)+100</f>
        <v>88</v>
      </c>
      <c r="I40" s="3186" t="s">
        <v>783</v>
      </c>
      <c r="J40" s="520">
        <f>SUMIF(118:118,I40,119:119)-SUMIF(118:118,C40,119:119)+100</f>
        <v>88</v>
      </c>
      <c r="K40" s="3194">
        <v>12</v>
      </c>
      <c r="L40" s="2122"/>
      <c r="M40" s="2114"/>
      <c r="N40" s="2114"/>
      <c r="O40" s="2121"/>
      <c r="P40" s="3437"/>
      <c r="Q40" s="1553" t="str">
        <f t="shared" si="11"/>
        <v>房型</v>
      </c>
      <c r="R40" s="1554" t="s">
        <v>11</v>
      </c>
      <c r="S40" s="1555">
        <f t="shared" si="12"/>
        <v>88</v>
      </c>
      <c r="T40" s="1554" t="s">
        <v>11</v>
      </c>
      <c r="U40" s="1555">
        <f t="shared" si="13"/>
        <v>88</v>
      </c>
      <c r="V40" s="1554" t="s">
        <v>11</v>
      </c>
      <c r="W40" s="1555">
        <f t="shared" si="14"/>
        <v>88</v>
      </c>
      <c r="X40" s="1548"/>
      <c r="Y40" s="3437"/>
      <c r="Z40" s="1556" t="str">
        <f t="shared" si="15"/>
        <v>房型</v>
      </c>
      <c r="AA40" s="1557">
        <f t="shared" si="3"/>
        <v>1.1363636363636365</v>
      </c>
      <c r="AB40" s="1557">
        <f t="shared" si="4"/>
        <v>1.1363636363636365</v>
      </c>
      <c r="AC40" s="1557">
        <f t="shared" si="5"/>
        <v>1.1363636363636365</v>
      </c>
    </row>
    <row r="41" spans="1:29" s="1324" customFormat="1" ht="28.5">
      <c r="A41" s="583"/>
      <c r="B41" s="507" t="s">
        <v>784</v>
      </c>
      <c r="C41" s="860"/>
      <c r="D41" s="232">
        <v>100</v>
      </c>
      <c r="E41" s="514"/>
      <c r="F41" s="843">
        <f>SUMIF(120:120,E41,121:121)-SUMIF(120:120,C41,121:121)+100</f>
        <v>100</v>
      </c>
      <c r="G41" s="513"/>
      <c r="H41" s="232">
        <f>SUMIF(120:120,G41,121:121)-SUMIF(120:120,C41,121:121)+100</f>
        <v>100</v>
      </c>
      <c r="I41" s="566"/>
      <c r="J41" s="520">
        <f>SUMIF(120:120,I41,121:121)-SUMIF(120:120,C41,121:121)+100</f>
        <v>100</v>
      </c>
      <c r="K41" s="845"/>
      <c r="L41" s="2120"/>
      <c r="M41" s="2151"/>
      <c r="N41" s="2151"/>
      <c r="O41" s="2123"/>
      <c r="P41" s="3437"/>
      <c r="Q41" s="1586" t="str">
        <f t="shared" si="11"/>
        <v>单套/主力户型建筑面积</v>
      </c>
      <c r="R41" s="1558" t="s">
        <v>11</v>
      </c>
      <c r="S41" s="1559">
        <f t="shared" si="12"/>
        <v>100</v>
      </c>
      <c r="T41" s="1558" t="s">
        <v>11</v>
      </c>
      <c r="U41" s="1559">
        <f t="shared" si="13"/>
        <v>100</v>
      </c>
      <c r="V41" s="1558" t="s">
        <v>11</v>
      </c>
      <c r="W41" s="1559">
        <f t="shared" si="14"/>
        <v>100</v>
      </c>
      <c r="X41" s="1560"/>
      <c r="Y41" s="3437"/>
      <c r="Z41" s="1561" t="str">
        <f t="shared" si="15"/>
        <v>单套/主力户型建筑面积</v>
      </c>
      <c r="AA41" s="1557">
        <f t="shared" si="3"/>
        <v>1</v>
      </c>
      <c r="AB41" s="1557">
        <f t="shared" si="4"/>
        <v>1</v>
      </c>
      <c r="AC41" s="1557">
        <f t="shared" si="5"/>
        <v>1</v>
      </c>
    </row>
    <row r="42" spans="1:29" ht="15">
      <c r="A42" s="574"/>
      <c r="B42" s="507" t="s">
        <v>785</v>
      </c>
      <c r="C42" s="554" t="s">
        <v>3318</v>
      </c>
      <c r="D42" s="520">
        <v>100</v>
      </c>
      <c r="E42" s="3186" t="s">
        <v>786</v>
      </c>
      <c r="F42" s="555">
        <f>SUMIF(122:122,E42,123:123)-SUMIF(122:122,C42,123:123)+100</f>
        <v>94</v>
      </c>
      <c r="G42" s="554" t="s">
        <v>3335</v>
      </c>
      <c r="H42" s="520">
        <f>SUMIF(122:122,G42,123:123)-SUMIF(122:122,C42,123:123)+100</f>
        <v>94</v>
      </c>
      <c r="I42" s="3186" t="s">
        <v>3318</v>
      </c>
      <c r="J42" s="520">
        <f>SUMIF(122:122,I42,123:123)-SUMIF(122:122,C42,123:123)+100</f>
        <v>100</v>
      </c>
      <c r="K42" s="844">
        <v>2</v>
      </c>
      <c r="L42" s="2122"/>
      <c r="M42" s="2114"/>
      <c r="N42" s="2114"/>
      <c r="O42" s="2121"/>
      <c r="P42" s="3437"/>
      <c r="Q42" s="1553" t="str">
        <f t="shared" si="11"/>
        <v>内部装修</v>
      </c>
      <c r="R42" s="1554" t="s">
        <v>11</v>
      </c>
      <c r="S42" s="1555">
        <f t="shared" si="12"/>
        <v>94</v>
      </c>
      <c r="T42" s="1554" t="s">
        <v>11</v>
      </c>
      <c r="U42" s="1555">
        <f t="shared" si="13"/>
        <v>94</v>
      </c>
      <c r="V42" s="1554" t="s">
        <v>11</v>
      </c>
      <c r="W42" s="1555">
        <f t="shared" si="14"/>
        <v>100</v>
      </c>
      <c r="X42" s="1548"/>
      <c r="Y42" s="3437"/>
      <c r="Z42" s="1556" t="str">
        <f t="shared" si="15"/>
        <v>内部装修</v>
      </c>
      <c r="AA42" s="1557">
        <f t="shared" si="3"/>
        <v>1.0638297872340425</v>
      </c>
      <c r="AB42" s="1557">
        <f t="shared" si="4"/>
        <v>1.0638297872340425</v>
      </c>
      <c r="AC42" s="1557">
        <f t="shared" si="5"/>
        <v>1</v>
      </c>
    </row>
    <row r="43" spans="1:29" ht="27">
      <c r="A43" s="574"/>
      <c r="B43" s="507" t="s">
        <v>787</v>
      </c>
      <c r="C43" s="554" t="s">
        <v>1072</v>
      </c>
      <c r="D43" s="520">
        <v>100</v>
      </c>
      <c r="E43" s="3186" t="s">
        <v>1072</v>
      </c>
      <c r="F43" s="555">
        <f>SUMIF(124:124,E43,125:125)-SUMIF(124:124,C43,125:125)+100</f>
        <v>100</v>
      </c>
      <c r="G43" s="554" t="s">
        <v>1072</v>
      </c>
      <c r="H43" s="520">
        <f>SUMIF(124:124,G43,125:125)-SUMIF(124:124,C43,125:125)+100</f>
        <v>100</v>
      </c>
      <c r="I43" s="3186" t="s">
        <v>1072</v>
      </c>
      <c r="J43" s="520">
        <f>SUMIF(124:124,I43,125:125)-SUMIF(124:124,C43,125:125)+100</f>
        <v>100</v>
      </c>
      <c r="K43" s="844">
        <v>2</v>
      </c>
      <c r="L43" s="2122"/>
      <c r="M43" s="2114"/>
      <c r="N43" s="2114"/>
      <c r="O43" s="2121"/>
      <c r="P43" s="3437"/>
      <c r="Q43" s="1553" t="str">
        <f t="shared" si="11"/>
        <v>内部装修维护情况</v>
      </c>
      <c r="R43" s="1554" t="s">
        <v>11</v>
      </c>
      <c r="S43" s="1555">
        <f t="shared" si="12"/>
        <v>100</v>
      </c>
      <c r="T43" s="1554" t="s">
        <v>11</v>
      </c>
      <c r="U43" s="1555">
        <f t="shared" si="13"/>
        <v>100</v>
      </c>
      <c r="V43" s="1554" t="s">
        <v>11</v>
      </c>
      <c r="W43" s="1555">
        <f t="shared" si="14"/>
        <v>100</v>
      </c>
      <c r="X43" s="1548"/>
      <c r="Y43" s="3437"/>
      <c r="Z43" s="1556" t="str">
        <f t="shared" si="15"/>
        <v>内部装修维护情况</v>
      </c>
      <c r="AA43" s="1557">
        <f t="shared" si="3"/>
        <v>1</v>
      </c>
      <c r="AB43" s="1557">
        <f t="shared" si="4"/>
        <v>1</v>
      </c>
      <c r="AC43" s="1557">
        <f t="shared" si="5"/>
        <v>1</v>
      </c>
    </row>
    <row r="44" spans="1:29" s="1199" customFormat="1" ht="15">
      <c r="A44" s="580"/>
      <c r="B44" s="857"/>
      <c r="C44" s="860">
        <v>6</v>
      </c>
      <c r="D44" s="232">
        <v>100</v>
      </c>
      <c r="E44" s="860" t="s">
        <v>3322</v>
      </c>
      <c r="F44" s="843">
        <f>SUMIF(126:126,E44,127:127)-SUMIF(126:126,C44,127:127)+100</f>
        <v>100</v>
      </c>
      <c r="G44" s="3196" t="s">
        <v>3336</v>
      </c>
      <c r="H44" s="232">
        <f>SUMIF(126:126,G44,127:127)-SUMIF(126:126,C44,127:127)+100</f>
        <v>100</v>
      </c>
      <c r="I44" s="860" t="s">
        <v>3331</v>
      </c>
      <c r="J44" s="232">
        <f>SUMIF(126:126,I44,127:127)-SUMIF(126:126,C44,127:127)+100</f>
        <v>100</v>
      </c>
      <c r="K44" s="845"/>
      <c r="L44" s="2115"/>
      <c r="M44" s="2116"/>
      <c r="N44" s="2116"/>
      <c r="O44" s="2117"/>
      <c r="P44" s="3437"/>
      <c r="Q44" s="1130">
        <f t="shared" si="11"/>
        <v>0</v>
      </c>
      <c r="R44" s="1549" t="s">
        <v>11</v>
      </c>
      <c r="S44" s="1550">
        <f t="shared" si="12"/>
        <v>100</v>
      </c>
      <c r="T44" s="1549" t="s">
        <v>11</v>
      </c>
      <c r="U44" s="1550">
        <f t="shared" si="13"/>
        <v>100</v>
      </c>
      <c r="V44" s="1549" t="s">
        <v>11</v>
      </c>
      <c r="W44" s="1550">
        <f t="shared" si="14"/>
        <v>100</v>
      </c>
      <c r="X44" s="1551"/>
      <c r="Y44" s="3437"/>
      <c r="Z44" s="1129">
        <f t="shared" si="15"/>
        <v>0</v>
      </c>
      <c r="AA44" s="1552">
        <f t="shared" si="3"/>
        <v>1</v>
      </c>
      <c r="AB44" s="1552">
        <f t="shared" si="4"/>
        <v>1</v>
      </c>
      <c r="AC44" s="1552">
        <f t="shared" si="5"/>
        <v>1</v>
      </c>
    </row>
    <row r="45" spans="1:29" ht="15">
      <c r="A45" s="574"/>
      <c r="B45" s="857"/>
      <c r="C45" s="519"/>
      <c r="D45" s="520">
        <v>100</v>
      </c>
      <c r="E45" s="519"/>
      <c r="F45" s="555">
        <f>SUMIF(128:128,E45,129:129)-SUMIF(128:128,C45,129:129)+100</f>
        <v>100</v>
      </c>
      <c r="G45" s="519"/>
      <c r="H45" s="520">
        <f>SUMIF(128:128,G45,129:129)-SUMIF(128:128,C45,129:129)+100</f>
        <v>100</v>
      </c>
      <c r="I45" s="519"/>
      <c r="J45" s="520">
        <f>SUMIF(128:128,I45,129:129)-SUMIF(128:128,C45,129:129)+100</f>
        <v>100</v>
      </c>
      <c r="K45" s="845"/>
      <c r="L45" s="2122"/>
      <c r="M45" s="2114"/>
      <c r="N45" s="2114"/>
      <c r="O45" s="2121"/>
      <c r="P45" s="3437"/>
      <c r="Q45" s="1553">
        <f t="shared" si="11"/>
        <v>0</v>
      </c>
      <c r="R45" s="1554" t="s">
        <v>11</v>
      </c>
      <c r="S45" s="1555">
        <f t="shared" si="12"/>
        <v>100</v>
      </c>
      <c r="T45" s="1554" t="s">
        <v>11</v>
      </c>
      <c r="U45" s="1555">
        <f t="shared" si="13"/>
        <v>100</v>
      </c>
      <c r="V45" s="1554" t="s">
        <v>11</v>
      </c>
      <c r="W45" s="1555">
        <f t="shared" si="14"/>
        <v>100</v>
      </c>
      <c r="X45" s="1548"/>
      <c r="Y45" s="3437"/>
      <c r="Z45" s="1556">
        <f t="shared" si="15"/>
        <v>0</v>
      </c>
      <c r="AA45" s="1557">
        <f t="shared" si="3"/>
        <v>1</v>
      </c>
      <c r="AB45" s="1557">
        <f t="shared" si="4"/>
        <v>1</v>
      </c>
      <c r="AC45" s="1557">
        <f t="shared" si="5"/>
        <v>1</v>
      </c>
    </row>
    <row r="46" spans="1:29" ht="15.75" thickBot="1">
      <c r="A46" s="866"/>
      <c r="B46" s="524"/>
      <c r="C46" s="525"/>
      <c r="D46" s="526">
        <v>100</v>
      </c>
      <c r="E46" s="525"/>
      <c r="F46" s="846">
        <f>SUMIF(130:130,E46,131:131)-SUMIF(130:130,C46,131:131)+100</f>
        <v>100</v>
      </c>
      <c r="G46" s="525"/>
      <c r="H46" s="526">
        <f>SUMIF(130:130,G46,131:131)-SUMIF(130:130,C46,131:131)+100</f>
        <v>100</v>
      </c>
      <c r="I46" s="525"/>
      <c r="J46" s="526">
        <f>SUMIF(130:130,I46,131:131)-SUMIF(130:130,C46,131:131)+100</f>
        <v>100</v>
      </c>
      <c r="K46" s="845"/>
      <c r="L46" s="2122"/>
      <c r="M46" s="2114"/>
      <c r="N46" s="2114"/>
      <c r="O46" s="2121"/>
      <c r="P46" s="3513"/>
      <c r="Q46" s="1553">
        <f t="shared" si="11"/>
        <v>0</v>
      </c>
      <c r="R46" s="1554" t="s">
        <v>10</v>
      </c>
      <c r="S46" s="1555">
        <f t="shared" si="12"/>
        <v>100</v>
      </c>
      <c r="T46" s="1554" t="s">
        <v>10</v>
      </c>
      <c r="U46" s="1555">
        <f t="shared" si="13"/>
        <v>100</v>
      </c>
      <c r="V46" s="1554" t="s">
        <v>10</v>
      </c>
      <c r="W46" s="1555">
        <f t="shared" si="14"/>
        <v>100</v>
      </c>
      <c r="X46" s="1548"/>
      <c r="Y46" s="3513"/>
      <c r="Z46" s="1556">
        <f t="shared" si="15"/>
        <v>0</v>
      </c>
      <c r="AA46" s="1557">
        <f t="shared" si="3"/>
        <v>1</v>
      </c>
      <c r="AB46" s="1557">
        <f t="shared" si="4"/>
        <v>1</v>
      </c>
      <c r="AC46" s="1557">
        <f t="shared" si="5"/>
        <v>1</v>
      </c>
    </row>
    <row r="47" spans="1:29" ht="15">
      <c r="A47" s="587" t="s">
        <v>790</v>
      </c>
      <c r="B47" s="867"/>
      <c r="C47" s="2640" t="s">
        <v>9</v>
      </c>
      <c r="D47" s="2641"/>
      <c r="E47" s="2642">
        <f>ROUND(49500*0.98,0)</f>
        <v>48510</v>
      </c>
      <c r="F47" s="2643"/>
      <c r="G47" s="2644">
        <f>ROUND(55000*0.98,0)</f>
        <v>53900</v>
      </c>
      <c r="H47" s="2645"/>
      <c r="I47" s="2644">
        <v>49265</v>
      </c>
      <c r="J47" s="2645"/>
      <c r="K47" s="1587"/>
      <c r="L47" s="2124"/>
      <c r="M47" s="2125"/>
      <c r="N47" s="2114"/>
      <c r="O47" s="2125"/>
      <c r="P47" s="3396" t="str">
        <f>A47</f>
        <v>成交单价（元/平方米）</v>
      </c>
      <c r="Q47" s="3396"/>
      <c r="R47" s="3512">
        <f>E47</f>
        <v>48510</v>
      </c>
      <c r="S47" s="3512"/>
      <c r="T47" s="3512">
        <f>G47</f>
        <v>53900</v>
      </c>
      <c r="U47" s="3512"/>
      <c r="V47" s="3512">
        <f>I47</f>
        <v>49265</v>
      </c>
      <c r="W47" s="3512"/>
      <c r="X47" s="1540"/>
      <c r="Y47" s="1562"/>
      <c r="Z47" s="1540"/>
      <c r="AA47" s="1540"/>
      <c r="AB47" s="1540"/>
      <c r="AC47" s="1540"/>
    </row>
    <row r="48" spans="1:29" ht="15.75" thickBot="1">
      <c r="A48" s="595" t="s">
        <v>3043</v>
      </c>
      <c r="B48" s="868"/>
      <c r="C48" s="2646">
        <f>R49</f>
        <v>63747</v>
      </c>
      <c r="D48" s="2647"/>
      <c r="E48" s="2648">
        <f>R48</f>
        <v>61786</v>
      </c>
      <c r="F48" s="2648"/>
      <c r="G48" s="2646">
        <f>T48</f>
        <v>67305</v>
      </c>
      <c r="H48" s="2647"/>
      <c r="I48" s="2648">
        <f>V48</f>
        <v>62151</v>
      </c>
      <c r="J48" s="2647"/>
      <c r="K48" s="1588"/>
      <c r="L48" s="2124"/>
      <c r="M48" s="2125"/>
      <c r="N48" s="2125"/>
      <c r="O48" s="2125"/>
      <c r="P48" s="3396" t="str">
        <f>A48</f>
        <v>比较价格（元/平方米）</v>
      </c>
      <c r="Q48" s="3396"/>
      <c r="R48" s="3512">
        <f>IF(F1="售价",ROUND(PRODUCT(R47,AA7:AA46),0),ROUND(PRODUCT(R47,AA7:AA46),1))</f>
        <v>61786</v>
      </c>
      <c r="S48" s="3512"/>
      <c r="T48" s="3512">
        <f>IF(F1="售价",ROUND(PRODUCT(T47,AB7:AB46),0),ROUND(PRODUCT(T47,AB7:AB46),1))</f>
        <v>67305</v>
      </c>
      <c r="U48" s="3512"/>
      <c r="V48" s="3512">
        <f>IF(F1="售价",ROUND(PRODUCT(V47,AC7:AC46),0),ROUND(PRODUCT(V47,AC7:AC46),1))</f>
        <v>62151</v>
      </c>
      <c r="W48" s="3512"/>
      <c r="X48" s="1540"/>
      <c r="Y48" s="1540"/>
      <c r="Z48" s="1540"/>
      <c r="AA48" s="1540"/>
      <c r="AB48" s="1540"/>
      <c r="AC48" s="1540"/>
    </row>
    <row r="49" spans="1:29" ht="15.75" thickBot="1">
      <c r="A49" s="601" t="s">
        <v>3044</v>
      </c>
      <c r="B49" s="602"/>
      <c r="C49" s="2649">
        <f>R49</f>
        <v>63747</v>
      </c>
      <c r="D49" s="2649"/>
      <c r="E49" s="2649"/>
      <c r="F49" s="2649"/>
      <c r="G49" s="2649"/>
      <c r="H49" s="2649"/>
      <c r="I49" s="2649"/>
      <c r="J49" s="2649"/>
      <c r="K49" s="1589"/>
      <c r="L49" s="2124"/>
      <c r="M49" s="2125"/>
      <c r="N49" s="2125"/>
      <c r="O49" s="2125"/>
      <c r="P49" s="3393" t="str">
        <f>A49</f>
        <v>估价对象XX用房的比较价格（楼面单价，元/平方米）</v>
      </c>
      <c r="Q49" s="3394"/>
      <c r="R49" s="3511">
        <f>IF(F1="售价",ROUND(AVERAGE(R48:V48),0),ROUND(AVERAGE(R48:V48),1))</f>
        <v>63747</v>
      </c>
      <c r="S49" s="3511"/>
      <c r="T49" s="3511"/>
      <c r="U49" s="3511"/>
      <c r="V49" s="3511"/>
      <c r="W49" s="3511"/>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04" t="s">
        <v>553</v>
      </c>
      <c r="D52" s="605"/>
      <c r="E52" s="606">
        <f>IF(E47&lt;E48,E48/E47-1,E47/E48-1)</f>
        <v>0.27367553081838802</v>
      </c>
      <c r="F52" s="607" t="str">
        <f>IF(OR(E52&gt;=0.3,E52&lt;=-0.3),"超过30%","")</f>
        <v/>
      </c>
      <c r="G52" s="606">
        <f>IF(G47&lt;G48,G48/G47-1,G47/G48-1)</f>
        <v>0.24870129870129865</v>
      </c>
      <c r="H52" s="607" t="str">
        <f>IF(OR(G52&gt;=0.3,G52&lt;=-0.3),"超过30%","")</f>
        <v/>
      </c>
      <c r="I52" s="606">
        <f>IF(I47&lt;I48,I48/I47-1,I47/I48-1)</f>
        <v>0.2615650055820562</v>
      </c>
      <c r="J52" s="607"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04" t="s">
        <v>554</v>
      </c>
      <c r="D53" s="608"/>
      <c r="E53" s="606">
        <f>IF(E48&lt;G48,G48/E48-1,E48/G48-1)</f>
        <v>8.9324442430324114E-2</v>
      </c>
      <c r="F53" s="607" t="str">
        <f>IF(OR(E53&gt;=0.2,E53&lt;=-0.2),"超过20%","")</f>
        <v/>
      </c>
      <c r="G53" s="606">
        <f>IF(G48&lt;I48,I48/G48-1,G48/I48-1)</f>
        <v>8.2927064729449329E-2</v>
      </c>
      <c r="H53" s="607" t="str">
        <f>IF(OR(G53&gt;=0.2,G53&lt;=-0.2),"超过20%","")</f>
        <v/>
      </c>
      <c r="I53" s="606">
        <f>IF(I48&lt;E48,E48/I48-1,I48/E48-1)</f>
        <v>5.9074871330073719E-3</v>
      </c>
      <c r="J53" s="607"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0" customFormat="1" ht="13.5" customHeight="1">
      <c r="A54" s="2126"/>
      <c r="B54" s="2126"/>
      <c r="C54" s="604" t="s">
        <v>555</v>
      </c>
      <c r="D54" s="608"/>
      <c r="E54" s="606">
        <f>IF(E47&lt;G47,G47/E47-1,E47/G47-1)</f>
        <v>0.11111111111111116</v>
      </c>
      <c r="F54" s="607" t="str">
        <f>IF(OR(E54&gt;=0.3,E54&lt;=-0.3),"超过30%","")</f>
        <v/>
      </c>
      <c r="G54" s="606">
        <f>IF(G47&lt;I47,I47/G47-1,G47/I47-1)</f>
        <v>9.4083020399878148E-2</v>
      </c>
      <c r="H54" s="607" t="str">
        <f>IF(OR(G54&gt;=0.3,G54&lt;=-0.3),"超过30%","")</f>
        <v/>
      </c>
      <c r="I54" s="606">
        <f>IF(I47&lt;E47,E47/I47-1,I47/E47-1)</f>
        <v>1.5563801278086986E-2</v>
      </c>
      <c r="J54" s="607"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0"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5" t="s">
        <v>570</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2" customFormat="1" ht="15">
      <c r="A58" s="625" t="s">
        <v>518</v>
      </c>
      <c r="B58" s="626"/>
      <c r="C58" s="2822" t="str">
        <f>YEAR(C7)&amp;"-"&amp;MONTH(C7)</f>
        <v>2017-6</v>
      </c>
      <c r="D58" s="2822">
        <f>EDATE(C58,-1)</f>
        <v>42856</v>
      </c>
      <c r="E58" s="2822">
        <f t="shared" ref="E58:O58" si="16">EDATE(D58,-1)</f>
        <v>42826</v>
      </c>
      <c r="F58" s="2822">
        <f t="shared" si="16"/>
        <v>42795</v>
      </c>
      <c r="G58" s="2822">
        <f t="shared" si="16"/>
        <v>42767</v>
      </c>
      <c r="H58" s="2822">
        <f t="shared" si="16"/>
        <v>42736</v>
      </c>
      <c r="I58" s="2822">
        <f t="shared" si="16"/>
        <v>42705</v>
      </c>
      <c r="J58" s="2822">
        <f t="shared" si="16"/>
        <v>42675</v>
      </c>
      <c r="K58" s="2822">
        <f t="shared" si="16"/>
        <v>42644</v>
      </c>
      <c r="L58" s="2822">
        <f t="shared" si="16"/>
        <v>42614</v>
      </c>
      <c r="M58" s="2822">
        <f t="shared" si="16"/>
        <v>42583</v>
      </c>
      <c r="N58" s="2822">
        <f t="shared" si="16"/>
        <v>42552</v>
      </c>
      <c r="O58" s="2822">
        <f t="shared" si="16"/>
        <v>42522</v>
      </c>
      <c r="P58" s="2140"/>
      <c r="Q58" s="2141"/>
      <c r="R58" s="2141"/>
      <c r="S58" s="2141"/>
      <c r="T58" s="2141"/>
      <c r="U58" s="2141"/>
      <c r="V58" s="2141"/>
      <c r="W58" s="2141"/>
      <c r="X58" s="2141"/>
      <c r="Y58" s="2141"/>
      <c r="Z58" s="2141"/>
      <c r="AA58" s="2141"/>
      <c r="AB58" s="2141"/>
      <c r="AC58" s="2141"/>
    </row>
    <row r="59" spans="1:29" s="1199" customFormat="1" ht="15">
      <c r="A59" s="627"/>
      <c r="B59" s="628"/>
      <c r="C59" s="629">
        <v>100</v>
      </c>
      <c r="D59" s="630">
        <v>99</v>
      </c>
      <c r="E59" s="630">
        <v>98</v>
      </c>
      <c r="F59" s="630">
        <v>97</v>
      </c>
      <c r="G59" s="630">
        <v>96</v>
      </c>
      <c r="H59" s="630">
        <v>95</v>
      </c>
      <c r="I59" s="630">
        <v>94</v>
      </c>
      <c r="J59" s="630">
        <v>93</v>
      </c>
      <c r="K59" s="630">
        <v>92</v>
      </c>
      <c r="L59" s="630">
        <v>91</v>
      </c>
      <c r="M59" s="630">
        <v>90</v>
      </c>
      <c r="N59" s="630">
        <v>89</v>
      </c>
      <c r="O59" s="630">
        <v>88</v>
      </c>
      <c r="P59" s="2138"/>
      <c r="Q59" s="1969"/>
      <c r="R59" s="1969"/>
      <c r="S59" s="1969"/>
      <c r="T59" s="1969"/>
      <c r="U59" s="1969"/>
      <c r="V59" s="1969"/>
      <c r="W59" s="1969"/>
      <c r="X59" s="1969"/>
      <c r="Y59" s="1969"/>
      <c r="Z59" s="1969"/>
      <c r="AA59" s="1969"/>
      <c r="AB59" s="1969"/>
      <c r="AC59" s="1969"/>
    </row>
    <row r="60" spans="1:29" s="1199" customFormat="1" ht="15.75" thickBot="1">
      <c r="A60" s="633" t="s">
        <v>571</v>
      </c>
      <c r="B60" s="634"/>
      <c r="C60" s="635"/>
      <c r="D60" s="636"/>
      <c r="E60" s="636"/>
      <c r="F60" s="636"/>
      <c r="G60" s="636"/>
      <c r="H60" s="636"/>
      <c r="I60" s="636"/>
      <c r="J60" s="636"/>
      <c r="K60" s="636"/>
      <c r="L60" s="636"/>
      <c r="M60" s="637"/>
      <c r="N60" s="636"/>
      <c r="O60" s="638"/>
      <c r="P60" s="2138"/>
      <c r="Q60" s="2138"/>
      <c r="R60" s="1969"/>
      <c r="S60" s="1969"/>
      <c r="T60" s="1969"/>
      <c r="U60" s="1969"/>
      <c r="V60" s="1969"/>
      <c r="W60" s="1969"/>
      <c r="X60" s="1969"/>
      <c r="Y60" s="1969"/>
      <c r="Z60" s="1969"/>
      <c r="AA60" s="1969"/>
      <c r="AB60" s="1969"/>
      <c r="AC60" s="1969"/>
    </row>
    <row r="61" spans="1:29" s="1199" customFormat="1" ht="15">
      <c r="A61" s="639" t="s">
        <v>520</v>
      </c>
      <c r="B61" s="628"/>
      <c r="C61" s="640" t="s">
        <v>572</v>
      </c>
      <c r="D61" s="641" t="s">
        <v>573</v>
      </c>
      <c r="E61" s="641"/>
      <c r="F61" s="641"/>
      <c r="G61" s="641"/>
      <c r="H61" s="641"/>
      <c r="I61" s="641"/>
      <c r="J61" s="641"/>
      <c r="K61" s="641"/>
      <c r="L61" s="642"/>
      <c r="M61" s="643"/>
      <c r="N61" s="2142"/>
      <c r="O61" s="2142"/>
      <c r="P61" s="2143"/>
      <c r="Q61" s="2138"/>
      <c r="R61" s="1969"/>
      <c r="S61" s="1969"/>
      <c r="T61" s="1969"/>
      <c r="U61" s="1969"/>
      <c r="V61" s="1969"/>
      <c r="W61" s="1969"/>
      <c r="X61" s="1969"/>
      <c r="Y61" s="1969"/>
      <c r="Z61" s="1969"/>
      <c r="AA61" s="1969"/>
      <c r="AB61" s="1969"/>
      <c r="AC61" s="1969"/>
    </row>
    <row r="62" spans="1:29" s="1199" customFormat="1" ht="15.75" thickBot="1">
      <c r="A62" s="639"/>
      <c r="B62" s="628"/>
      <c r="C62" s="869">
        <v>100</v>
      </c>
      <c r="D62" s="630"/>
      <c r="E62" s="630"/>
      <c r="F62" s="630"/>
      <c r="G62" s="630"/>
      <c r="H62" s="630"/>
      <c r="I62" s="630"/>
      <c r="J62" s="630"/>
      <c r="K62" s="630"/>
      <c r="L62" s="630"/>
      <c r="M62" s="632"/>
      <c r="N62" s="2142"/>
      <c r="O62" s="2142"/>
      <c r="P62" s="2138"/>
      <c r="Q62" s="2138"/>
      <c r="R62" s="1969"/>
      <c r="S62" s="1969"/>
      <c r="T62" s="1969"/>
      <c r="U62" s="1969"/>
      <c r="V62" s="1969"/>
      <c r="W62" s="1969"/>
      <c r="X62" s="1969"/>
      <c r="Y62" s="1969"/>
      <c r="Z62" s="1969"/>
      <c r="AA62" s="1969"/>
      <c r="AB62" s="1969"/>
      <c r="AC62" s="1969"/>
    </row>
    <row r="63" spans="1:29">
      <c r="A63" s="644" t="s">
        <v>574</v>
      </c>
      <c r="B63" s="645" t="s">
        <v>523</v>
      </c>
      <c r="C63" s="684" t="str">
        <f>C9</f>
        <v>住宅</v>
      </c>
      <c r="D63" s="578" t="s">
        <v>791</v>
      </c>
      <c r="E63" s="578"/>
      <c r="F63" s="578"/>
      <c r="G63" s="578"/>
      <c r="H63" s="578"/>
      <c r="I63" s="578"/>
      <c r="J63" s="578"/>
      <c r="K63" s="646"/>
      <c r="L63" s="647"/>
      <c r="M63" s="648"/>
      <c r="N63" s="2144"/>
      <c r="O63" s="2144"/>
      <c r="P63" s="2145"/>
      <c r="Q63" s="2138"/>
      <c r="R63" s="2125"/>
      <c r="S63" s="2125"/>
      <c r="T63" s="2125"/>
      <c r="U63" s="2125"/>
      <c r="V63" s="2125"/>
      <c r="W63" s="2125"/>
      <c r="X63" s="2125"/>
      <c r="Y63" s="2125"/>
      <c r="Z63" s="2125"/>
      <c r="AA63" s="2125"/>
      <c r="AB63" s="2125"/>
      <c r="AC63" s="2125"/>
    </row>
    <row r="64" spans="1:29" ht="15.75" thickBot="1">
      <c r="A64" s="649"/>
      <c r="B64" s="650"/>
      <c r="C64" s="651">
        <v>100</v>
      </c>
      <c r="D64" s="651">
        <v>95</v>
      </c>
      <c r="E64" s="1590"/>
      <c r="F64" s="1590"/>
      <c r="G64" s="1590"/>
      <c r="H64" s="1590"/>
      <c r="I64" s="1590"/>
      <c r="J64" s="1590"/>
      <c r="K64" s="1590"/>
      <c r="L64" s="1590"/>
      <c r="M64" s="1591"/>
      <c r="N64" s="2146"/>
      <c r="O64" s="2146"/>
      <c r="P64" s="2145"/>
      <c r="Q64" s="2138"/>
      <c r="R64" s="2125"/>
      <c r="S64" s="2125"/>
      <c r="T64" s="2125"/>
      <c r="U64" s="2125"/>
      <c r="V64" s="2125"/>
      <c r="W64" s="2125"/>
      <c r="X64" s="2125"/>
      <c r="Y64" s="2125"/>
      <c r="Z64" s="2125"/>
      <c r="AA64" s="2125"/>
      <c r="AB64" s="2125"/>
      <c r="AC64" s="2125"/>
    </row>
    <row r="65" spans="1:29" ht="27.75" thickTop="1">
      <c r="A65" s="649"/>
      <c r="B65" s="653" t="s">
        <v>526</v>
      </c>
      <c r="C65" s="654" t="s">
        <v>792</v>
      </c>
      <c r="D65" s="654" t="s">
        <v>793</v>
      </c>
      <c r="E65" s="654" t="s">
        <v>794</v>
      </c>
      <c r="F65" s="654" t="s">
        <v>795</v>
      </c>
      <c r="G65" s="654" t="s">
        <v>796</v>
      </c>
      <c r="H65" s="654" t="s">
        <v>797</v>
      </c>
      <c r="I65" s="654" t="s">
        <v>798</v>
      </c>
      <c r="J65" s="654"/>
      <c r="K65" s="655"/>
      <c r="L65" s="656"/>
      <c r="M65" s="657"/>
      <c r="N65" s="2144"/>
      <c r="O65" s="2144"/>
      <c r="P65" s="2145"/>
      <c r="Q65" s="2138"/>
      <c r="R65" s="2125"/>
      <c r="S65" s="2125"/>
      <c r="T65" s="2125"/>
      <c r="U65" s="2125"/>
      <c r="V65" s="2125"/>
      <c r="W65" s="2125"/>
      <c r="X65" s="2125"/>
      <c r="Y65" s="2125"/>
      <c r="Z65" s="2125"/>
      <c r="AA65" s="2125"/>
      <c r="AB65" s="2125"/>
      <c r="AC65" s="2125"/>
    </row>
    <row r="66" spans="1:29" ht="15.75" thickBot="1">
      <c r="A66" s="649"/>
      <c r="B66" s="658"/>
      <c r="C66" s="659">
        <v>100</v>
      </c>
      <c r="D66" s="659">
        <f t="shared" ref="D66:I66" si="17">C66-$K10</f>
        <v>98</v>
      </c>
      <c r="E66" s="659">
        <f t="shared" si="17"/>
        <v>96</v>
      </c>
      <c r="F66" s="659">
        <f t="shared" si="17"/>
        <v>94</v>
      </c>
      <c r="G66" s="659">
        <f t="shared" si="17"/>
        <v>92</v>
      </c>
      <c r="H66" s="659">
        <f t="shared" si="17"/>
        <v>90</v>
      </c>
      <c r="I66" s="659">
        <f t="shared" si="17"/>
        <v>88</v>
      </c>
      <c r="J66" s="659"/>
      <c r="K66" s="659"/>
      <c r="L66" s="659"/>
      <c r="M66" s="660"/>
      <c r="N66" s="2146"/>
      <c r="O66" s="2146"/>
      <c r="P66" s="2145"/>
      <c r="Q66" s="2138"/>
      <c r="R66" s="2125"/>
      <c r="S66" s="2125"/>
      <c r="T66" s="2125"/>
      <c r="U66" s="2125"/>
      <c r="V66" s="2125"/>
      <c r="W66" s="2125"/>
      <c r="X66" s="2125"/>
      <c r="Y66" s="2125"/>
      <c r="Z66" s="2125"/>
      <c r="AA66" s="2125"/>
      <c r="AB66" s="2125"/>
      <c r="AC66" s="2125"/>
    </row>
    <row r="67" spans="1:29" ht="15.75" thickTop="1">
      <c r="A67" s="649"/>
      <c r="B67" s="661" t="s">
        <v>527</v>
      </c>
      <c r="C67" s="662" t="str">
        <f>C68&amp;"（含）"&amp;"-"&amp;D68</f>
        <v>0（含）-1</v>
      </c>
      <c r="D67" s="662" t="str">
        <f t="shared" ref="D67:L67" si="18">D68&amp;"（含）"&amp;"-"&amp;E68</f>
        <v>1（含）-2</v>
      </c>
      <c r="E67" s="662" t="str">
        <f t="shared" si="18"/>
        <v>2（含）-3</v>
      </c>
      <c r="F67" s="662" t="str">
        <f t="shared" si="18"/>
        <v>3（含）-4</v>
      </c>
      <c r="G67" s="662" t="str">
        <f t="shared" si="18"/>
        <v>4（含）-</v>
      </c>
      <c r="H67" s="662" t="str">
        <f t="shared" si="18"/>
        <v>（含）-</v>
      </c>
      <c r="I67" s="662" t="str">
        <f t="shared" si="18"/>
        <v>（含）-</v>
      </c>
      <c r="J67" s="662" t="str">
        <f t="shared" si="18"/>
        <v>（含）-</v>
      </c>
      <c r="K67" s="662" t="str">
        <f t="shared" si="18"/>
        <v>（含）-</v>
      </c>
      <c r="L67" s="662" t="str">
        <f t="shared" si="18"/>
        <v>（含）-</v>
      </c>
      <c r="M67" s="535"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49"/>
      <c r="B68" s="663"/>
      <c r="C68" s="521">
        <v>0</v>
      </c>
      <c r="D68" s="521">
        <v>1</v>
      </c>
      <c r="E68" s="521">
        <v>2</v>
      </c>
      <c r="F68" s="521">
        <v>3</v>
      </c>
      <c r="G68" s="521">
        <v>4</v>
      </c>
      <c r="H68" s="521"/>
      <c r="I68" s="521"/>
      <c r="J68" s="521"/>
      <c r="K68" s="664"/>
      <c r="L68" s="665"/>
      <c r="M68" s="666"/>
      <c r="N68" s="2144"/>
      <c r="O68" s="2144"/>
      <c r="P68" s="2145"/>
      <c r="Q68" s="2138"/>
      <c r="R68" s="2125"/>
      <c r="S68" s="2125"/>
      <c r="T68" s="2125"/>
      <c r="U68" s="2125"/>
      <c r="V68" s="2125"/>
      <c r="W68" s="2125"/>
      <c r="X68" s="2125"/>
      <c r="Y68" s="2125"/>
      <c r="Z68" s="2125"/>
      <c r="AA68" s="2125"/>
      <c r="AB68" s="2125"/>
      <c r="AC68" s="2125"/>
    </row>
    <row r="69" spans="1:29" ht="15.75" thickBot="1">
      <c r="A69" s="649"/>
      <c r="B69" s="650"/>
      <c r="C69" s="659">
        <v>100</v>
      </c>
      <c r="D69" s="659">
        <f t="shared" ref="D69:M69" si="19">C69-$K11</f>
        <v>99</v>
      </c>
      <c r="E69" s="659">
        <f t="shared" si="19"/>
        <v>98</v>
      </c>
      <c r="F69" s="659">
        <f t="shared" si="19"/>
        <v>97</v>
      </c>
      <c r="G69" s="659">
        <f t="shared" si="19"/>
        <v>96</v>
      </c>
      <c r="H69" s="659">
        <f t="shared" si="19"/>
        <v>95</v>
      </c>
      <c r="I69" s="659">
        <f t="shared" si="19"/>
        <v>94</v>
      </c>
      <c r="J69" s="659">
        <f t="shared" si="19"/>
        <v>93</v>
      </c>
      <c r="K69" s="659">
        <f t="shared" si="19"/>
        <v>92</v>
      </c>
      <c r="L69" s="659">
        <f t="shared" si="19"/>
        <v>91</v>
      </c>
      <c r="M69" s="660">
        <f t="shared" si="19"/>
        <v>90</v>
      </c>
      <c r="N69" s="2146"/>
      <c r="O69" s="2146"/>
      <c r="P69" s="2145"/>
      <c r="Q69" s="2138"/>
      <c r="R69" s="2125"/>
      <c r="S69" s="2125"/>
      <c r="T69" s="2125"/>
      <c r="U69" s="2125"/>
      <c r="V69" s="2125"/>
      <c r="W69" s="2125"/>
      <c r="X69" s="2125"/>
      <c r="Y69" s="2125"/>
      <c r="Z69" s="2125"/>
      <c r="AA69" s="2125"/>
      <c r="AB69" s="2125"/>
      <c r="AC69" s="2125"/>
    </row>
    <row r="70" spans="1:29" s="1324" customFormat="1" ht="15.75" thickTop="1">
      <c r="A70" s="667"/>
      <c r="B70" s="653">
        <f>B12</f>
        <v>0</v>
      </c>
      <c r="C70" s="668">
        <v>111</v>
      </c>
      <c r="D70" s="668">
        <v>222</v>
      </c>
      <c r="E70" s="668">
        <v>333</v>
      </c>
      <c r="F70" s="668">
        <v>444</v>
      </c>
      <c r="G70" s="668"/>
      <c r="H70" s="669"/>
      <c r="I70" s="669"/>
      <c r="J70" s="669"/>
      <c r="K70" s="669"/>
      <c r="L70" s="670"/>
      <c r="M70" s="671"/>
      <c r="N70" s="2147"/>
      <c r="O70" s="2147"/>
      <c r="P70" s="2148"/>
      <c r="Q70" s="2149"/>
      <c r="R70" s="2150"/>
      <c r="S70" s="2150"/>
      <c r="T70" s="2150"/>
      <c r="U70" s="2150"/>
      <c r="V70" s="2150"/>
      <c r="W70" s="2150"/>
      <c r="X70" s="2150"/>
      <c r="Y70" s="2150"/>
      <c r="Z70" s="2150"/>
      <c r="AA70" s="2150"/>
      <c r="AB70" s="2150"/>
      <c r="AC70" s="2150"/>
    </row>
    <row r="71" spans="1:29" s="1324" customFormat="1" ht="15.75" thickBot="1">
      <c r="A71" s="667"/>
      <c r="B71" s="658"/>
      <c r="C71" s="672">
        <v>100</v>
      </c>
      <c r="D71" s="651">
        <v>99</v>
      </c>
      <c r="E71" s="651">
        <v>98</v>
      </c>
      <c r="F71" s="651">
        <v>97</v>
      </c>
      <c r="G71" s="651"/>
      <c r="H71" s="651"/>
      <c r="I71" s="651"/>
      <c r="J71" s="651"/>
      <c r="K71" s="651"/>
      <c r="L71" s="651"/>
      <c r="M71" s="652"/>
      <c r="N71" s="2146"/>
      <c r="O71" s="2146"/>
      <c r="P71" s="2148"/>
      <c r="Q71" s="2149"/>
      <c r="R71" s="2150"/>
      <c r="S71" s="2150"/>
      <c r="T71" s="2150"/>
      <c r="U71" s="2150"/>
      <c r="V71" s="2150"/>
      <c r="W71" s="2150"/>
      <c r="X71" s="2150"/>
      <c r="Y71" s="2150"/>
      <c r="Z71" s="2150"/>
      <c r="AA71" s="2150"/>
      <c r="AB71" s="2150"/>
      <c r="AC71" s="2150"/>
    </row>
    <row r="72" spans="1:29" s="1324" customFormat="1" ht="15.75" thickTop="1">
      <c r="A72" s="667"/>
      <c r="B72" s="653">
        <f>B13</f>
        <v>0</v>
      </c>
      <c r="C72" s="668">
        <v>111</v>
      </c>
      <c r="D72" s="668">
        <v>222</v>
      </c>
      <c r="E72" s="668">
        <v>333</v>
      </c>
      <c r="F72" s="668">
        <v>444</v>
      </c>
      <c r="G72" s="668"/>
      <c r="H72" s="669"/>
      <c r="I72" s="669"/>
      <c r="J72" s="669"/>
      <c r="K72" s="669"/>
      <c r="L72" s="670"/>
      <c r="M72" s="671"/>
      <c r="N72" s="2147"/>
      <c r="O72" s="2147"/>
      <c r="P72" s="2151"/>
      <c r="Q72" s="2152"/>
      <c r="R72" s="2150"/>
      <c r="S72" s="2150"/>
      <c r="T72" s="2150"/>
      <c r="U72" s="2150"/>
      <c r="V72" s="2150"/>
      <c r="W72" s="2150"/>
      <c r="X72" s="2150"/>
      <c r="Y72" s="2150"/>
      <c r="Z72" s="2150"/>
      <c r="AA72" s="2150"/>
      <c r="AB72" s="2150"/>
      <c r="AC72" s="2150"/>
    </row>
    <row r="73" spans="1:29" s="1324" customFormat="1" ht="15.75" thickBot="1">
      <c r="A73" s="667"/>
      <c r="B73" s="658"/>
      <c r="C73" s="672">
        <v>100</v>
      </c>
      <c r="D73" s="672">
        <v>98</v>
      </c>
      <c r="E73" s="672">
        <v>96</v>
      </c>
      <c r="F73" s="672">
        <v>94</v>
      </c>
      <c r="G73" s="672"/>
      <c r="H73" s="673"/>
      <c r="I73" s="673"/>
      <c r="J73" s="673"/>
      <c r="K73" s="673"/>
      <c r="L73" s="673"/>
      <c r="M73" s="674"/>
      <c r="N73" s="2147"/>
      <c r="O73" s="2147"/>
      <c r="P73" s="2148"/>
      <c r="Q73" s="2149"/>
      <c r="R73" s="2150"/>
      <c r="S73" s="2150"/>
      <c r="T73" s="2150"/>
      <c r="U73" s="2150"/>
      <c r="V73" s="2150"/>
      <c r="W73" s="2150"/>
      <c r="X73" s="2150"/>
      <c r="Y73" s="2150"/>
      <c r="Z73" s="2150"/>
      <c r="AA73" s="2150"/>
      <c r="AB73" s="2150"/>
      <c r="AC73" s="2150"/>
    </row>
    <row r="74" spans="1:29" s="1324" customFormat="1" ht="15.75" thickTop="1">
      <c r="A74" s="667"/>
      <c r="B74" s="661">
        <f>B14</f>
        <v>0</v>
      </c>
      <c r="C74" s="668">
        <v>111</v>
      </c>
      <c r="D74" s="668">
        <v>222</v>
      </c>
      <c r="E74" s="668">
        <v>333</v>
      </c>
      <c r="F74" s="668">
        <v>444</v>
      </c>
      <c r="G74" s="641"/>
      <c r="H74" s="675"/>
      <c r="I74" s="675"/>
      <c r="J74" s="675"/>
      <c r="K74" s="675"/>
      <c r="L74" s="676"/>
      <c r="M74" s="677"/>
      <c r="N74" s="2147"/>
      <c r="O74" s="2147"/>
      <c r="P74" s="2153"/>
      <c r="Q74" s="2149"/>
      <c r="R74" s="2150"/>
      <c r="S74" s="2150"/>
      <c r="T74" s="2150"/>
      <c r="U74" s="2150"/>
      <c r="V74" s="2150"/>
      <c r="W74" s="2150"/>
      <c r="X74" s="2150"/>
      <c r="Y74" s="2150"/>
      <c r="Z74" s="2150"/>
      <c r="AA74" s="2150"/>
      <c r="AB74" s="2150"/>
      <c r="AC74" s="2150"/>
    </row>
    <row r="75" spans="1:29" s="1324" customFormat="1" ht="15.75" thickBot="1">
      <c r="A75" s="678"/>
      <c r="B75" s="679"/>
      <c r="C75" s="680">
        <v>100</v>
      </c>
      <c r="D75" s="680">
        <v>97</v>
      </c>
      <c r="E75" s="680">
        <v>94</v>
      </c>
      <c r="F75" s="680">
        <v>91</v>
      </c>
      <c r="G75" s="680"/>
      <c r="H75" s="681"/>
      <c r="I75" s="681"/>
      <c r="J75" s="681"/>
      <c r="K75" s="681"/>
      <c r="L75" s="681"/>
      <c r="M75" s="682"/>
      <c r="N75" s="2147"/>
      <c r="O75" s="2147"/>
      <c r="P75" s="2148"/>
      <c r="Q75" s="2149"/>
      <c r="R75" s="2150"/>
      <c r="S75" s="2150"/>
      <c r="T75" s="2150"/>
      <c r="U75" s="2150"/>
      <c r="V75" s="2150"/>
      <c r="W75" s="2150"/>
      <c r="X75" s="2150"/>
      <c r="Y75" s="2150"/>
      <c r="Z75" s="2150"/>
      <c r="AA75" s="2150"/>
      <c r="AB75" s="2150"/>
      <c r="AC75" s="2150"/>
    </row>
    <row r="76" spans="1:29">
      <c r="A76" s="644" t="s">
        <v>528</v>
      </c>
      <c r="B76" s="645" t="s">
        <v>575</v>
      </c>
      <c r="C76" s="683" t="s">
        <v>576</v>
      </c>
      <c r="D76" s="683" t="s">
        <v>577</v>
      </c>
      <c r="E76" s="683" t="s">
        <v>578</v>
      </c>
      <c r="F76" s="683" t="s">
        <v>579</v>
      </c>
      <c r="G76" s="683" t="s">
        <v>580</v>
      </c>
      <c r="H76" s="684"/>
      <c r="I76" s="684"/>
      <c r="J76" s="684"/>
      <c r="K76" s="685"/>
      <c r="L76" s="686"/>
      <c r="M76" s="687"/>
      <c r="N76" s="2144"/>
      <c r="O76" s="2144"/>
      <c r="P76" s="2154"/>
      <c r="Q76" s="2138"/>
      <c r="R76" s="2125"/>
      <c r="S76" s="2125"/>
      <c r="T76" s="2125"/>
      <c r="U76" s="2125"/>
      <c r="V76" s="2125"/>
      <c r="W76" s="2125"/>
      <c r="X76" s="2125"/>
      <c r="Y76" s="2125"/>
      <c r="Z76" s="2125"/>
      <c r="AA76" s="2125"/>
      <c r="AB76" s="2125"/>
      <c r="AC76" s="2125"/>
    </row>
    <row r="77" spans="1:29" ht="15.75" thickBot="1">
      <c r="A77" s="649"/>
      <c r="B77" s="658"/>
      <c r="C77" s="659">
        <v>100</v>
      </c>
      <c r="D77" s="659">
        <f>C77-$K15</f>
        <v>95</v>
      </c>
      <c r="E77" s="659">
        <f>D77-$K15</f>
        <v>90</v>
      </c>
      <c r="F77" s="659">
        <f>E77-$K15</f>
        <v>85</v>
      </c>
      <c r="G77" s="659">
        <f>F77-$K15</f>
        <v>80</v>
      </c>
      <c r="H77" s="659"/>
      <c r="I77" s="659"/>
      <c r="J77" s="659"/>
      <c r="K77" s="659"/>
      <c r="L77" s="659"/>
      <c r="M77" s="660"/>
      <c r="N77" s="2146"/>
      <c r="O77" s="2146"/>
      <c r="P77" s="2145"/>
      <c r="Q77" s="2138"/>
      <c r="R77" s="2125"/>
      <c r="S77" s="2125"/>
      <c r="T77" s="2125"/>
      <c r="U77" s="2125"/>
      <c r="V77" s="2125"/>
      <c r="W77" s="2125"/>
      <c r="X77" s="2125"/>
      <c r="Y77" s="2125"/>
      <c r="Z77" s="2125"/>
      <c r="AA77" s="2125"/>
      <c r="AB77" s="2125"/>
      <c r="AC77" s="2125"/>
    </row>
    <row r="78" spans="1:29" ht="15.75" thickTop="1">
      <c r="A78" s="649"/>
      <c r="B78" s="653" t="s">
        <v>583</v>
      </c>
      <c r="C78" s="688" t="s">
        <v>576</v>
      </c>
      <c r="D78" s="688" t="s">
        <v>577</v>
      </c>
      <c r="E78" s="688" t="s">
        <v>578</v>
      </c>
      <c r="F78" s="688" t="s">
        <v>579</v>
      </c>
      <c r="G78" s="688" t="s">
        <v>580</v>
      </c>
      <c r="H78" s="654"/>
      <c r="I78" s="654"/>
      <c r="J78" s="654"/>
      <c r="K78" s="655"/>
      <c r="L78" s="656"/>
      <c r="M78" s="657"/>
      <c r="N78" s="2144"/>
      <c r="O78" s="2144"/>
      <c r="P78" s="2145"/>
      <c r="Q78" s="2138"/>
      <c r="R78" s="2125"/>
      <c r="S78" s="2125"/>
      <c r="T78" s="2125"/>
      <c r="U78" s="2125"/>
      <c r="V78" s="2125"/>
      <c r="W78" s="2125"/>
      <c r="X78" s="2125"/>
      <c r="Y78" s="2125"/>
      <c r="Z78" s="2125"/>
      <c r="AA78" s="2125"/>
      <c r="AB78" s="2125"/>
      <c r="AC78" s="2125"/>
    </row>
    <row r="79" spans="1:29" ht="15.75" thickBot="1">
      <c r="A79" s="649"/>
      <c r="B79" s="658"/>
      <c r="C79" s="659">
        <v>100</v>
      </c>
      <c r="D79" s="659">
        <f>C79-$K17</f>
        <v>98</v>
      </c>
      <c r="E79" s="659">
        <f>D79-$K17</f>
        <v>96</v>
      </c>
      <c r="F79" s="659">
        <f>E79-$K17</f>
        <v>94</v>
      </c>
      <c r="G79" s="659">
        <f>F79-$K17</f>
        <v>92</v>
      </c>
      <c r="H79" s="659"/>
      <c r="I79" s="659"/>
      <c r="J79" s="659"/>
      <c r="K79" s="659"/>
      <c r="L79" s="659"/>
      <c r="M79" s="660"/>
      <c r="N79" s="2146"/>
      <c r="O79" s="2146"/>
      <c r="P79" s="2145"/>
      <c r="Q79" s="2138"/>
      <c r="R79" s="2125"/>
      <c r="S79" s="2125"/>
      <c r="T79" s="2125"/>
      <c r="U79" s="2125"/>
      <c r="V79" s="2125"/>
      <c r="W79" s="2125"/>
      <c r="X79" s="2125"/>
      <c r="Y79" s="2125"/>
      <c r="Z79" s="2125"/>
      <c r="AA79" s="2125"/>
      <c r="AB79" s="2125"/>
      <c r="AC79" s="2125"/>
    </row>
    <row r="80" spans="1:29" ht="15.75" thickTop="1">
      <c r="A80" s="649"/>
      <c r="B80" s="1871" t="s">
        <v>2826</v>
      </c>
      <c r="C80" s="688" t="s">
        <v>576</v>
      </c>
      <c r="D80" s="688" t="s">
        <v>577</v>
      </c>
      <c r="E80" s="688" t="s">
        <v>578</v>
      </c>
      <c r="F80" s="688" t="s">
        <v>579</v>
      </c>
      <c r="G80" s="688" t="s">
        <v>580</v>
      </c>
      <c r="H80" s="654"/>
      <c r="I80" s="654"/>
      <c r="J80" s="654"/>
      <c r="K80" s="655"/>
      <c r="L80" s="656"/>
      <c r="M80" s="657"/>
      <c r="N80" s="2144"/>
      <c r="O80" s="2144"/>
      <c r="P80" s="2145"/>
      <c r="Q80" s="2138"/>
      <c r="R80" s="2125"/>
      <c r="S80" s="2125"/>
      <c r="T80" s="2125"/>
      <c r="U80" s="2125"/>
      <c r="V80" s="2125"/>
      <c r="W80" s="2125"/>
      <c r="X80" s="2125"/>
      <c r="Y80" s="2125"/>
      <c r="Z80" s="2125"/>
      <c r="AA80" s="2125"/>
      <c r="AB80" s="2125"/>
      <c r="AC80" s="2125"/>
    </row>
    <row r="81" spans="1:29" ht="15.75" thickBot="1">
      <c r="A81" s="649"/>
      <c r="B81" s="658"/>
      <c r="C81" s="659">
        <v>100</v>
      </c>
      <c r="D81" s="659">
        <f>C81-$K19</f>
        <v>98</v>
      </c>
      <c r="E81" s="659">
        <f>D81-$K19</f>
        <v>96</v>
      </c>
      <c r="F81" s="659">
        <f>E81-$K19</f>
        <v>94</v>
      </c>
      <c r="G81" s="659">
        <f>F81-$K19</f>
        <v>92</v>
      </c>
      <c r="H81" s="659"/>
      <c r="I81" s="659"/>
      <c r="J81" s="659"/>
      <c r="K81" s="659"/>
      <c r="L81" s="659"/>
      <c r="M81" s="660"/>
      <c r="N81" s="2146"/>
      <c r="O81" s="2146"/>
      <c r="P81" s="2145"/>
      <c r="Q81" s="2138"/>
      <c r="R81" s="2125"/>
      <c r="S81" s="2125"/>
      <c r="T81" s="2125"/>
      <c r="U81" s="2125"/>
      <c r="V81" s="2125"/>
      <c r="W81" s="2125"/>
      <c r="X81" s="2125"/>
      <c r="Y81" s="2125"/>
      <c r="Z81" s="2125"/>
      <c r="AA81" s="2125"/>
      <c r="AB81" s="2125"/>
      <c r="AC81" s="2125"/>
    </row>
    <row r="82" spans="1:29" ht="15.75" thickTop="1">
      <c r="A82" s="649"/>
      <c r="B82" s="2610" t="s">
        <v>2827</v>
      </c>
      <c r="C82" s="2611" t="s">
        <v>2828</v>
      </c>
      <c r="D82" s="2611" t="s">
        <v>2829</v>
      </c>
      <c r="E82" s="2611" t="s">
        <v>2830</v>
      </c>
      <c r="F82" s="2611" t="s">
        <v>2831</v>
      </c>
      <c r="G82" s="2611" t="s">
        <v>2832</v>
      </c>
      <c r="H82" s="654"/>
      <c r="I82" s="654"/>
      <c r="J82" s="654"/>
      <c r="K82" s="654"/>
      <c r="L82" s="654"/>
      <c r="M82" s="2614"/>
      <c r="N82" s="2146"/>
      <c r="O82" s="2146"/>
      <c r="P82" s="2145"/>
      <c r="Q82" s="2138"/>
      <c r="R82" s="2125"/>
      <c r="S82" s="2125"/>
      <c r="T82" s="2125"/>
      <c r="U82" s="2125"/>
      <c r="V82" s="2125"/>
      <c r="W82" s="2125"/>
      <c r="X82" s="2125"/>
      <c r="Y82" s="2125"/>
      <c r="Z82" s="2125"/>
      <c r="AA82" s="2125"/>
      <c r="AB82" s="2125"/>
      <c r="AC82" s="2125"/>
    </row>
    <row r="83" spans="1:29" ht="15.75" thickBot="1">
      <c r="A83" s="649"/>
      <c r="B83" s="661"/>
      <c r="C83" s="659">
        <v>100</v>
      </c>
      <c r="D83" s="659">
        <f>C83-$K21</f>
        <v>99</v>
      </c>
      <c r="E83" s="659">
        <f>D83-$K21</f>
        <v>98</v>
      </c>
      <c r="F83" s="659">
        <f>E83-$K21</f>
        <v>97</v>
      </c>
      <c r="G83" s="659">
        <f>F83-$K21</f>
        <v>96</v>
      </c>
      <c r="H83" s="914"/>
      <c r="I83" s="914"/>
      <c r="J83" s="914"/>
      <c r="K83" s="914"/>
      <c r="L83" s="914"/>
      <c r="M83" s="539"/>
      <c r="N83" s="2146"/>
      <c r="O83" s="2146"/>
      <c r="P83" s="2145"/>
      <c r="Q83" s="2138"/>
      <c r="R83" s="2125"/>
      <c r="S83" s="2125"/>
      <c r="T83" s="2125"/>
      <c r="U83" s="2125"/>
      <c r="V83" s="2125"/>
      <c r="W83" s="2125"/>
      <c r="X83" s="2125"/>
      <c r="Y83" s="2125"/>
      <c r="Z83" s="2125"/>
      <c r="AA83" s="2125"/>
      <c r="AB83" s="2125"/>
      <c r="AC83" s="2125"/>
    </row>
    <row r="84" spans="1:29" ht="15.75" thickTop="1">
      <c r="A84" s="649"/>
      <c r="B84" s="653" t="s">
        <v>799</v>
      </c>
      <c r="C84" s="688" t="s">
        <v>576</v>
      </c>
      <c r="D84" s="688" t="s">
        <v>577</v>
      </c>
      <c r="E84" s="688" t="s">
        <v>578</v>
      </c>
      <c r="F84" s="688" t="s">
        <v>579</v>
      </c>
      <c r="G84" s="688" t="s">
        <v>580</v>
      </c>
      <c r="H84" s="654"/>
      <c r="I84" s="654"/>
      <c r="J84" s="654"/>
      <c r="K84" s="655"/>
      <c r="L84" s="656"/>
      <c r="M84" s="657"/>
      <c r="N84" s="2144"/>
      <c r="O84" s="2144"/>
      <c r="P84" s="2145"/>
      <c r="Q84" s="2138"/>
      <c r="R84" s="2125"/>
      <c r="S84" s="2125"/>
      <c r="T84" s="2125"/>
      <c r="U84" s="2125"/>
      <c r="V84" s="2125"/>
      <c r="W84" s="2125"/>
      <c r="X84" s="2125"/>
      <c r="Y84" s="2125"/>
      <c r="Z84" s="2125"/>
      <c r="AA84" s="2125"/>
      <c r="AB84" s="2125"/>
      <c r="AC84" s="2125"/>
    </row>
    <row r="85" spans="1:29" ht="15.75" thickBot="1">
      <c r="A85" s="649"/>
      <c r="B85" s="658"/>
      <c r="C85" s="659">
        <v>100</v>
      </c>
      <c r="D85" s="659">
        <f>C85-$K23</f>
        <v>98</v>
      </c>
      <c r="E85" s="659">
        <f>D85-$K23</f>
        <v>96</v>
      </c>
      <c r="F85" s="659">
        <f>E85-$K23</f>
        <v>94</v>
      </c>
      <c r="G85" s="659">
        <f>F85-$K23</f>
        <v>92</v>
      </c>
      <c r="H85" s="659"/>
      <c r="I85" s="659"/>
      <c r="J85" s="659"/>
      <c r="K85" s="659"/>
      <c r="L85" s="659"/>
      <c r="M85" s="660"/>
      <c r="N85" s="2146"/>
      <c r="O85" s="2146"/>
      <c r="P85" s="2145"/>
      <c r="Q85" s="2138"/>
      <c r="R85" s="2125"/>
      <c r="S85" s="2125"/>
      <c r="T85" s="2125"/>
      <c r="U85" s="2125"/>
      <c r="V85" s="2125"/>
      <c r="W85" s="2125"/>
      <c r="X85" s="2125"/>
      <c r="Y85" s="2125"/>
      <c r="Z85" s="2125"/>
      <c r="AA85" s="2125"/>
      <c r="AB85" s="2125"/>
      <c r="AC85" s="2125"/>
    </row>
    <row r="86" spans="1:29" s="1199" customFormat="1" ht="15.75" thickTop="1">
      <c r="A86" s="689"/>
      <c r="B86" s="1871" t="s">
        <v>2485</v>
      </c>
      <c r="C86" s="668">
        <v>15</v>
      </c>
      <c r="D86" s="668">
        <v>10</v>
      </c>
      <c r="E86" s="668">
        <v>8</v>
      </c>
      <c r="F86" s="668">
        <v>7</v>
      </c>
      <c r="G86" s="668">
        <v>3</v>
      </c>
      <c r="H86" s="668"/>
      <c r="I86" s="668"/>
      <c r="J86" s="668"/>
      <c r="K86" s="668"/>
      <c r="L86" s="870"/>
      <c r="M86" s="871"/>
      <c r="N86" s="2142"/>
      <c r="O86" s="2142"/>
      <c r="P86" s="2145"/>
      <c r="Q86" s="2138"/>
      <c r="R86" s="1969"/>
      <c r="S86" s="1969"/>
      <c r="T86" s="1969"/>
      <c r="U86" s="1969"/>
      <c r="V86" s="1969"/>
      <c r="W86" s="1969"/>
      <c r="X86" s="1969"/>
      <c r="Y86" s="1969"/>
      <c r="Z86" s="1969"/>
      <c r="AA86" s="1969"/>
      <c r="AB86" s="1969"/>
      <c r="AC86" s="1969"/>
    </row>
    <row r="87" spans="1:29" s="1199" customFormat="1" ht="15.75" thickBot="1">
      <c r="A87" s="689"/>
      <c r="B87" s="658"/>
      <c r="C87" s="692">
        <v>100</v>
      </c>
      <c r="D87" s="659">
        <f>$C$87-($C$86-D86)*$K$25</f>
        <v>100</v>
      </c>
      <c r="E87" s="659">
        <f t="shared" ref="E87:M87" si="20">$C$87-($C$86-E86)*$K$25</f>
        <v>100</v>
      </c>
      <c r="F87" s="659">
        <f t="shared" si="20"/>
        <v>100</v>
      </c>
      <c r="G87" s="659">
        <f t="shared" si="20"/>
        <v>100</v>
      </c>
      <c r="H87" s="659">
        <f t="shared" si="20"/>
        <v>100</v>
      </c>
      <c r="I87" s="659">
        <f t="shared" si="20"/>
        <v>100</v>
      </c>
      <c r="J87" s="659">
        <f t="shared" si="20"/>
        <v>100</v>
      </c>
      <c r="K87" s="659">
        <f t="shared" si="20"/>
        <v>100</v>
      </c>
      <c r="L87" s="659">
        <f t="shared" si="20"/>
        <v>100</v>
      </c>
      <c r="M87" s="659">
        <f t="shared" si="20"/>
        <v>100</v>
      </c>
      <c r="N87" s="2146"/>
      <c r="O87" s="2146"/>
      <c r="P87" s="2145"/>
      <c r="Q87" s="2138"/>
      <c r="R87" s="1969"/>
      <c r="S87" s="1969"/>
      <c r="T87" s="1969"/>
      <c r="U87" s="1969"/>
      <c r="V87" s="1969"/>
      <c r="W87" s="1969"/>
      <c r="X87" s="1969"/>
      <c r="Y87" s="1969"/>
      <c r="Z87" s="1969"/>
      <c r="AA87" s="1969"/>
      <c r="AB87" s="1969"/>
      <c r="AC87" s="1969"/>
    </row>
    <row r="88" spans="1:29" s="1199" customFormat="1" ht="15.75" thickTop="1">
      <c r="A88" s="689"/>
      <c r="B88" s="653" t="s">
        <v>801</v>
      </c>
      <c r="C88" s="668" t="s">
        <v>802</v>
      </c>
      <c r="D88" s="668" t="s">
        <v>803</v>
      </c>
      <c r="E88" s="668" t="s">
        <v>804</v>
      </c>
      <c r="F88" s="872" t="s">
        <v>805</v>
      </c>
      <c r="G88" s="668" t="s">
        <v>806</v>
      </c>
      <c r="H88" s="668" t="s">
        <v>807</v>
      </c>
      <c r="I88" s="668" t="s">
        <v>808</v>
      </c>
      <c r="J88" s="668" t="s">
        <v>809</v>
      </c>
      <c r="K88" s="668" t="s">
        <v>810</v>
      </c>
      <c r="L88" s="668" t="s">
        <v>811</v>
      </c>
      <c r="M88" s="871" t="s">
        <v>812</v>
      </c>
      <c r="N88" s="2142"/>
      <c r="O88" s="2142"/>
      <c r="P88" s="2145"/>
      <c r="Q88" s="2138"/>
      <c r="R88" s="1969"/>
      <c r="S88" s="1969"/>
      <c r="T88" s="1969"/>
      <c r="U88" s="1969"/>
      <c r="V88" s="1969"/>
      <c r="W88" s="1969"/>
      <c r="X88" s="1969"/>
      <c r="Y88" s="1969"/>
      <c r="Z88" s="1969"/>
      <c r="AA88" s="1969"/>
      <c r="AB88" s="1969"/>
      <c r="AC88" s="1969"/>
    </row>
    <row r="89" spans="1:29" s="1199" customFormat="1" ht="15.75" thickBot="1">
      <c r="A89" s="689"/>
      <c r="B89" s="658"/>
      <c r="C89" s="692">
        <v>100</v>
      </c>
      <c r="D89" s="659">
        <f t="shared" ref="D89:M89" si="21">C89-$K26</f>
        <v>100</v>
      </c>
      <c r="E89" s="659">
        <f t="shared" si="21"/>
        <v>100</v>
      </c>
      <c r="F89" s="659">
        <f t="shared" si="21"/>
        <v>100</v>
      </c>
      <c r="G89" s="659">
        <f t="shared" si="21"/>
        <v>100</v>
      </c>
      <c r="H89" s="659">
        <f t="shared" si="21"/>
        <v>100</v>
      </c>
      <c r="I89" s="659">
        <f t="shared" si="21"/>
        <v>100</v>
      </c>
      <c r="J89" s="659">
        <f t="shared" si="21"/>
        <v>100</v>
      </c>
      <c r="K89" s="659">
        <f t="shared" si="21"/>
        <v>100</v>
      </c>
      <c r="L89" s="659">
        <f t="shared" si="21"/>
        <v>100</v>
      </c>
      <c r="M89" s="659">
        <f t="shared" si="21"/>
        <v>100</v>
      </c>
      <c r="N89" s="2146"/>
      <c r="O89" s="2146"/>
      <c r="P89" s="2145"/>
      <c r="Q89" s="2138"/>
      <c r="R89" s="1969"/>
      <c r="S89" s="1969"/>
      <c r="T89" s="1969"/>
      <c r="U89" s="1969"/>
      <c r="V89" s="1969"/>
      <c r="W89" s="1969"/>
      <c r="X89" s="1969"/>
      <c r="Y89" s="1969"/>
      <c r="Z89" s="1969"/>
      <c r="AA89" s="1969"/>
      <c r="AB89" s="1969"/>
      <c r="AC89" s="1969"/>
    </row>
    <row r="90" spans="1:29" s="1324" customFormat="1" ht="15.75" thickTop="1">
      <c r="A90" s="667"/>
      <c r="B90" s="653" t="str">
        <f>B27</f>
        <v>道路级别</v>
      </c>
      <c r="C90" s="668" t="s">
        <v>767</v>
      </c>
      <c r="D90" s="668" t="s">
        <v>813</v>
      </c>
      <c r="E90" s="668" t="s">
        <v>766</v>
      </c>
      <c r="F90" s="668" t="s">
        <v>768</v>
      </c>
      <c r="G90" s="668" t="s">
        <v>814</v>
      </c>
      <c r="H90" s="669"/>
      <c r="I90" s="669"/>
      <c r="J90" s="669"/>
      <c r="K90" s="669"/>
      <c r="L90" s="670"/>
      <c r="M90" s="671"/>
      <c r="N90" s="2147"/>
      <c r="O90" s="2147"/>
      <c r="P90" s="2148"/>
      <c r="Q90" s="2149"/>
      <c r="R90" s="2150"/>
      <c r="S90" s="2150"/>
      <c r="T90" s="2150"/>
      <c r="U90" s="2150"/>
      <c r="V90" s="2150"/>
      <c r="W90" s="2150"/>
      <c r="X90" s="2150"/>
      <c r="Y90" s="2150"/>
      <c r="Z90" s="2150"/>
      <c r="AA90" s="2150"/>
      <c r="AB90" s="2150"/>
      <c r="AC90" s="2150"/>
    </row>
    <row r="91" spans="1:29" s="1324" customFormat="1" ht="15.75" thickBot="1">
      <c r="A91" s="667"/>
      <c r="B91" s="658"/>
      <c r="C91" s="672">
        <v>100</v>
      </c>
      <c r="D91" s="672">
        <v>99</v>
      </c>
      <c r="E91" s="672">
        <v>98</v>
      </c>
      <c r="F91" s="672">
        <v>97</v>
      </c>
      <c r="G91" s="672">
        <v>96</v>
      </c>
      <c r="H91" s="673"/>
      <c r="I91" s="673"/>
      <c r="J91" s="673"/>
      <c r="K91" s="673"/>
      <c r="L91" s="673"/>
      <c r="M91" s="674"/>
      <c r="N91" s="2147"/>
      <c r="O91" s="2147"/>
      <c r="P91" s="2148"/>
      <c r="Q91" s="2149"/>
      <c r="R91" s="2150"/>
      <c r="S91" s="2150"/>
      <c r="T91" s="2150"/>
      <c r="U91" s="2150"/>
      <c r="V91" s="2150"/>
      <c r="W91" s="2150"/>
      <c r="X91" s="2150"/>
      <c r="Y91" s="2150"/>
      <c r="Z91" s="2150"/>
      <c r="AA91" s="2150"/>
      <c r="AB91" s="2150"/>
      <c r="AC91" s="2150"/>
    </row>
    <row r="92" spans="1:29" ht="15.75" thickTop="1">
      <c r="A92" s="649"/>
      <c r="B92" s="653">
        <f>B28</f>
        <v>0</v>
      </c>
      <c r="C92" s="668">
        <v>111</v>
      </c>
      <c r="D92" s="668">
        <v>222</v>
      </c>
      <c r="E92" s="668">
        <v>333</v>
      </c>
      <c r="F92" s="668">
        <v>444</v>
      </c>
      <c r="G92" s="698"/>
      <c r="H92" s="698"/>
      <c r="I92" s="698"/>
      <c r="J92" s="698"/>
      <c r="K92" s="699"/>
      <c r="L92" s="700"/>
      <c r="M92" s="701"/>
      <c r="N92" s="2144"/>
      <c r="O92" s="2144"/>
      <c r="P92" s="2145"/>
      <c r="Q92" s="2138"/>
      <c r="R92" s="2125"/>
      <c r="S92" s="2125"/>
      <c r="T92" s="2125"/>
      <c r="U92" s="2125"/>
      <c r="V92" s="2125"/>
      <c r="W92" s="2125"/>
      <c r="X92" s="2125"/>
      <c r="Y92" s="2125"/>
      <c r="Z92" s="2125"/>
      <c r="AA92" s="2125"/>
      <c r="AB92" s="2125"/>
      <c r="AC92" s="2125"/>
    </row>
    <row r="93" spans="1:29" ht="15.75" thickBot="1">
      <c r="A93" s="649"/>
      <c r="B93" s="658"/>
      <c r="C93" s="672">
        <v>100</v>
      </c>
      <c r="D93" s="651">
        <v>99</v>
      </c>
      <c r="E93" s="651">
        <v>98</v>
      </c>
      <c r="F93" s="651">
        <v>97</v>
      </c>
      <c r="G93" s="651"/>
      <c r="H93" s="651"/>
      <c r="I93" s="651"/>
      <c r="J93" s="651"/>
      <c r="K93" s="651"/>
      <c r="L93" s="651"/>
      <c r="M93" s="652"/>
      <c r="N93" s="2146"/>
      <c r="O93" s="2146"/>
      <c r="P93" s="2145"/>
      <c r="Q93" s="2138"/>
      <c r="R93" s="2125"/>
      <c r="S93" s="2125"/>
      <c r="T93" s="2125"/>
      <c r="U93" s="2125"/>
      <c r="V93" s="2125"/>
      <c r="W93" s="2125"/>
      <c r="X93" s="2125"/>
      <c r="Y93" s="2125"/>
      <c r="Z93" s="2125"/>
      <c r="AA93" s="2125"/>
      <c r="AB93" s="2125"/>
      <c r="AC93" s="2125"/>
    </row>
    <row r="94" spans="1:29" ht="15.75" thickTop="1">
      <c r="A94" s="649"/>
      <c r="B94" s="653">
        <f>B29</f>
        <v>0</v>
      </c>
      <c r="C94" s="668">
        <v>111</v>
      </c>
      <c r="D94" s="668">
        <v>222</v>
      </c>
      <c r="E94" s="668">
        <v>333</v>
      </c>
      <c r="F94" s="668">
        <v>444</v>
      </c>
      <c r="G94" s="698"/>
      <c r="H94" s="698"/>
      <c r="I94" s="698"/>
      <c r="J94" s="698"/>
      <c r="K94" s="699"/>
      <c r="L94" s="700"/>
      <c r="M94" s="701"/>
      <c r="N94" s="2144"/>
      <c r="O94" s="2144"/>
      <c r="P94" s="2145"/>
      <c r="Q94" s="2138"/>
      <c r="R94" s="2125"/>
      <c r="S94" s="2125"/>
      <c r="T94" s="2125"/>
      <c r="U94" s="2125"/>
      <c r="V94" s="2125"/>
      <c r="W94" s="2125"/>
      <c r="X94" s="2125"/>
      <c r="Y94" s="2125"/>
      <c r="Z94" s="2125"/>
      <c r="AA94" s="2125"/>
      <c r="AB94" s="2125"/>
      <c r="AC94" s="2125"/>
    </row>
    <row r="95" spans="1:29" ht="15.75" thickBot="1">
      <c r="A95" s="649"/>
      <c r="B95" s="658"/>
      <c r="C95" s="672">
        <v>100</v>
      </c>
      <c r="D95" s="672">
        <v>98</v>
      </c>
      <c r="E95" s="672">
        <v>96</v>
      </c>
      <c r="F95" s="672">
        <v>94</v>
      </c>
      <c r="G95" s="651"/>
      <c r="H95" s="651"/>
      <c r="I95" s="651"/>
      <c r="J95" s="651"/>
      <c r="K95" s="651"/>
      <c r="L95" s="651"/>
      <c r="M95" s="652"/>
      <c r="N95" s="2146"/>
      <c r="O95" s="2146"/>
      <c r="P95" s="2145"/>
      <c r="Q95" s="2138"/>
      <c r="R95" s="2125"/>
      <c r="S95" s="2125"/>
      <c r="T95" s="2125"/>
      <c r="U95" s="2125"/>
      <c r="V95" s="2125"/>
      <c r="W95" s="2125"/>
      <c r="X95" s="2125"/>
      <c r="Y95" s="2125"/>
      <c r="Z95" s="2125"/>
      <c r="AA95" s="2125"/>
      <c r="AB95" s="2125"/>
      <c r="AC95" s="2125"/>
    </row>
    <row r="96" spans="1:29" ht="15.75" thickTop="1">
      <c r="A96" s="649"/>
      <c r="B96" s="653">
        <f>B30</f>
        <v>0</v>
      </c>
      <c r="C96" s="668">
        <v>111</v>
      </c>
      <c r="D96" s="668">
        <v>222</v>
      </c>
      <c r="E96" s="668">
        <v>333</v>
      </c>
      <c r="F96" s="668">
        <v>444</v>
      </c>
      <c r="G96" s="698"/>
      <c r="H96" s="698"/>
      <c r="I96" s="698"/>
      <c r="J96" s="698"/>
      <c r="K96" s="699"/>
      <c r="L96" s="700"/>
      <c r="M96" s="701"/>
      <c r="N96" s="2144"/>
      <c r="O96" s="2144"/>
      <c r="P96" s="2145"/>
      <c r="Q96" s="2138"/>
      <c r="R96" s="2125"/>
      <c r="S96" s="2125"/>
      <c r="T96" s="2125"/>
      <c r="U96" s="2125"/>
      <c r="V96" s="2125"/>
      <c r="W96" s="2125"/>
      <c r="X96" s="2125"/>
      <c r="Y96" s="2125"/>
      <c r="Z96" s="2125"/>
      <c r="AA96" s="2125"/>
      <c r="AB96" s="2125"/>
      <c r="AC96" s="2125"/>
    </row>
    <row r="97" spans="1:29" ht="15.75" thickBot="1">
      <c r="A97" s="649"/>
      <c r="B97" s="658"/>
      <c r="C97" s="680">
        <v>100</v>
      </c>
      <c r="D97" s="680">
        <v>97</v>
      </c>
      <c r="E97" s="680">
        <v>94</v>
      </c>
      <c r="F97" s="680">
        <v>91</v>
      </c>
      <c r="G97" s="651"/>
      <c r="H97" s="651"/>
      <c r="I97" s="651"/>
      <c r="J97" s="651"/>
      <c r="K97" s="651"/>
      <c r="L97" s="651"/>
      <c r="M97" s="652"/>
      <c r="N97" s="2146"/>
      <c r="O97" s="2146"/>
      <c r="P97" s="2145"/>
      <c r="Q97" s="2138"/>
      <c r="R97" s="2125"/>
      <c r="S97" s="2125"/>
      <c r="T97" s="2125"/>
      <c r="U97" s="2125"/>
      <c r="V97" s="2125"/>
      <c r="W97" s="2125"/>
      <c r="X97" s="2125"/>
      <c r="Y97" s="2125"/>
      <c r="Z97" s="2125"/>
      <c r="AA97" s="2125"/>
      <c r="AB97" s="2125"/>
      <c r="AC97" s="2125"/>
    </row>
    <row r="98" spans="1:29" ht="15.75" thickTop="1">
      <c r="A98" s="649"/>
      <c r="B98" s="661">
        <f>B31</f>
        <v>0</v>
      </c>
      <c r="C98" s="702">
        <v>111</v>
      </c>
      <c r="D98" s="702">
        <v>222</v>
      </c>
      <c r="E98" s="702">
        <v>333</v>
      </c>
      <c r="F98" s="702">
        <v>444</v>
      </c>
      <c r="G98" s="702"/>
      <c r="H98" s="702"/>
      <c r="I98" s="702"/>
      <c r="J98" s="702"/>
      <c r="K98" s="703"/>
      <c r="L98" s="704"/>
      <c r="M98" s="705"/>
      <c r="N98" s="2144"/>
      <c r="O98" s="2144"/>
      <c r="P98" s="2145"/>
      <c r="Q98" s="2138"/>
      <c r="R98" s="2125"/>
      <c r="S98" s="2125"/>
      <c r="T98" s="2125"/>
      <c r="U98" s="2125"/>
      <c r="V98" s="2125"/>
      <c r="W98" s="2125"/>
      <c r="X98" s="2125"/>
      <c r="Y98" s="2125"/>
      <c r="Z98" s="2125"/>
      <c r="AA98" s="2125"/>
      <c r="AB98" s="2125"/>
      <c r="AC98" s="2125"/>
    </row>
    <row r="99" spans="1:29" ht="15.75" thickBot="1">
      <c r="A99" s="873"/>
      <c r="B99" s="679"/>
      <c r="C99" s="706">
        <v>100</v>
      </c>
      <c r="D99" s="706">
        <v>96</v>
      </c>
      <c r="E99" s="706">
        <v>92</v>
      </c>
      <c r="F99" s="706">
        <v>88</v>
      </c>
      <c r="G99" s="706"/>
      <c r="H99" s="706"/>
      <c r="I99" s="706"/>
      <c r="J99" s="706"/>
      <c r="K99" s="706"/>
      <c r="L99" s="706"/>
      <c r="M99" s="707"/>
      <c r="N99" s="2146"/>
      <c r="O99" s="2146"/>
      <c r="P99" s="2145"/>
      <c r="Q99" s="2138"/>
      <c r="R99" s="2125"/>
      <c r="S99" s="2125"/>
      <c r="T99" s="2125"/>
      <c r="U99" s="2125"/>
      <c r="V99" s="2125"/>
      <c r="W99" s="2125"/>
      <c r="X99" s="2125"/>
      <c r="Y99" s="2125"/>
      <c r="Z99" s="2125"/>
      <c r="AA99" s="2125"/>
      <c r="AB99" s="2125"/>
      <c r="AC99" s="2125"/>
    </row>
    <row r="100" spans="1:29">
      <c r="A100" s="644" t="s">
        <v>544</v>
      </c>
      <c r="B100" s="645" t="s">
        <v>815</v>
      </c>
      <c r="C100" s="3192" t="s">
        <v>3316</v>
      </c>
      <c r="D100" s="3192" t="s">
        <v>3243</v>
      </c>
      <c r="E100" s="3192" t="s">
        <v>3324</v>
      </c>
      <c r="F100" s="3193" t="s">
        <v>3325</v>
      </c>
      <c r="G100" s="578"/>
      <c r="H100" s="578"/>
      <c r="I100" s="578"/>
      <c r="J100" s="578"/>
      <c r="K100" s="646"/>
      <c r="L100" s="647"/>
      <c r="M100" s="648"/>
      <c r="N100" s="2144"/>
      <c r="O100" s="2144"/>
      <c r="P100" s="2145"/>
      <c r="Q100" s="2138"/>
      <c r="R100" s="2125"/>
      <c r="S100" s="2125"/>
      <c r="T100" s="2125"/>
      <c r="U100" s="2125"/>
      <c r="V100" s="2125"/>
      <c r="W100" s="2125"/>
      <c r="X100" s="2125"/>
      <c r="Y100" s="2125"/>
      <c r="Z100" s="2125"/>
      <c r="AA100" s="2125"/>
      <c r="AB100" s="2125"/>
      <c r="AC100" s="2125"/>
    </row>
    <row r="101" spans="1:29" ht="15.75" thickBot="1">
      <c r="A101" s="649"/>
      <c r="B101" s="658"/>
      <c r="C101" s="659">
        <v>100</v>
      </c>
      <c r="D101" s="659">
        <f t="shared" ref="D101:M101" si="22">C101-$K32</f>
        <v>95</v>
      </c>
      <c r="E101" s="659">
        <f t="shared" si="22"/>
        <v>90</v>
      </c>
      <c r="F101" s="659">
        <f t="shared" si="22"/>
        <v>85</v>
      </c>
      <c r="G101" s="659">
        <f t="shared" si="22"/>
        <v>80</v>
      </c>
      <c r="H101" s="659">
        <f t="shared" si="22"/>
        <v>75</v>
      </c>
      <c r="I101" s="659">
        <f t="shared" si="22"/>
        <v>70</v>
      </c>
      <c r="J101" s="659">
        <f t="shared" si="22"/>
        <v>65</v>
      </c>
      <c r="K101" s="659">
        <f t="shared" si="22"/>
        <v>60</v>
      </c>
      <c r="L101" s="659">
        <f t="shared" si="22"/>
        <v>55</v>
      </c>
      <c r="M101" s="659">
        <f t="shared" si="22"/>
        <v>50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49"/>
      <c r="B102" s="653" t="s">
        <v>818</v>
      </c>
      <c r="C102" s="688" t="str">
        <f>C103&amp;"(含)"&amp;"-"&amp;D103</f>
        <v>0(含)-100000</v>
      </c>
      <c r="D102" s="688" t="str">
        <f t="shared" ref="D102:L102" si="23">D103&amp;"(含)"&amp;"-"&amp;E103</f>
        <v>100000(含)-200000</v>
      </c>
      <c r="E102" s="688" t="str">
        <f t="shared" si="23"/>
        <v>200000(含)-300000</v>
      </c>
      <c r="F102" s="688" t="str">
        <f t="shared" si="23"/>
        <v>300000(含)-400000</v>
      </c>
      <c r="G102" s="688" t="str">
        <f t="shared" si="23"/>
        <v>400000(含)-500000</v>
      </c>
      <c r="H102" s="688" t="str">
        <f t="shared" si="23"/>
        <v>500000(含)-600000</v>
      </c>
      <c r="I102" s="688" t="str">
        <f t="shared" si="23"/>
        <v>600000(含)-</v>
      </c>
      <c r="J102" s="688" t="str">
        <f t="shared" si="23"/>
        <v>(含)-</v>
      </c>
      <c r="K102" s="688" t="str">
        <f t="shared" si="23"/>
        <v>(含)-</v>
      </c>
      <c r="L102" s="688" t="str">
        <f t="shared" si="23"/>
        <v>(含)-</v>
      </c>
      <c r="M102" s="68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24" customFormat="1">
      <c r="A103" s="708"/>
      <c r="B103" s="709"/>
      <c r="C103" s="3161">
        <v>0</v>
      </c>
      <c r="D103" s="3161">
        <v>100000</v>
      </c>
      <c r="E103" s="3161">
        <v>200000</v>
      </c>
      <c r="F103" s="3161">
        <v>300000</v>
      </c>
      <c r="G103" s="3161">
        <v>400000</v>
      </c>
      <c r="H103" s="710">
        <v>500000</v>
      </c>
      <c r="I103" s="710">
        <v>600000</v>
      </c>
      <c r="J103" s="711"/>
      <c r="K103" s="711"/>
      <c r="L103" s="712"/>
      <c r="M103" s="713"/>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Bot="1">
      <c r="A104" s="667"/>
      <c r="B104" s="658"/>
      <c r="C104" s="3162">
        <v>100</v>
      </c>
      <c r="D104" s="3163">
        <v>101</v>
      </c>
      <c r="E104" s="3163">
        <v>102</v>
      </c>
      <c r="F104" s="3163">
        <v>103</v>
      </c>
      <c r="G104" s="3163">
        <v>104</v>
      </c>
      <c r="H104" s="651">
        <v>105</v>
      </c>
      <c r="I104" s="651">
        <v>106</v>
      </c>
      <c r="J104" s="651"/>
      <c r="K104" s="651"/>
      <c r="L104" s="651"/>
      <c r="M104" s="651"/>
      <c r="N104" s="2146"/>
      <c r="O104" s="2146"/>
      <c r="P104" s="2148"/>
      <c r="Q104" s="2149"/>
      <c r="R104" s="2150"/>
      <c r="S104" s="2150"/>
      <c r="T104" s="2150"/>
      <c r="U104" s="2150"/>
      <c r="V104" s="2150"/>
      <c r="W104" s="2150"/>
      <c r="X104" s="2150"/>
      <c r="Y104" s="2150"/>
      <c r="Z104" s="2150"/>
      <c r="AA104" s="2150"/>
      <c r="AB104" s="2150"/>
      <c r="AC104" s="2150"/>
    </row>
    <row r="105" spans="1:29" ht="15" thickTop="1">
      <c r="A105" s="715"/>
      <c r="B105" s="653" t="s">
        <v>819</v>
      </c>
      <c r="C105" s="668" t="s">
        <v>820</v>
      </c>
      <c r="D105" s="668" t="s">
        <v>821</v>
      </c>
      <c r="E105" s="698" t="s">
        <v>822</v>
      </c>
      <c r="F105" s="698"/>
      <c r="G105" s="698"/>
      <c r="H105" s="698"/>
      <c r="I105" s="698"/>
      <c r="J105" s="698"/>
      <c r="K105" s="699"/>
      <c r="L105" s="700"/>
      <c r="M105" s="701"/>
      <c r="N105" s="2144"/>
      <c r="O105" s="2144"/>
      <c r="P105" s="2145"/>
      <c r="Q105" s="2138"/>
      <c r="R105" s="2125"/>
      <c r="S105" s="2125"/>
      <c r="T105" s="2125"/>
      <c r="U105" s="2125"/>
      <c r="V105" s="2125"/>
      <c r="W105" s="2125"/>
      <c r="X105" s="2125"/>
      <c r="Y105" s="2125"/>
      <c r="Z105" s="2125"/>
      <c r="AA105" s="2125"/>
      <c r="AB105" s="2125"/>
      <c r="AC105" s="2125"/>
    </row>
    <row r="106" spans="1:29" ht="15.75" thickBot="1">
      <c r="A106" s="649"/>
      <c r="B106" s="658"/>
      <c r="C106" s="659">
        <v>100</v>
      </c>
      <c r="D106" s="659">
        <f t="shared" ref="D106:M106" si="24">C106-$K34</f>
        <v>98</v>
      </c>
      <c r="E106" s="659">
        <f t="shared" si="24"/>
        <v>96</v>
      </c>
      <c r="F106" s="659">
        <f t="shared" si="24"/>
        <v>94</v>
      </c>
      <c r="G106" s="659">
        <f t="shared" si="24"/>
        <v>92</v>
      </c>
      <c r="H106" s="659">
        <f t="shared" si="24"/>
        <v>90</v>
      </c>
      <c r="I106" s="659">
        <f t="shared" si="24"/>
        <v>88</v>
      </c>
      <c r="J106" s="659">
        <f t="shared" si="24"/>
        <v>86</v>
      </c>
      <c r="K106" s="659">
        <f t="shared" si="24"/>
        <v>84</v>
      </c>
      <c r="L106" s="659">
        <f t="shared" si="24"/>
        <v>82</v>
      </c>
      <c r="M106" s="659">
        <f t="shared" si="24"/>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15"/>
      <c r="B107" s="653" t="s">
        <v>823</v>
      </c>
      <c r="C107" s="698" t="s">
        <v>824</v>
      </c>
      <c r="D107" s="698" t="s">
        <v>825</v>
      </c>
      <c r="E107" s="698"/>
      <c r="F107" s="698"/>
      <c r="G107" s="698"/>
      <c r="H107" s="698"/>
      <c r="I107" s="698"/>
      <c r="J107" s="698"/>
      <c r="K107" s="699"/>
      <c r="L107" s="700"/>
      <c r="M107" s="701"/>
      <c r="N107" s="2144"/>
      <c r="O107" s="2144"/>
      <c r="P107" s="2145"/>
      <c r="Q107" s="2138"/>
      <c r="R107" s="2125"/>
      <c r="S107" s="2125"/>
      <c r="T107" s="2125"/>
      <c r="U107" s="2125"/>
      <c r="V107" s="2125"/>
      <c r="W107" s="2125"/>
      <c r="X107" s="2125"/>
      <c r="Y107" s="2125"/>
      <c r="Z107" s="2125"/>
      <c r="AA107" s="2125"/>
      <c r="AB107" s="2125"/>
      <c r="AC107" s="2125"/>
    </row>
    <row r="108" spans="1:29" ht="15.75" thickBot="1">
      <c r="A108" s="649"/>
      <c r="B108" s="658"/>
      <c r="C108" s="659">
        <v>100</v>
      </c>
      <c r="D108" s="659">
        <f t="shared" ref="D108:M108" si="25">C108-$K35</f>
        <v>98</v>
      </c>
      <c r="E108" s="659">
        <f t="shared" si="25"/>
        <v>96</v>
      </c>
      <c r="F108" s="659">
        <f t="shared" si="25"/>
        <v>94</v>
      </c>
      <c r="G108" s="659">
        <f t="shared" si="25"/>
        <v>92</v>
      </c>
      <c r="H108" s="659">
        <f t="shared" si="25"/>
        <v>90</v>
      </c>
      <c r="I108" s="659">
        <f t="shared" si="25"/>
        <v>88</v>
      </c>
      <c r="J108" s="659">
        <f t="shared" si="25"/>
        <v>86</v>
      </c>
      <c r="K108" s="659">
        <f t="shared" si="25"/>
        <v>84</v>
      </c>
      <c r="L108" s="659">
        <f t="shared" si="25"/>
        <v>82</v>
      </c>
      <c r="M108" s="659">
        <f t="shared" si="25"/>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15"/>
      <c r="B109" s="653" t="s">
        <v>826</v>
      </c>
      <c r="C109" s="668" t="s">
        <v>827</v>
      </c>
      <c r="D109" s="668" t="s">
        <v>828</v>
      </c>
      <c r="E109" s="668" t="s">
        <v>829</v>
      </c>
      <c r="F109" s="698" t="s">
        <v>830</v>
      </c>
      <c r="G109" s="698"/>
      <c r="H109" s="698"/>
      <c r="I109" s="698"/>
      <c r="J109" s="698"/>
      <c r="K109" s="699"/>
      <c r="L109" s="700"/>
      <c r="M109" s="701"/>
      <c r="N109" s="2144"/>
      <c r="O109" s="2144"/>
      <c r="P109" s="2145"/>
      <c r="Q109" s="2138"/>
      <c r="R109" s="2125"/>
      <c r="S109" s="2125"/>
      <c r="T109" s="2125"/>
      <c r="U109" s="2125"/>
      <c r="V109" s="2125"/>
      <c r="W109" s="2125"/>
      <c r="X109" s="2125"/>
      <c r="Y109" s="2125"/>
      <c r="Z109" s="2125"/>
      <c r="AA109" s="2125"/>
      <c r="AB109" s="2125"/>
      <c r="AC109" s="2125"/>
    </row>
    <row r="110" spans="1:29" ht="15.75" thickBot="1">
      <c r="A110" s="649"/>
      <c r="B110" s="658"/>
      <c r="C110" s="659">
        <v>100</v>
      </c>
      <c r="D110" s="659">
        <f t="shared" ref="D110:M110" si="26">C110-$K36</f>
        <v>98</v>
      </c>
      <c r="E110" s="659">
        <f t="shared" si="26"/>
        <v>96</v>
      </c>
      <c r="F110" s="659">
        <f t="shared" si="26"/>
        <v>94</v>
      </c>
      <c r="G110" s="659">
        <f t="shared" si="26"/>
        <v>92</v>
      </c>
      <c r="H110" s="659">
        <f t="shared" si="26"/>
        <v>90</v>
      </c>
      <c r="I110" s="659">
        <f t="shared" si="26"/>
        <v>88</v>
      </c>
      <c r="J110" s="659">
        <f t="shared" si="26"/>
        <v>86</v>
      </c>
      <c r="K110" s="659">
        <f t="shared" si="26"/>
        <v>84</v>
      </c>
      <c r="L110" s="659">
        <f t="shared" si="26"/>
        <v>82</v>
      </c>
      <c r="M110" s="659">
        <f t="shared" si="26"/>
        <v>80</v>
      </c>
      <c r="N110" s="2146"/>
      <c r="O110" s="2146"/>
      <c r="P110" s="2145"/>
      <c r="Q110" s="2138"/>
      <c r="R110" s="2125"/>
      <c r="S110" s="2125"/>
      <c r="T110" s="2125"/>
      <c r="U110" s="2125"/>
      <c r="V110" s="2125"/>
      <c r="W110" s="2125"/>
      <c r="X110" s="2125"/>
      <c r="Y110" s="2125"/>
      <c r="Z110" s="2125"/>
      <c r="AA110" s="2125"/>
      <c r="AB110" s="2125"/>
      <c r="AC110" s="2125"/>
    </row>
    <row r="111" spans="1:29" s="1324" customFormat="1" ht="15" thickTop="1">
      <c r="A111" s="708"/>
      <c r="B111" s="653" t="s">
        <v>831</v>
      </c>
      <c r="C111" s="688" t="str">
        <f>C112&amp;"(含)"&amp;"-"&amp;D112</f>
        <v>0.5(含)-0.6</v>
      </c>
      <c r="D111" s="688" t="str">
        <f>D112&amp;"(含)"&amp;"-"&amp;E112</f>
        <v>0.6(含)-0.7</v>
      </c>
      <c r="E111" s="688" t="str">
        <f>E112&amp;"(含)"&amp;"-"&amp;F112</f>
        <v>0.7(含)-0.8</v>
      </c>
      <c r="F111" s="688" t="str">
        <f>F112&amp;"(含)"&amp;"-"&amp;G112</f>
        <v>0.8(含)-0.9</v>
      </c>
      <c r="G111" s="688" t="str">
        <f>G112&amp;"(含)"&amp;"-"&amp;ROUND(H112,0)</f>
        <v>0.9(含)-1</v>
      </c>
      <c r="H111" s="688" t="str">
        <f>ROUND(H112,0)&amp;"(含)"&amp;"-"&amp;I112</f>
        <v>1(含)-</v>
      </c>
      <c r="I111" s="688"/>
      <c r="J111" s="693"/>
      <c r="K111" s="693"/>
      <c r="L111" s="694"/>
      <c r="M111" s="695"/>
      <c r="N111" s="2147"/>
      <c r="O111" s="2147"/>
      <c r="P111" s="2148"/>
      <c r="Q111" s="2149"/>
      <c r="R111" s="2150"/>
      <c r="S111" s="2150"/>
      <c r="T111" s="2150"/>
      <c r="U111" s="2150"/>
      <c r="V111" s="2150"/>
      <c r="W111" s="2150"/>
      <c r="X111" s="2150"/>
      <c r="Y111" s="2150"/>
      <c r="Z111" s="2150"/>
      <c r="AA111" s="2150"/>
      <c r="AB111" s="2150"/>
      <c r="AC111" s="2150"/>
    </row>
    <row r="112" spans="1:29" s="1324" customFormat="1">
      <c r="A112" s="708"/>
      <c r="B112" s="661"/>
      <c r="C112" s="874">
        <v>0.5</v>
      </c>
      <c r="D112" s="874">
        <v>0.6</v>
      </c>
      <c r="E112" s="874">
        <v>0.7</v>
      </c>
      <c r="F112" s="874">
        <v>0.8</v>
      </c>
      <c r="G112" s="874">
        <v>0.9</v>
      </c>
      <c r="H112" s="874">
        <v>1.0001</v>
      </c>
      <c r="I112" s="874"/>
      <c r="J112" s="875"/>
      <c r="K112" s="875"/>
      <c r="L112" s="876"/>
      <c r="M112" s="877"/>
      <c r="N112" s="2147"/>
      <c r="O112" s="2147"/>
      <c r="P112" s="2148"/>
      <c r="Q112" s="2149"/>
      <c r="R112" s="2150"/>
      <c r="S112" s="2150"/>
      <c r="T112" s="2150"/>
      <c r="U112" s="2150"/>
      <c r="V112" s="2150"/>
      <c r="W112" s="2150"/>
      <c r="X112" s="2150"/>
      <c r="Y112" s="2150"/>
      <c r="Z112" s="2150"/>
      <c r="AA112" s="2150"/>
      <c r="AB112" s="2150"/>
      <c r="AC112" s="2150"/>
    </row>
    <row r="113" spans="1:29" s="1324" customFormat="1" ht="15.75" thickBot="1">
      <c r="A113" s="667"/>
      <c r="B113" s="658"/>
      <c r="C113" s="692">
        <v>100</v>
      </c>
      <c r="D113" s="659">
        <f>C113+$K37</f>
        <v>102</v>
      </c>
      <c r="E113" s="659">
        <f>D113+$K37</f>
        <v>104</v>
      </c>
      <c r="F113" s="659">
        <f>E113+$K37</f>
        <v>106</v>
      </c>
      <c r="G113" s="659">
        <f>F113+$K37</f>
        <v>108</v>
      </c>
      <c r="H113" s="659">
        <f>G113+$K37</f>
        <v>110</v>
      </c>
      <c r="I113" s="692"/>
      <c r="J113" s="696"/>
      <c r="K113" s="696"/>
      <c r="L113" s="696"/>
      <c r="M113" s="697"/>
      <c r="N113" s="2147"/>
      <c r="O113" s="2147"/>
      <c r="P113" s="2148"/>
      <c r="Q113" s="2149"/>
      <c r="R113" s="2150"/>
      <c r="S113" s="2150"/>
      <c r="T113" s="2150"/>
      <c r="U113" s="2150"/>
      <c r="V113" s="2150"/>
      <c r="W113" s="2150"/>
      <c r="X113" s="2150"/>
      <c r="Y113" s="2150"/>
      <c r="Z113" s="2150"/>
      <c r="AA113" s="2150"/>
      <c r="AB113" s="2150"/>
      <c r="AC113" s="2150"/>
    </row>
    <row r="114" spans="1:29" ht="15" thickTop="1">
      <c r="A114" s="715"/>
      <c r="B114" s="653" t="s">
        <v>832</v>
      </c>
      <c r="C114" s="668" t="s">
        <v>833</v>
      </c>
      <c r="D114" s="668" t="s">
        <v>834</v>
      </c>
      <c r="E114" s="698"/>
      <c r="F114" s="698"/>
      <c r="G114" s="698"/>
      <c r="H114" s="698"/>
      <c r="I114" s="698"/>
      <c r="J114" s="698"/>
      <c r="K114" s="699"/>
      <c r="L114" s="700"/>
      <c r="M114" s="701"/>
      <c r="N114" s="2144"/>
      <c r="O114" s="2144"/>
      <c r="P114" s="2145"/>
      <c r="Q114" s="2138"/>
      <c r="R114" s="2125"/>
      <c r="S114" s="2125"/>
      <c r="T114" s="2125"/>
      <c r="U114" s="2125"/>
      <c r="V114" s="2125"/>
      <c r="W114" s="2125"/>
      <c r="X114" s="2125"/>
      <c r="Y114" s="2125"/>
      <c r="Z114" s="2125"/>
      <c r="AA114" s="2125"/>
      <c r="AB114" s="2125"/>
      <c r="AC114" s="2125"/>
    </row>
    <row r="115" spans="1:29" ht="15.75" thickBot="1">
      <c r="A115" s="649"/>
      <c r="B115" s="658"/>
      <c r="C115" s="659">
        <v>100</v>
      </c>
      <c r="D115" s="659">
        <f t="shared" ref="D115:M115" si="27">C115-$K38</f>
        <v>97</v>
      </c>
      <c r="E115" s="659">
        <f t="shared" si="27"/>
        <v>94</v>
      </c>
      <c r="F115" s="659">
        <f t="shared" si="27"/>
        <v>91</v>
      </c>
      <c r="G115" s="659">
        <f t="shared" si="27"/>
        <v>88</v>
      </c>
      <c r="H115" s="659">
        <f t="shared" si="27"/>
        <v>85</v>
      </c>
      <c r="I115" s="659">
        <f t="shared" si="27"/>
        <v>82</v>
      </c>
      <c r="J115" s="659">
        <f t="shared" si="27"/>
        <v>79</v>
      </c>
      <c r="K115" s="659">
        <f t="shared" si="27"/>
        <v>76</v>
      </c>
      <c r="L115" s="659">
        <f t="shared" si="27"/>
        <v>73</v>
      </c>
      <c r="M115" s="659">
        <f t="shared" si="27"/>
        <v>70</v>
      </c>
      <c r="N115" s="2146"/>
      <c r="O115" s="2146"/>
      <c r="P115" s="2145"/>
      <c r="Q115" s="2138"/>
      <c r="R115" s="2125"/>
      <c r="S115" s="2125"/>
      <c r="T115" s="2125"/>
      <c r="U115" s="2125"/>
      <c r="V115" s="2125"/>
      <c r="W115" s="2125"/>
      <c r="X115" s="2125"/>
      <c r="Y115" s="2125"/>
      <c r="Z115" s="2125"/>
      <c r="AA115" s="2125"/>
      <c r="AB115" s="2125"/>
      <c r="AC115" s="2125"/>
    </row>
    <row r="116" spans="1:29" ht="15" thickTop="1">
      <c r="A116" s="715"/>
      <c r="B116" s="1871" t="s">
        <v>2825</v>
      </c>
      <c r="C116" s="668" t="s">
        <v>608</v>
      </c>
      <c r="D116" s="668" t="s">
        <v>609</v>
      </c>
      <c r="E116" s="668" t="s">
        <v>610</v>
      </c>
      <c r="F116" s="668" t="s">
        <v>611</v>
      </c>
      <c r="G116" s="668" t="s">
        <v>612</v>
      </c>
      <c r="H116" s="698"/>
      <c r="I116" s="698"/>
      <c r="J116" s="698"/>
      <c r="K116" s="699"/>
      <c r="L116" s="700"/>
      <c r="M116" s="701"/>
      <c r="N116" s="2144"/>
      <c r="O116" s="2144"/>
      <c r="P116" s="2145"/>
      <c r="Q116" s="2138"/>
      <c r="R116" s="2125"/>
      <c r="S116" s="2125"/>
      <c r="T116" s="2125"/>
      <c r="U116" s="2125"/>
      <c r="V116" s="2125"/>
      <c r="W116" s="2125"/>
      <c r="X116" s="2125"/>
      <c r="Y116" s="2125"/>
      <c r="Z116" s="2125"/>
      <c r="AA116" s="2125"/>
      <c r="AB116" s="2125"/>
      <c r="AC116" s="2125"/>
    </row>
    <row r="117" spans="1:29" ht="15.75" thickBot="1">
      <c r="A117" s="649"/>
      <c r="B117" s="658"/>
      <c r="C117" s="659">
        <v>100</v>
      </c>
      <c r="D117" s="659">
        <f>C117-$K39</f>
        <v>99</v>
      </c>
      <c r="E117" s="659">
        <f>D117-$K39</f>
        <v>98</v>
      </c>
      <c r="F117" s="659">
        <f>E117-$K39</f>
        <v>97</v>
      </c>
      <c r="G117" s="659">
        <f>F117-$K39</f>
        <v>96</v>
      </c>
      <c r="H117" s="659"/>
      <c r="I117" s="659"/>
      <c r="J117" s="659"/>
      <c r="K117" s="659"/>
      <c r="L117" s="659"/>
      <c r="M117" s="660"/>
      <c r="N117" s="2146"/>
      <c r="O117" s="2146"/>
      <c r="P117" s="2145"/>
      <c r="Q117" s="2138"/>
      <c r="R117" s="2125"/>
      <c r="S117" s="2125"/>
      <c r="T117" s="2125"/>
      <c r="U117" s="2125"/>
      <c r="V117" s="2125"/>
      <c r="W117" s="2125"/>
      <c r="X117" s="2125"/>
      <c r="Y117" s="2125"/>
      <c r="Z117" s="2125"/>
      <c r="AA117" s="2125"/>
      <c r="AB117" s="2125"/>
      <c r="AC117" s="2125"/>
    </row>
    <row r="118" spans="1:29" ht="15" thickTop="1">
      <c r="A118" s="715"/>
      <c r="B118" s="653" t="s">
        <v>835</v>
      </c>
      <c r="C118" s="3195" t="s">
        <v>3332</v>
      </c>
      <c r="D118" s="698" t="s">
        <v>836</v>
      </c>
      <c r="E118" s="698"/>
      <c r="F118" s="698"/>
      <c r="G118" s="698"/>
      <c r="H118" s="698"/>
      <c r="I118" s="698"/>
      <c r="J118" s="698"/>
      <c r="K118" s="699"/>
      <c r="L118" s="700"/>
      <c r="M118" s="701"/>
      <c r="N118" s="2144"/>
      <c r="O118" s="2144"/>
      <c r="P118" s="2145"/>
      <c r="Q118" s="2138"/>
      <c r="R118" s="2125"/>
      <c r="S118" s="2125"/>
      <c r="T118" s="2125"/>
      <c r="U118" s="2125"/>
      <c r="V118" s="2125"/>
      <c r="W118" s="2125"/>
      <c r="X118" s="2125"/>
      <c r="Y118" s="2125"/>
      <c r="Z118" s="2125"/>
      <c r="AA118" s="2125"/>
      <c r="AB118" s="2125"/>
      <c r="AC118" s="2125"/>
    </row>
    <row r="119" spans="1:29" ht="15.75" thickBot="1">
      <c r="A119" s="649"/>
      <c r="B119" s="658"/>
      <c r="C119" s="659">
        <v>100</v>
      </c>
      <c r="D119" s="659">
        <f t="shared" ref="D119:M119" si="28">C119-$K40</f>
        <v>88</v>
      </c>
      <c r="E119" s="659">
        <f t="shared" si="28"/>
        <v>76</v>
      </c>
      <c r="F119" s="659">
        <f t="shared" si="28"/>
        <v>64</v>
      </c>
      <c r="G119" s="659">
        <f t="shared" si="28"/>
        <v>52</v>
      </c>
      <c r="H119" s="659">
        <f t="shared" si="28"/>
        <v>40</v>
      </c>
      <c r="I119" s="659">
        <f t="shared" si="28"/>
        <v>28</v>
      </c>
      <c r="J119" s="659">
        <f t="shared" si="28"/>
        <v>16</v>
      </c>
      <c r="K119" s="659">
        <f t="shared" si="28"/>
        <v>4</v>
      </c>
      <c r="L119" s="659">
        <f t="shared" si="28"/>
        <v>-8</v>
      </c>
      <c r="M119" s="659">
        <f t="shared" si="28"/>
        <v>-20</v>
      </c>
      <c r="N119" s="2146"/>
      <c r="O119" s="2146"/>
      <c r="P119" s="2145"/>
      <c r="Q119" s="2138"/>
      <c r="R119" s="2125"/>
      <c r="S119" s="2125"/>
      <c r="T119" s="2125"/>
      <c r="U119" s="2125"/>
      <c r="V119" s="2125"/>
      <c r="W119" s="2125"/>
      <c r="X119" s="2125"/>
      <c r="Y119" s="2125"/>
      <c r="Z119" s="2125"/>
      <c r="AA119" s="2125"/>
      <c r="AB119" s="2125"/>
      <c r="AC119" s="2125"/>
    </row>
    <row r="120" spans="1:29" s="1324" customFormat="1" ht="28.5" thickTop="1">
      <c r="A120" s="708"/>
      <c r="B120" s="653" t="s">
        <v>784</v>
      </c>
      <c r="C120" s="668" t="s">
        <v>837</v>
      </c>
      <c r="D120" s="668" t="s">
        <v>838</v>
      </c>
      <c r="E120" s="668" t="s">
        <v>839</v>
      </c>
      <c r="F120" s="668" t="s">
        <v>840</v>
      </c>
      <c r="G120" s="668"/>
      <c r="H120" s="668"/>
      <c r="I120" s="668"/>
      <c r="J120" s="668"/>
      <c r="K120" s="668"/>
      <c r="L120" s="870"/>
      <c r="M120" s="871"/>
      <c r="N120" s="2147"/>
      <c r="O120" s="2147"/>
      <c r="P120" s="2148"/>
      <c r="Q120" s="2149"/>
      <c r="R120" s="2150"/>
      <c r="S120" s="2150"/>
      <c r="T120" s="2150"/>
      <c r="U120" s="2150"/>
      <c r="V120" s="2150"/>
      <c r="W120" s="2150"/>
      <c r="X120" s="2150"/>
      <c r="Y120" s="2150"/>
      <c r="Z120" s="2150"/>
      <c r="AA120" s="2150"/>
      <c r="AB120" s="2150"/>
      <c r="AC120" s="2150"/>
    </row>
    <row r="121" spans="1:29" s="1324" customFormat="1" ht="15.75" thickBot="1">
      <c r="A121" s="667"/>
      <c r="B121" s="650"/>
      <c r="C121" s="672">
        <v>100</v>
      </c>
      <c r="D121" s="651">
        <v>100</v>
      </c>
      <c r="E121" s="651">
        <v>99</v>
      </c>
      <c r="F121" s="651">
        <v>100</v>
      </c>
      <c r="G121" s="651"/>
      <c r="H121" s="651"/>
      <c r="I121" s="651"/>
      <c r="J121" s="651"/>
      <c r="K121" s="651"/>
      <c r="L121" s="651"/>
      <c r="M121" s="651"/>
      <c r="N121" s="2147"/>
      <c r="O121" s="2147"/>
      <c r="P121" s="2148"/>
      <c r="Q121" s="2149"/>
      <c r="R121" s="2150"/>
      <c r="S121" s="2150"/>
      <c r="T121" s="2150"/>
      <c r="U121" s="2150"/>
      <c r="V121" s="2150"/>
      <c r="W121" s="2150"/>
      <c r="X121" s="2150"/>
      <c r="Y121" s="2150"/>
      <c r="Z121" s="2150"/>
      <c r="AA121" s="2150"/>
      <c r="AB121" s="2150"/>
      <c r="AC121" s="2150"/>
    </row>
    <row r="122" spans="1:29" ht="15" thickTop="1">
      <c r="A122" s="715"/>
      <c r="B122" s="653" t="s">
        <v>841</v>
      </c>
      <c r="C122" s="668" t="s">
        <v>827</v>
      </c>
      <c r="D122" s="668" t="s">
        <v>828</v>
      </c>
      <c r="E122" s="668" t="s">
        <v>829</v>
      </c>
      <c r="F122" s="698" t="s">
        <v>830</v>
      </c>
      <c r="G122" s="698"/>
      <c r="H122" s="698"/>
      <c r="I122" s="698"/>
      <c r="J122" s="698"/>
      <c r="K122" s="699"/>
      <c r="L122" s="700"/>
      <c r="M122" s="701"/>
      <c r="N122" s="2144"/>
      <c r="O122" s="2144"/>
      <c r="P122" s="2145"/>
      <c r="Q122" s="2138"/>
      <c r="R122" s="2125"/>
      <c r="S122" s="2125"/>
      <c r="T122" s="2125"/>
      <c r="U122" s="2125"/>
      <c r="V122" s="2125"/>
      <c r="W122" s="2125"/>
      <c r="X122" s="2125"/>
      <c r="Y122" s="2125"/>
      <c r="Z122" s="2125"/>
      <c r="AA122" s="2125"/>
      <c r="AB122" s="2125"/>
      <c r="AC122" s="2125"/>
    </row>
    <row r="123" spans="1:29" ht="15.75" thickBot="1">
      <c r="A123" s="649"/>
      <c r="B123" s="658"/>
      <c r="C123" s="659">
        <v>100</v>
      </c>
      <c r="D123" s="659">
        <f t="shared" ref="D123:M123" si="29">C123-$K42</f>
        <v>98</v>
      </c>
      <c r="E123" s="659">
        <f t="shared" si="29"/>
        <v>96</v>
      </c>
      <c r="F123" s="659">
        <f t="shared" si="29"/>
        <v>94</v>
      </c>
      <c r="G123" s="659">
        <f t="shared" si="29"/>
        <v>92</v>
      </c>
      <c r="H123" s="659">
        <f t="shared" si="29"/>
        <v>90</v>
      </c>
      <c r="I123" s="659">
        <f t="shared" si="29"/>
        <v>88</v>
      </c>
      <c r="J123" s="659">
        <f t="shared" si="29"/>
        <v>86</v>
      </c>
      <c r="K123" s="659">
        <f t="shared" si="29"/>
        <v>84</v>
      </c>
      <c r="L123" s="659">
        <f t="shared" si="29"/>
        <v>82</v>
      </c>
      <c r="M123" s="659">
        <f t="shared" si="29"/>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15"/>
      <c r="B124" s="653" t="s">
        <v>842</v>
      </c>
      <c r="C124" s="688" t="s">
        <v>576</v>
      </c>
      <c r="D124" s="688" t="s">
        <v>577</v>
      </c>
      <c r="E124" s="688" t="s">
        <v>578</v>
      </c>
      <c r="F124" s="688" t="s">
        <v>579</v>
      </c>
      <c r="G124" s="688" t="s">
        <v>580</v>
      </c>
      <c r="H124" s="654"/>
      <c r="I124" s="654"/>
      <c r="J124" s="654"/>
      <c r="K124" s="655"/>
      <c r="L124" s="656"/>
      <c r="M124" s="657"/>
      <c r="N124" s="2144"/>
      <c r="O124" s="2144"/>
      <c r="P124" s="2148"/>
      <c r="Q124" s="2138"/>
      <c r="R124" s="2125"/>
      <c r="S124" s="2125"/>
      <c r="T124" s="2125"/>
      <c r="U124" s="2125"/>
      <c r="V124" s="2125"/>
      <c r="W124" s="2125"/>
      <c r="X124" s="2125"/>
      <c r="Y124" s="2125"/>
      <c r="Z124" s="2125"/>
      <c r="AA124" s="2125"/>
      <c r="AB124" s="2125"/>
      <c r="AC124" s="2125"/>
    </row>
    <row r="125" spans="1:29" ht="15.75" thickBot="1">
      <c r="A125" s="649"/>
      <c r="B125" s="658"/>
      <c r="C125" s="659">
        <v>100</v>
      </c>
      <c r="D125" s="659">
        <f>C125-$K43</f>
        <v>98</v>
      </c>
      <c r="E125" s="659">
        <f>D125-$K43</f>
        <v>96</v>
      </c>
      <c r="F125" s="659">
        <f>E125-$K43</f>
        <v>94</v>
      </c>
      <c r="G125" s="659">
        <f>F125-$K43</f>
        <v>92</v>
      </c>
      <c r="H125" s="659"/>
      <c r="I125" s="659"/>
      <c r="J125" s="659"/>
      <c r="K125" s="659"/>
      <c r="L125" s="659"/>
      <c r="M125" s="660"/>
      <c r="N125" s="2146"/>
      <c r="O125" s="2146"/>
      <c r="P125" s="2145"/>
      <c r="Q125" s="2138"/>
      <c r="R125" s="2125"/>
      <c r="S125" s="2125"/>
      <c r="T125" s="2125"/>
      <c r="U125" s="2125"/>
      <c r="V125" s="2125"/>
      <c r="W125" s="2125"/>
      <c r="X125" s="2125"/>
      <c r="Y125" s="2125"/>
      <c r="Z125" s="2125"/>
      <c r="AA125" s="2125"/>
      <c r="AB125" s="2125"/>
      <c r="AC125" s="2125"/>
    </row>
    <row r="126" spans="1:29" s="1324" customFormat="1" ht="15" thickTop="1">
      <c r="A126" s="708"/>
      <c r="B126" s="653">
        <f>B44</f>
        <v>0</v>
      </c>
      <c r="C126" s="668" t="s">
        <v>788</v>
      </c>
      <c r="D126" s="668" t="s">
        <v>789</v>
      </c>
      <c r="E126" s="668"/>
      <c r="F126" s="668"/>
      <c r="G126" s="668"/>
      <c r="H126" s="669"/>
      <c r="I126" s="669"/>
      <c r="J126" s="669"/>
      <c r="K126" s="669"/>
      <c r="L126" s="670"/>
      <c r="M126" s="671"/>
      <c r="N126" s="2147"/>
      <c r="O126" s="2147"/>
      <c r="P126" s="2148"/>
      <c r="Q126" s="2149"/>
      <c r="R126" s="2150"/>
      <c r="S126" s="2150"/>
      <c r="T126" s="2150"/>
      <c r="U126" s="2150"/>
      <c r="V126" s="2150"/>
      <c r="W126" s="2150"/>
      <c r="X126" s="2150"/>
      <c r="Y126" s="2150"/>
      <c r="Z126" s="2150"/>
      <c r="AA126" s="2150"/>
      <c r="AB126" s="2150"/>
      <c r="AC126" s="2150"/>
    </row>
    <row r="127" spans="1:29" s="1324" customFormat="1" ht="15.75" thickBot="1">
      <c r="A127" s="667"/>
      <c r="B127" s="658"/>
      <c r="C127" s="672">
        <v>100</v>
      </c>
      <c r="D127" s="651">
        <v>95</v>
      </c>
      <c r="E127" s="651">
        <v>98</v>
      </c>
      <c r="F127" s="651">
        <v>97</v>
      </c>
      <c r="G127" s="672"/>
      <c r="H127" s="673"/>
      <c r="I127" s="673"/>
      <c r="J127" s="673"/>
      <c r="K127" s="673"/>
      <c r="L127" s="673"/>
      <c r="M127" s="674"/>
      <c r="N127" s="2147"/>
      <c r="O127" s="2147"/>
      <c r="P127" s="2148"/>
      <c r="Q127" s="2149"/>
      <c r="R127" s="2150"/>
      <c r="S127" s="2150"/>
      <c r="T127" s="2150"/>
      <c r="U127" s="2150"/>
      <c r="V127" s="2150"/>
      <c r="W127" s="2150"/>
      <c r="X127" s="2150"/>
      <c r="Y127" s="2150"/>
      <c r="Z127" s="2150"/>
      <c r="AA127" s="2150"/>
      <c r="AB127" s="2150"/>
      <c r="AC127" s="2150"/>
    </row>
    <row r="128" spans="1:29" ht="15" thickTop="1">
      <c r="A128" s="715"/>
      <c r="B128" s="653">
        <f>B45</f>
        <v>0</v>
      </c>
      <c r="C128" s="668">
        <v>111</v>
      </c>
      <c r="D128" s="668">
        <v>222</v>
      </c>
      <c r="E128" s="668">
        <v>333</v>
      </c>
      <c r="F128" s="668">
        <v>444</v>
      </c>
      <c r="G128" s="698"/>
      <c r="H128" s="698"/>
      <c r="I128" s="698"/>
      <c r="J128" s="698"/>
      <c r="K128" s="699"/>
      <c r="L128" s="700"/>
      <c r="M128" s="701"/>
      <c r="N128" s="2144"/>
      <c r="O128" s="2144"/>
      <c r="P128" s="2145"/>
      <c r="Q128" s="2138"/>
      <c r="R128" s="2125"/>
      <c r="S128" s="2125"/>
      <c r="T128" s="2125"/>
      <c r="U128" s="2125"/>
      <c r="V128" s="2125"/>
      <c r="W128" s="2125"/>
      <c r="X128" s="2125"/>
      <c r="Y128" s="2125"/>
      <c r="Z128" s="2125"/>
      <c r="AA128" s="2125"/>
      <c r="AB128" s="2125"/>
      <c r="AC128" s="2125"/>
    </row>
    <row r="129" spans="1:29" ht="15.75" thickBot="1">
      <c r="A129" s="649"/>
      <c r="B129" s="658"/>
      <c r="C129" s="672">
        <v>100</v>
      </c>
      <c r="D129" s="672">
        <v>98</v>
      </c>
      <c r="E129" s="672">
        <v>96</v>
      </c>
      <c r="F129" s="672">
        <v>94</v>
      </c>
      <c r="G129" s="651"/>
      <c r="H129" s="651"/>
      <c r="I129" s="651"/>
      <c r="J129" s="651"/>
      <c r="K129" s="651"/>
      <c r="L129" s="651"/>
      <c r="M129" s="652"/>
      <c r="N129" s="2146"/>
      <c r="O129" s="2146"/>
      <c r="P129" s="2145"/>
      <c r="Q129" s="2138"/>
      <c r="R129" s="2125"/>
      <c r="S129" s="2125"/>
      <c r="T129" s="2125"/>
      <c r="U129" s="2125"/>
      <c r="V129" s="2125"/>
      <c r="W129" s="2125"/>
      <c r="X129" s="2125"/>
      <c r="Y129" s="2125"/>
      <c r="Z129" s="2125"/>
      <c r="AA129" s="2125"/>
      <c r="AB129" s="2125"/>
      <c r="AC129" s="2125"/>
    </row>
    <row r="130" spans="1:29" ht="15" thickTop="1">
      <c r="A130" s="715"/>
      <c r="B130" s="661">
        <f>B46</f>
        <v>0</v>
      </c>
      <c r="C130" s="668">
        <v>111</v>
      </c>
      <c r="D130" s="668">
        <v>222</v>
      </c>
      <c r="E130" s="668">
        <v>333</v>
      </c>
      <c r="F130" s="668">
        <v>444</v>
      </c>
      <c r="G130" s="702"/>
      <c r="H130" s="702"/>
      <c r="I130" s="702"/>
      <c r="J130" s="702"/>
      <c r="K130" s="641"/>
      <c r="L130" s="642"/>
      <c r="M130" s="705"/>
      <c r="N130" s="2144"/>
      <c r="O130" s="2144"/>
      <c r="P130" s="2145"/>
      <c r="Q130" s="2138"/>
      <c r="R130" s="2125"/>
      <c r="S130" s="2125"/>
      <c r="T130" s="2125"/>
      <c r="U130" s="2125"/>
      <c r="V130" s="2125"/>
      <c r="W130" s="2125"/>
      <c r="X130" s="2125"/>
      <c r="Y130" s="2125"/>
      <c r="Z130" s="2125"/>
      <c r="AA130" s="2125"/>
      <c r="AB130" s="2125"/>
      <c r="AC130" s="2125"/>
    </row>
    <row r="131" spans="1:29" ht="15.75" thickBot="1">
      <c r="A131" s="873"/>
      <c r="B131" s="679"/>
      <c r="C131" s="680">
        <v>100</v>
      </c>
      <c r="D131" s="680">
        <v>97</v>
      </c>
      <c r="E131" s="680">
        <v>94</v>
      </c>
      <c r="F131" s="680">
        <v>91</v>
      </c>
      <c r="G131" s="706"/>
      <c r="H131" s="706"/>
      <c r="I131" s="706"/>
      <c r="J131" s="706"/>
      <c r="K131" s="706"/>
      <c r="L131" s="706"/>
      <c r="M131" s="707"/>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0" t="s">
        <v>2486</v>
      </c>
      <c r="C136" s="1891"/>
      <c r="D136" s="1891"/>
      <c r="E136" s="1891"/>
      <c r="F136" s="1891"/>
      <c r="G136" s="1891"/>
      <c r="H136" s="1891"/>
      <c r="I136" s="1891"/>
      <c r="J136" s="1891"/>
      <c r="K136" s="1892"/>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3" t="s">
        <v>2487</v>
      </c>
      <c r="C137" s="1894"/>
      <c r="D137" s="1894"/>
      <c r="E137" s="1894"/>
      <c r="F137" s="1894"/>
      <c r="G137" s="1895"/>
      <c r="H137" s="1896"/>
      <c r="I137" s="1897" t="s">
        <v>2488</v>
      </c>
      <c r="J137" s="1894"/>
      <c r="K137" s="1898"/>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899"/>
      <c r="C138" s="1900" t="s">
        <v>2489</v>
      </c>
      <c r="D138" s="1900" t="s">
        <v>2490</v>
      </c>
      <c r="E138" s="1901" t="s">
        <v>2491</v>
      </c>
      <c r="F138" s="1902" t="s">
        <v>2492</v>
      </c>
      <c r="G138" s="1900" t="s">
        <v>2493</v>
      </c>
      <c r="H138" s="1903" t="s">
        <v>2494</v>
      </c>
      <c r="I138" s="1904"/>
      <c r="J138" s="1900" t="s">
        <v>2495</v>
      </c>
      <c r="K138" s="1903" t="s">
        <v>2496</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2">
        <v>6</v>
      </c>
      <c r="C139" s="1873">
        <v>96</v>
      </c>
      <c r="D139" s="1905" t="s">
        <v>2497</v>
      </c>
      <c r="E139" s="1874">
        <v>100</v>
      </c>
      <c r="F139" s="1875">
        <v>102.5</v>
      </c>
      <c r="G139" s="1905" t="s">
        <v>2498</v>
      </c>
      <c r="H139" s="1876">
        <v>105</v>
      </c>
      <c r="I139" s="1906" t="s">
        <v>2499</v>
      </c>
      <c r="J139" s="1873">
        <v>20</v>
      </c>
      <c r="K139" s="1877">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78">
        <v>5</v>
      </c>
      <c r="C140" s="1879">
        <v>100</v>
      </c>
      <c r="D140" s="1907"/>
      <c r="E140" s="1880"/>
      <c r="F140" s="1881">
        <v>102</v>
      </c>
      <c r="G140" s="1907"/>
      <c r="H140" s="1882"/>
      <c r="I140" s="1908" t="s">
        <v>2500</v>
      </c>
      <c r="J140" s="826">
        <f>ROUNDUP((J139-1)/2,0)</f>
        <v>10</v>
      </c>
      <c r="K140" s="1883">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78">
        <v>4</v>
      </c>
      <c r="C141" s="1879">
        <v>102</v>
      </c>
      <c r="D141" s="1907"/>
      <c r="E141" s="1880"/>
      <c r="F141" s="1881">
        <v>101.5</v>
      </c>
      <c r="G141" s="1907"/>
      <c r="H141" s="1882"/>
      <c r="I141" s="1908" t="s">
        <v>2501</v>
      </c>
      <c r="J141" s="826">
        <v>1</v>
      </c>
      <c r="K141" s="1884">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78">
        <v>3</v>
      </c>
      <c r="C142" s="1879">
        <v>103</v>
      </c>
      <c r="D142" s="1907"/>
      <c r="E142" s="1880"/>
      <c r="F142" s="1881">
        <v>101</v>
      </c>
      <c r="G142" s="1907"/>
      <c r="H142" s="1882"/>
      <c r="I142" s="1908" t="s">
        <v>2502</v>
      </c>
      <c r="J142" s="826">
        <f>J139</f>
        <v>20</v>
      </c>
      <c r="K142" s="1885">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78">
        <v>2</v>
      </c>
      <c r="C143" s="1879">
        <v>100</v>
      </c>
      <c r="D143" s="1907"/>
      <c r="E143" s="1880"/>
      <c r="F143" s="1881">
        <v>100.5</v>
      </c>
      <c r="G143" s="1907"/>
      <c r="H143" s="1882"/>
      <c r="I143" s="1908" t="s">
        <v>2503</v>
      </c>
      <c r="J143" s="1879">
        <v>15</v>
      </c>
      <c r="K143" s="1884">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78">
        <v>1</v>
      </c>
      <c r="C144" s="1879">
        <v>98</v>
      </c>
      <c r="D144" s="1909" t="s">
        <v>2504</v>
      </c>
      <c r="E144" s="1880">
        <v>102</v>
      </c>
      <c r="F144" s="1886">
        <v>100</v>
      </c>
      <c r="G144" s="1909" t="s">
        <v>2504</v>
      </c>
      <c r="H144" s="1882">
        <v>105</v>
      </c>
      <c r="I144" s="1908" t="s">
        <v>2503</v>
      </c>
      <c r="J144" s="1879">
        <v>18</v>
      </c>
      <c r="K144" s="1884">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0" t="s">
        <v>2505</v>
      </c>
      <c r="C145" s="1887">
        <f>ROUND(MAX(C139:C144)/MIN(C139:C144)-1,3)</f>
        <v>7.2999999999999995E-2</v>
      </c>
      <c r="D145" s="1911"/>
      <c r="E145" s="1911"/>
      <c r="F145" s="1912" t="s">
        <v>2506</v>
      </c>
      <c r="G145" s="1913"/>
      <c r="H145" s="1914"/>
      <c r="I145" s="1915" t="s">
        <v>2503</v>
      </c>
      <c r="J145" s="1888">
        <v>8</v>
      </c>
      <c r="K145" s="1889">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4" t="s">
        <v>2515</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4" t="s">
        <v>2516</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F1" sqref="F1"/>
    </sheetView>
  </sheetViews>
  <sheetFormatPr defaultRowHeight="14.25"/>
  <cols>
    <col min="1" max="1" width="10.5" style="1322" customWidth="1"/>
    <col min="2" max="2" width="15.75" style="1322" customWidth="1"/>
    <col min="3" max="3" width="15.12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82" t="s">
        <v>755</v>
      </c>
      <c r="B1" s="2636" t="s">
        <v>756</v>
      </c>
      <c r="C1" s="2637" t="s">
        <v>757</v>
      </c>
      <c r="D1" s="2638" t="s">
        <v>3287</v>
      </c>
      <c r="E1" s="2639"/>
      <c r="F1" s="2825" t="s">
        <v>2843</v>
      </c>
      <c r="G1" s="1582" t="s">
        <v>758</v>
      </c>
      <c r="H1" s="486"/>
      <c r="I1" s="486"/>
      <c r="J1" s="486"/>
      <c r="K1" s="487"/>
      <c r="L1" s="1543"/>
      <c r="M1" s="1544"/>
      <c r="N1" s="1544"/>
      <c r="O1" s="1544"/>
      <c r="P1" s="1545"/>
      <c r="Q1" s="1545"/>
      <c r="R1" s="1545"/>
      <c r="S1" s="1545"/>
      <c r="T1" s="1545"/>
      <c r="U1" s="1545"/>
      <c r="V1" s="1545"/>
      <c r="W1" s="1545"/>
      <c r="X1" s="1545"/>
      <c r="Y1" s="1545"/>
      <c r="Z1" s="1545"/>
      <c r="AA1" s="1545"/>
      <c r="AB1" s="1545"/>
      <c r="AC1" s="1546"/>
    </row>
    <row r="2" spans="1:29" s="1348" customFormat="1" ht="28.5" customHeight="1">
      <c r="A2" s="403" t="s">
        <v>450</v>
      </c>
      <c r="B2" s="2635" t="e">
        <f>ROUND(B3*D3/10000,0)</f>
        <v>#DIV/0!</v>
      </c>
      <c r="C2" s="2107"/>
      <c r="D2" s="2107"/>
      <c r="E2" s="2107"/>
      <c r="F2" s="2181"/>
      <c r="G2" s="2107"/>
      <c r="H2" s="2107"/>
      <c r="I2" s="2107"/>
      <c r="J2" s="2107"/>
      <c r="K2" s="2182"/>
      <c r="L2" s="2183"/>
      <c r="M2" s="2184"/>
      <c r="N2" s="2184"/>
      <c r="O2" s="2184"/>
      <c r="P2" s="1583"/>
      <c r="Q2" s="1583"/>
      <c r="R2" s="1583"/>
      <c r="S2" s="1583"/>
      <c r="T2" s="1583"/>
      <c r="U2" s="1583"/>
      <c r="V2" s="1583"/>
      <c r="W2" s="1583"/>
      <c r="X2" s="1583"/>
      <c r="Y2" s="1583"/>
      <c r="Z2" s="1583"/>
      <c r="AA2" s="1583"/>
      <c r="AB2" s="1583"/>
      <c r="AC2" s="1584"/>
    </row>
    <row r="3" spans="1:29" s="1348" customFormat="1" ht="28.5" customHeight="1" thickBot="1">
      <c r="A3" s="489" t="s">
        <v>503</v>
      </c>
      <c r="B3" s="831" t="e">
        <f>C49</f>
        <v>#DIV/0!</v>
      </c>
      <c r="C3" s="832" t="s">
        <v>759</v>
      </c>
      <c r="D3" s="831">
        <f>SUMIF('数据-汇总表'!$C19:$C36,D1,'数据-汇总表'!$E19:$E36)</f>
        <v>46878.32</v>
      </c>
      <c r="E3" s="2107"/>
      <c r="F3" s="2181"/>
      <c r="G3" s="2107"/>
      <c r="H3" s="2107"/>
      <c r="I3" s="2107"/>
      <c r="J3" s="2107"/>
      <c r="K3" s="2182"/>
      <c r="L3" s="2183"/>
      <c r="M3" s="2184"/>
      <c r="N3" s="2184"/>
      <c r="O3" s="2184"/>
      <c r="P3" s="1583"/>
      <c r="Q3" s="1583"/>
      <c r="R3" s="1583"/>
      <c r="S3" s="1583"/>
      <c r="T3" s="1583"/>
      <c r="U3" s="1583"/>
      <c r="V3" s="1583"/>
      <c r="W3" s="1583"/>
      <c r="X3" s="1583"/>
      <c r="Y3" s="1583"/>
      <c r="Z3" s="1583"/>
      <c r="AA3" s="1583"/>
      <c r="AB3" s="1583"/>
      <c r="AC3" s="1585"/>
    </row>
    <row r="4" spans="1:29" ht="15">
      <c r="A4" s="492" t="s">
        <v>505</v>
      </c>
      <c r="B4" s="493"/>
      <c r="C4" s="3402" t="s">
        <v>506</v>
      </c>
      <c r="D4" s="3403"/>
      <c r="E4" s="3444" t="s">
        <v>507</v>
      </c>
      <c r="F4" s="3445"/>
      <c r="G4" s="3402" t="s">
        <v>508</v>
      </c>
      <c r="H4" s="3403"/>
      <c r="I4" s="3402" t="s">
        <v>509</v>
      </c>
      <c r="J4" s="3403"/>
      <c r="K4" s="833" t="s">
        <v>510</v>
      </c>
      <c r="L4" s="2113"/>
      <c r="M4" s="2114"/>
      <c r="N4" s="2114"/>
      <c r="O4" s="2114"/>
      <c r="P4" s="3404" t="s">
        <v>511</v>
      </c>
      <c r="Q4" s="3405"/>
      <c r="R4" s="3410" t="s">
        <v>507</v>
      </c>
      <c r="S4" s="3411"/>
      <c r="T4" s="3410" t="s">
        <v>508</v>
      </c>
      <c r="U4" s="3411"/>
      <c r="V4" s="3397" t="s">
        <v>509</v>
      </c>
      <c r="W4" s="3397"/>
      <c r="X4" s="3168"/>
      <c r="Y4" s="3410" t="s">
        <v>511</v>
      </c>
      <c r="Z4" s="3411"/>
      <c r="AA4" s="3399" t="s">
        <v>507</v>
      </c>
      <c r="AB4" s="3399" t="s">
        <v>508</v>
      </c>
      <c r="AC4" s="3399" t="s">
        <v>509</v>
      </c>
    </row>
    <row r="5" spans="1:29" ht="15">
      <c r="A5" s="495"/>
      <c r="B5" s="496"/>
      <c r="C5" s="3438" t="s">
        <v>512</v>
      </c>
      <c r="D5" s="3439"/>
      <c r="E5" s="3446" t="s">
        <v>513</v>
      </c>
      <c r="F5" s="3447"/>
      <c r="G5" s="3438" t="s">
        <v>514</v>
      </c>
      <c r="H5" s="3439"/>
      <c r="I5" s="3438" t="s">
        <v>515</v>
      </c>
      <c r="J5" s="3439"/>
      <c r="K5" s="834"/>
      <c r="L5" s="2113"/>
      <c r="M5" s="2114"/>
      <c r="N5" s="2114"/>
      <c r="O5" s="2114"/>
      <c r="P5" s="3406"/>
      <c r="Q5" s="3407"/>
      <c r="R5" s="3412"/>
      <c r="S5" s="3413"/>
      <c r="T5" s="3412"/>
      <c r="U5" s="3413"/>
      <c r="V5" s="3397"/>
      <c r="W5" s="3397"/>
      <c r="X5" s="3168"/>
      <c r="Y5" s="3412"/>
      <c r="Z5" s="3413"/>
      <c r="AA5" s="3400"/>
      <c r="AB5" s="3400"/>
      <c r="AC5" s="3400"/>
    </row>
    <row r="6" spans="1:29" ht="15.75" thickBot="1">
      <c r="A6" s="497"/>
      <c r="B6" s="498"/>
      <c r="C6" s="3440" t="s">
        <v>516</v>
      </c>
      <c r="D6" s="3441"/>
      <c r="E6" s="3442" t="s">
        <v>516</v>
      </c>
      <c r="F6" s="3443"/>
      <c r="G6" s="3440" t="s">
        <v>516</v>
      </c>
      <c r="H6" s="3441"/>
      <c r="I6" s="3440" t="s">
        <v>516</v>
      </c>
      <c r="J6" s="3441"/>
      <c r="K6" s="834" t="s">
        <v>517</v>
      </c>
      <c r="L6" s="2113"/>
      <c r="M6" s="2114"/>
      <c r="N6" s="2114"/>
      <c r="O6" s="2114"/>
      <c r="P6" s="3408"/>
      <c r="Q6" s="3409"/>
      <c r="R6" s="3412"/>
      <c r="S6" s="3413"/>
      <c r="T6" s="3414"/>
      <c r="U6" s="3415"/>
      <c r="V6" s="3397"/>
      <c r="W6" s="3397"/>
      <c r="X6" s="3168"/>
      <c r="Y6" s="3414"/>
      <c r="Z6" s="3415"/>
      <c r="AA6" s="3401"/>
      <c r="AB6" s="3401"/>
      <c r="AC6" s="3401"/>
    </row>
    <row r="7" spans="1:29" s="1199" customFormat="1" ht="15.75" thickBot="1">
      <c r="A7" s="2929"/>
      <c r="B7" s="2936" t="s">
        <v>518</v>
      </c>
      <c r="C7" s="499">
        <f>'数据-取费表'!B2</f>
        <v>42898</v>
      </c>
      <c r="D7" s="500">
        <v>100</v>
      </c>
      <c r="E7" s="501">
        <v>42520</v>
      </c>
      <c r="F7" s="502">
        <f>SUMIF(58:58,YEAR(E7)&amp;"-"&amp;MONTH(E7),59:59)</f>
        <v>0</v>
      </c>
      <c r="G7" s="503">
        <v>42309</v>
      </c>
      <c r="H7" s="500">
        <f>SUMIF(58:58,YEAR(G7)&amp;"-"&amp;MONTH(G7),59:59)</f>
        <v>0</v>
      </c>
      <c r="I7" s="503">
        <v>42370</v>
      </c>
      <c r="J7" s="500">
        <f>SUMIF(58:58,YEAR(I7)&amp;"-"&amp;MONTH(I7),59:59)</f>
        <v>0</v>
      </c>
      <c r="K7" s="835"/>
      <c r="L7" s="2115"/>
      <c r="M7" s="2116"/>
      <c r="N7" s="2116"/>
      <c r="O7" s="2116"/>
      <c r="P7" s="3431" t="s">
        <v>519</v>
      </c>
      <c r="Q7" s="3433"/>
      <c r="R7" s="1549" t="s">
        <v>12</v>
      </c>
      <c r="S7" s="1550">
        <f t="shared" ref="S7:S15" si="0">F7</f>
        <v>0</v>
      </c>
      <c r="T7" s="1549" t="s">
        <v>12</v>
      </c>
      <c r="U7" s="1550">
        <f t="shared" ref="U7:U15" si="1">H7</f>
        <v>0</v>
      </c>
      <c r="V7" s="1549" t="s">
        <v>12</v>
      </c>
      <c r="W7" s="1550">
        <f t="shared" ref="W7:W15" si="2">J7</f>
        <v>0</v>
      </c>
      <c r="X7" s="1551"/>
      <c r="Y7" s="3431" t="s">
        <v>519</v>
      </c>
      <c r="Z7" s="3432"/>
      <c r="AA7" s="1552" t="e">
        <f>D7/F7</f>
        <v>#DIV/0!</v>
      </c>
      <c r="AB7" s="1552" t="e">
        <f>D7/H7</f>
        <v>#DIV/0!</v>
      </c>
      <c r="AC7" s="1552" t="e">
        <f>D7/J7</f>
        <v>#DIV/0!</v>
      </c>
    </row>
    <row r="8" spans="1:29" s="1199" customFormat="1" ht="15.75" thickBot="1">
      <c r="A8" s="2930"/>
      <c r="B8" s="2937" t="s">
        <v>520</v>
      </c>
      <c r="C8" s="505" t="s">
        <v>572</v>
      </c>
      <c r="D8" s="500">
        <v>100</v>
      </c>
      <c r="E8" s="836" t="s">
        <v>572</v>
      </c>
      <c r="F8" s="502">
        <f>SUMIF(61:61,E8,62:62)-SUMIF(61:61,C8,62:62)+100</f>
        <v>100</v>
      </c>
      <c r="G8" s="505" t="s">
        <v>572</v>
      </c>
      <c r="H8" s="500">
        <f>SUMIF(61:61,G8,62:62)-SUMIF(61:61,C8,62:62)+100</f>
        <v>100</v>
      </c>
      <c r="I8" s="836" t="s">
        <v>572</v>
      </c>
      <c r="J8" s="500">
        <f>SUMIF(61:61,I8,62:62)-SUMIF(61:61,C8,62:62)+100</f>
        <v>100</v>
      </c>
      <c r="K8" s="835"/>
      <c r="L8" s="2115"/>
      <c r="M8" s="2116"/>
      <c r="N8" s="2116"/>
      <c r="O8" s="2116"/>
      <c r="P8" s="3431" t="s">
        <v>522</v>
      </c>
      <c r="Q8" s="3432"/>
      <c r="R8" s="1549" t="s">
        <v>12</v>
      </c>
      <c r="S8" s="1550">
        <f t="shared" si="0"/>
        <v>100</v>
      </c>
      <c r="T8" s="1549" t="s">
        <v>12</v>
      </c>
      <c r="U8" s="1550">
        <f t="shared" si="1"/>
        <v>100</v>
      </c>
      <c r="V8" s="1549" t="s">
        <v>12</v>
      </c>
      <c r="W8" s="1550">
        <f t="shared" si="2"/>
        <v>100</v>
      </c>
      <c r="X8" s="1551"/>
      <c r="Y8" s="3431" t="s">
        <v>522</v>
      </c>
      <c r="Z8" s="3432"/>
      <c r="AA8" s="1552">
        <f t="shared" ref="AA8:AA46" si="3">D8/F8</f>
        <v>1</v>
      </c>
      <c r="AB8" s="1552">
        <f t="shared" ref="AB8:AB46" si="4">D8/H8</f>
        <v>1</v>
      </c>
      <c r="AC8" s="1552">
        <f t="shared" ref="AC8:AC46" si="5">D8/J8</f>
        <v>1</v>
      </c>
    </row>
    <row r="9" spans="1:29" s="1199" customFormat="1" ht="15">
      <c r="A9" s="2931"/>
      <c r="B9" s="2938" t="s">
        <v>3039</v>
      </c>
      <c r="C9" s="837" t="s">
        <v>760</v>
      </c>
      <c r="D9" s="231">
        <v>100</v>
      </c>
      <c r="E9" s="838" t="s">
        <v>760</v>
      </c>
      <c r="F9" s="839">
        <f>SUMIF(63:63,E9,64:64)-SUMIF(63:63,C9,64:64)+100</f>
        <v>100</v>
      </c>
      <c r="G9" s="840" t="s">
        <v>761</v>
      </c>
      <c r="H9" s="231">
        <f>SUMIF(63:63,G9,64:64)-SUMIF(63:63,C9,64:64)+100</f>
        <v>100</v>
      </c>
      <c r="I9" s="840" t="s">
        <v>761</v>
      </c>
      <c r="J9" s="231">
        <f>SUMIF(63:63,I9,64:64)-SUMIF(63:63,C9,64:64)+100</f>
        <v>100</v>
      </c>
      <c r="K9" s="835"/>
      <c r="L9" s="2115"/>
      <c r="M9" s="2116"/>
      <c r="N9" s="2116"/>
      <c r="O9" s="2117"/>
      <c r="P9" s="3396" t="s">
        <v>524</v>
      </c>
      <c r="Q9" s="3165" t="str">
        <f t="shared" ref="Q9:Q15" si="6">B9</f>
        <v>用途</v>
      </c>
      <c r="R9" s="1549" t="s">
        <v>8</v>
      </c>
      <c r="S9" s="1550">
        <f t="shared" si="0"/>
        <v>100</v>
      </c>
      <c r="T9" s="1549" t="s">
        <v>8</v>
      </c>
      <c r="U9" s="1550">
        <f t="shared" si="1"/>
        <v>100</v>
      </c>
      <c r="V9" s="1549" t="s">
        <v>8</v>
      </c>
      <c r="W9" s="1550">
        <f t="shared" si="2"/>
        <v>100</v>
      </c>
      <c r="X9" s="1551"/>
      <c r="Y9" s="3343" t="s">
        <v>525</v>
      </c>
      <c r="Z9" s="3164" t="str">
        <f t="shared" ref="Z9:Z15" si="7">Q9</f>
        <v>用途</v>
      </c>
      <c r="AA9" s="1552">
        <f t="shared" si="3"/>
        <v>1</v>
      </c>
      <c r="AB9" s="1552">
        <f t="shared" si="4"/>
        <v>1</v>
      </c>
      <c r="AC9" s="1552">
        <f t="shared" si="5"/>
        <v>1</v>
      </c>
    </row>
    <row r="10" spans="1:29" s="1323" customFormat="1" ht="27">
      <c r="A10" s="2932"/>
      <c r="B10" s="2937" t="s">
        <v>3040</v>
      </c>
      <c r="C10" s="841" t="s">
        <v>762</v>
      </c>
      <c r="D10" s="232">
        <v>100</v>
      </c>
      <c r="E10" s="842" t="s">
        <v>762</v>
      </c>
      <c r="F10" s="843">
        <f>SUMIF(65:65,E10,66:66)-SUMIF(65:65,C10,66:66)+100</f>
        <v>100</v>
      </c>
      <c r="G10" s="841" t="s">
        <v>762</v>
      </c>
      <c r="H10" s="232">
        <f>SUMIF(65:65,G10,66:66)-SUMIF(65:65,C10,66:66)+100</f>
        <v>100</v>
      </c>
      <c r="I10" s="841" t="s">
        <v>762</v>
      </c>
      <c r="J10" s="232">
        <f>SUMIF(65:65,I10,66:66)-SUMIF(65:65,C10,66:66)+100</f>
        <v>100</v>
      </c>
      <c r="K10" s="844">
        <v>1</v>
      </c>
      <c r="L10" s="2118"/>
      <c r="M10" s="2158"/>
      <c r="N10" s="2158"/>
      <c r="O10" s="2119"/>
      <c r="P10" s="3396"/>
      <c r="Q10" s="3165" t="str">
        <f t="shared" si="6"/>
        <v>土地使用年限（年）</v>
      </c>
      <c r="R10" s="1549" t="s">
        <v>8</v>
      </c>
      <c r="S10" s="1550">
        <f t="shared" si="0"/>
        <v>100</v>
      </c>
      <c r="T10" s="1549" t="s">
        <v>8</v>
      </c>
      <c r="U10" s="1550">
        <f t="shared" si="1"/>
        <v>100</v>
      </c>
      <c r="V10" s="1549" t="s">
        <v>8</v>
      </c>
      <c r="W10" s="1550">
        <f t="shared" si="2"/>
        <v>100</v>
      </c>
      <c r="X10" s="1551"/>
      <c r="Y10" s="3343"/>
      <c r="Z10" s="3164" t="str">
        <f t="shared" si="7"/>
        <v>土地使用年限（年）</v>
      </c>
      <c r="AA10" s="1552">
        <f t="shared" si="3"/>
        <v>1</v>
      </c>
      <c r="AB10" s="1552">
        <f t="shared" si="4"/>
        <v>1</v>
      </c>
      <c r="AC10" s="1552">
        <f t="shared" si="5"/>
        <v>1</v>
      </c>
    </row>
    <row r="11" spans="1:29" ht="15">
      <c r="A11" s="2933"/>
      <c r="B11" s="2937" t="s">
        <v>3041</v>
      </c>
      <c r="C11" s="513">
        <v>0.72</v>
      </c>
      <c r="D11" s="232">
        <v>100</v>
      </c>
      <c r="E11" s="514">
        <v>0.42</v>
      </c>
      <c r="F11" s="843">
        <f>LOOKUP(E11,68:68,69:69)-LOOKUP(C11,68:68,69:69)+100</f>
        <v>100</v>
      </c>
      <c r="G11" s="513">
        <v>1.08</v>
      </c>
      <c r="H11" s="232">
        <f>LOOKUP(G11,68:68,69:69)-LOOKUP(C11,68:68,69:69)+100</f>
        <v>98</v>
      </c>
      <c r="I11" s="513">
        <v>0.7</v>
      </c>
      <c r="J11" s="232">
        <f>LOOKUP(I11,68:68,69:69)-LOOKUP(C11,68:68,69:69)+100</f>
        <v>100</v>
      </c>
      <c r="K11" s="844">
        <v>2</v>
      </c>
      <c r="L11" s="2120"/>
      <c r="M11" s="2114"/>
      <c r="N11" s="2114"/>
      <c r="O11" s="2121"/>
      <c r="P11" s="3396"/>
      <c r="Q11" s="3165" t="str">
        <f t="shared" si="6"/>
        <v>容积率</v>
      </c>
      <c r="R11" s="1549" t="s">
        <v>11</v>
      </c>
      <c r="S11" s="1550">
        <f t="shared" si="0"/>
        <v>100</v>
      </c>
      <c r="T11" s="1549" t="s">
        <v>11</v>
      </c>
      <c r="U11" s="1550">
        <f t="shared" si="1"/>
        <v>98</v>
      </c>
      <c r="V11" s="1549" t="s">
        <v>11</v>
      </c>
      <c r="W11" s="1550">
        <f t="shared" si="2"/>
        <v>100</v>
      </c>
      <c r="X11" s="1551"/>
      <c r="Y11" s="3343"/>
      <c r="Z11" s="3164" t="str">
        <f t="shared" si="7"/>
        <v>容积率</v>
      </c>
      <c r="AA11" s="1552">
        <f t="shared" si="3"/>
        <v>1</v>
      </c>
      <c r="AB11" s="1552">
        <f t="shared" si="4"/>
        <v>1.0204081632653061</v>
      </c>
      <c r="AC11" s="1552">
        <f t="shared" si="5"/>
        <v>1</v>
      </c>
    </row>
    <row r="12" spans="1:29" s="1199" customFormat="1" ht="15">
      <c r="A12" s="2934"/>
      <c r="B12" s="2940">
        <v>111</v>
      </c>
      <c r="C12" s="508">
        <v>111</v>
      </c>
      <c r="D12" s="518">
        <v>100</v>
      </c>
      <c r="E12" s="508">
        <v>111</v>
      </c>
      <c r="F12" s="843">
        <f>SUMIF(70:70,E12,71:71)-SUMIF(70:70,C12,71:71)+100</f>
        <v>100</v>
      </c>
      <c r="G12" s="508">
        <v>111</v>
      </c>
      <c r="H12" s="232">
        <f>SUMIF(70:70,G12,71:71)-SUMIF(70:70,C12,71:71)+100</f>
        <v>100</v>
      </c>
      <c r="I12" s="508">
        <v>111</v>
      </c>
      <c r="J12" s="232">
        <f>SUMIF(70:70,I12,71:71)-SUMIF(70:70,C12,71:71)+100</f>
        <v>100</v>
      </c>
      <c r="K12" s="845"/>
      <c r="L12" s="2115"/>
      <c r="M12" s="2116"/>
      <c r="N12" s="2116"/>
      <c r="O12" s="2117"/>
      <c r="P12" s="3396"/>
      <c r="Q12" s="3165">
        <f t="shared" si="6"/>
        <v>111</v>
      </c>
      <c r="R12" s="1549" t="s">
        <v>11</v>
      </c>
      <c r="S12" s="1550">
        <f t="shared" si="0"/>
        <v>100</v>
      </c>
      <c r="T12" s="1549" t="s">
        <v>11</v>
      </c>
      <c r="U12" s="1550">
        <f t="shared" si="1"/>
        <v>100</v>
      </c>
      <c r="V12" s="1549" t="s">
        <v>11</v>
      </c>
      <c r="W12" s="1550">
        <f t="shared" si="2"/>
        <v>100</v>
      </c>
      <c r="X12" s="1551"/>
      <c r="Y12" s="3343"/>
      <c r="Z12" s="3164">
        <f t="shared" si="7"/>
        <v>111</v>
      </c>
      <c r="AA12" s="1552">
        <f>D12/F12</f>
        <v>1</v>
      </c>
      <c r="AB12" s="1552">
        <f>D12/H12</f>
        <v>1</v>
      </c>
      <c r="AC12" s="1552">
        <f>D12/J12</f>
        <v>1</v>
      </c>
    </row>
    <row r="13" spans="1:29" ht="15">
      <c r="A13" s="2934"/>
      <c r="B13" s="2940">
        <v>111</v>
      </c>
      <c r="C13" s="519">
        <v>111</v>
      </c>
      <c r="D13" s="520">
        <v>100</v>
      </c>
      <c r="E13" s="519">
        <v>111</v>
      </c>
      <c r="F13" s="843">
        <f>SUMIF(72:72,E13,73:73)-SUMIF(72:72,C13,73:73)+100</f>
        <v>100</v>
      </c>
      <c r="G13" s="519">
        <v>111</v>
      </c>
      <c r="H13" s="520">
        <f>SUMIF(72:72,G13,73:73)-SUMIF(72:72,C13,73:73)+100</f>
        <v>100</v>
      </c>
      <c r="I13" s="519">
        <v>111</v>
      </c>
      <c r="J13" s="520">
        <f>SUMIF(72:72,I13,73:73)-SUMIF(72:72,C13,73:73)+100</f>
        <v>100</v>
      </c>
      <c r="K13" s="845"/>
      <c r="L13" s="2122"/>
      <c r="M13" s="2114"/>
      <c r="N13" s="2114"/>
      <c r="O13" s="2121"/>
      <c r="P13" s="3396"/>
      <c r="Q13" s="3165">
        <f t="shared" si="6"/>
        <v>111</v>
      </c>
      <c r="R13" s="1549" t="s">
        <v>11</v>
      </c>
      <c r="S13" s="1550">
        <f t="shared" si="0"/>
        <v>100</v>
      </c>
      <c r="T13" s="1549" t="s">
        <v>11</v>
      </c>
      <c r="U13" s="1550">
        <f t="shared" si="1"/>
        <v>100</v>
      </c>
      <c r="V13" s="1549" t="s">
        <v>11</v>
      </c>
      <c r="W13" s="1550">
        <f t="shared" si="2"/>
        <v>100</v>
      </c>
      <c r="X13" s="1551"/>
      <c r="Y13" s="3343"/>
      <c r="Z13" s="3164">
        <f t="shared" si="7"/>
        <v>111</v>
      </c>
      <c r="AA13" s="1552">
        <f t="shared" si="3"/>
        <v>1</v>
      </c>
      <c r="AB13" s="1552">
        <f t="shared" si="4"/>
        <v>1</v>
      </c>
      <c r="AC13" s="1552">
        <f t="shared" si="5"/>
        <v>1</v>
      </c>
    </row>
    <row r="14" spans="1:29" ht="15.75" thickBot="1">
      <c r="A14" s="2935"/>
      <c r="B14" s="2941">
        <v>111</v>
      </c>
      <c r="C14" s="525">
        <v>111</v>
      </c>
      <c r="D14" s="526">
        <v>100</v>
      </c>
      <c r="E14" s="525">
        <v>111</v>
      </c>
      <c r="F14" s="846">
        <f>SUMIF(74:74,E14,75:75)-SUMIF(74:74,C14,75:75)+100</f>
        <v>100</v>
      </c>
      <c r="G14" s="525">
        <v>111</v>
      </c>
      <c r="H14" s="526">
        <f>SUMIF(74:74,G14,75:75)-SUMIF(74:74,C14,75:75)+100</f>
        <v>100</v>
      </c>
      <c r="I14" s="525">
        <v>111</v>
      </c>
      <c r="J14" s="526">
        <f>SUMIF(74:74,I14,75:75)-SUMIF(74:74,C14,75:75)+100</f>
        <v>100</v>
      </c>
      <c r="K14" s="845"/>
      <c r="L14" s="2122"/>
      <c r="M14" s="2114"/>
      <c r="N14" s="2114"/>
      <c r="O14" s="2121"/>
      <c r="P14" s="3396"/>
      <c r="Q14" s="3165">
        <f t="shared" si="6"/>
        <v>111</v>
      </c>
      <c r="R14" s="1549" t="s">
        <v>11</v>
      </c>
      <c r="S14" s="1550">
        <f t="shared" si="0"/>
        <v>100</v>
      </c>
      <c r="T14" s="1549" t="s">
        <v>11</v>
      </c>
      <c r="U14" s="1550">
        <f t="shared" si="1"/>
        <v>100</v>
      </c>
      <c r="V14" s="1549" t="s">
        <v>11</v>
      </c>
      <c r="W14" s="1550">
        <f t="shared" si="2"/>
        <v>100</v>
      </c>
      <c r="X14" s="1551"/>
      <c r="Y14" s="3343"/>
      <c r="Z14" s="3164">
        <f t="shared" si="7"/>
        <v>111</v>
      </c>
      <c r="AA14" s="1552">
        <f t="shared" si="3"/>
        <v>1</v>
      </c>
      <c r="AB14" s="1552">
        <f t="shared" si="4"/>
        <v>1</v>
      </c>
      <c r="AC14" s="1552">
        <f t="shared" si="5"/>
        <v>1</v>
      </c>
    </row>
    <row r="15" spans="1:29" ht="142.5">
      <c r="A15" s="2927" t="s">
        <v>3037</v>
      </c>
      <c r="B15" s="157" t="s">
        <v>278</v>
      </c>
      <c r="C15" s="847" t="str">
        <f>估价对象房地状况!C3</f>
        <v>估价对象周边居住用地比例合宜，周边有路劲世界城和北京风景等住宅小区、居住规模较大，社区发展完善程度较好，综合评价居住社区成熟度较好</v>
      </c>
      <c r="D15" s="529">
        <v>100</v>
      </c>
      <c r="E15" s="530"/>
      <c r="F15" s="531">
        <f>SUMIF(76:76,E16,77:77)-SUMIF(76:76,C16,77:77)+100</f>
        <v>102</v>
      </c>
      <c r="G15" s="532"/>
      <c r="H15" s="529">
        <f>SUMIF(76:76,G16,77:77)-SUMIF(76:76,C16,77:77)+100</f>
        <v>102</v>
      </c>
      <c r="I15" s="530"/>
      <c r="J15" s="529">
        <f>SUMIF(76:76,I16,77:77)-SUMIF(76:76,C16,77:77)+100</f>
        <v>100</v>
      </c>
      <c r="K15" s="848">
        <v>2</v>
      </c>
      <c r="L15" s="2122"/>
      <c r="M15" s="2114"/>
      <c r="N15" s="2114"/>
      <c r="O15" s="2121"/>
      <c r="P15" s="3434" t="s">
        <v>529</v>
      </c>
      <c r="Q15" s="3166" t="str">
        <f t="shared" si="6"/>
        <v>居住社区成熟度</v>
      </c>
      <c r="R15" s="1554" t="s">
        <v>11</v>
      </c>
      <c r="S15" s="1555">
        <f t="shared" si="0"/>
        <v>102</v>
      </c>
      <c r="T15" s="1554" t="s">
        <v>11</v>
      </c>
      <c r="U15" s="1555">
        <f t="shared" si="1"/>
        <v>102</v>
      </c>
      <c r="V15" s="1554" t="s">
        <v>11</v>
      </c>
      <c r="W15" s="1555">
        <f t="shared" si="2"/>
        <v>100</v>
      </c>
      <c r="X15" s="3168"/>
      <c r="Y15" s="3434" t="s">
        <v>529</v>
      </c>
      <c r="Z15" s="3167" t="str">
        <f t="shared" si="7"/>
        <v>居住社区成熟度</v>
      </c>
      <c r="AA15" s="3171">
        <f t="shared" si="3"/>
        <v>0.98039215686274506</v>
      </c>
      <c r="AB15" s="3171">
        <f t="shared" si="4"/>
        <v>0.98039215686274506</v>
      </c>
      <c r="AC15" s="3171">
        <f t="shared" si="5"/>
        <v>1</v>
      </c>
    </row>
    <row r="16" spans="1:29" ht="15">
      <c r="A16" s="512"/>
      <c r="B16" s="849"/>
      <c r="C16" s="556" t="s">
        <v>530</v>
      </c>
      <c r="D16" s="535"/>
      <c r="E16" s="536" t="s">
        <v>531</v>
      </c>
      <c r="F16" s="537"/>
      <c r="G16" s="538" t="s">
        <v>531</v>
      </c>
      <c r="H16" s="539"/>
      <c r="I16" s="536" t="s">
        <v>530</v>
      </c>
      <c r="J16" s="535"/>
      <c r="K16" s="850"/>
      <c r="L16" s="2122"/>
      <c r="M16" s="2114"/>
      <c r="N16" s="2114"/>
      <c r="O16" s="2121"/>
      <c r="P16" s="3435"/>
      <c r="Q16" s="3166"/>
      <c r="R16" s="1554"/>
      <c r="S16" s="1555"/>
      <c r="T16" s="1554"/>
      <c r="U16" s="1555"/>
      <c r="V16" s="1554"/>
      <c r="W16" s="1555"/>
      <c r="X16" s="3168"/>
      <c r="Y16" s="3435"/>
      <c r="Z16" s="3167"/>
      <c r="AA16" s="3171">
        <v>1</v>
      </c>
      <c r="AB16" s="3171">
        <v>1</v>
      </c>
      <c r="AC16" s="3171">
        <v>1</v>
      </c>
    </row>
    <row r="17" spans="1:29" ht="128.25">
      <c r="A17" s="512"/>
      <c r="B17" s="851" t="s">
        <v>279</v>
      </c>
      <c r="C17" s="852" t="str">
        <f>估价对象房地状况!C6</f>
        <v>估价对象周边有326、643等公交线路、紧邻昌平线，公共交通通达情况；项目自身有停车位、停车便捷程度较好，综合评价交通便捷度较好</v>
      </c>
      <c r="D17" s="539">
        <v>100</v>
      </c>
      <c r="E17" s="542"/>
      <c r="F17" s="543">
        <f>SUMIF(78:78,E18,79:79)-SUMIF(78:78,C18,79:79)+100</f>
        <v>102</v>
      </c>
      <c r="G17" s="544"/>
      <c r="H17" s="545">
        <f>SUMIF(78:78,G18,79:79)-SUMIF(78:78,C18,79:79)+100</f>
        <v>102</v>
      </c>
      <c r="I17" s="542"/>
      <c r="J17" s="545">
        <f>SUMIF(78:78,I18,79:79)-SUMIF(78:78,C18,79:79)+100</f>
        <v>100</v>
      </c>
      <c r="K17" s="848">
        <v>2</v>
      </c>
      <c r="L17" s="2122"/>
      <c r="M17" s="2114"/>
      <c r="N17" s="2114"/>
      <c r="O17" s="2121"/>
      <c r="P17" s="3435"/>
      <c r="Q17" s="3166" t="str">
        <f>B17</f>
        <v>交通便捷度</v>
      </c>
      <c r="R17" s="1554" t="s">
        <v>11</v>
      </c>
      <c r="S17" s="1555">
        <f>F17</f>
        <v>102</v>
      </c>
      <c r="T17" s="1554" t="s">
        <v>11</v>
      </c>
      <c r="U17" s="1555">
        <f>H17</f>
        <v>102</v>
      </c>
      <c r="V17" s="1554" t="s">
        <v>11</v>
      </c>
      <c r="W17" s="1555">
        <f>J17</f>
        <v>100</v>
      </c>
      <c r="X17" s="3168"/>
      <c r="Y17" s="3435"/>
      <c r="Z17" s="3167" t="str">
        <f>Q17</f>
        <v>交通便捷度</v>
      </c>
      <c r="AA17" s="3171">
        <f t="shared" si="3"/>
        <v>0.98039215686274506</v>
      </c>
      <c r="AB17" s="3171">
        <f t="shared" si="4"/>
        <v>0.98039215686274506</v>
      </c>
      <c r="AC17" s="3171">
        <f t="shared" si="5"/>
        <v>1</v>
      </c>
    </row>
    <row r="18" spans="1:29" ht="15">
      <c r="A18" s="512"/>
      <c r="B18" s="575"/>
      <c r="C18" s="853" t="s">
        <v>530</v>
      </c>
      <c r="D18" s="539"/>
      <c r="E18" s="548" t="s">
        <v>531</v>
      </c>
      <c r="F18" s="543"/>
      <c r="G18" s="549" t="s">
        <v>531</v>
      </c>
      <c r="H18" s="535"/>
      <c r="I18" s="548" t="s">
        <v>530</v>
      </c>
      <c r="J18" s="535"/>
      <c r="K18" s="850"/>
      <c r="L18" s="2122"/>
      <c r="M18" s="2114"/>
      <c r="N18" s="2114"/>
      <c r="O18" s="2121"/>
      <c r="P18" s="3435"/>
      <c r="Q18" s="3166"/>
      <c r="R18" s="1554"/>
      <c r="S18" s="1555"/>
      <c r="T18" s="1554"/>
      <c r="U18" s="1555"/>
      <c r="V18" s="1554"/>
      <c r="W18" s="1555"/>
      <c r="X18" s="3168"/>
      <c r="Y18" s="3435"/>
      <c r="Z18" s="3167"/>
      <c r="AA18" s="3171">
        <v>1</v>
      </c>
      <c r="AB18" s="3171">
        <v>1</v>
      </c>
      <c r="AC18" s="3171">
        <v>1</v>
      </c>
    </row>
    <row r="19" spans="1:29" ht="42.75">
      <c r="A19" s="512"/>
      <c r="B19" s="2613" t="s">
        <v>2813</v>
      </c>
      <c r="C19" s="852" t="str">
        <f>估价对象房地状况!C7</f>
        <v>估价对象所在区域公共配套设施较齐备；</v>
      </c>
      <c r="D19" s="545">
        <v>100</v>
      </c>
      <c r="E19" s="550"/>
      <c r="F19" s="551">
        <f>SUMIF(80:80,E20,81:81)-SUMIF(80:80,C20,81:81)+100</f>
        <v>102</v>
      </c>
      <c r="G19" s="552"/>
      <c r="H19" s="539">
        <f>SUMIF(80:80,G20,81:81)-SUMIF(80:80,C20,81:81)+100</f>
        <v>102</v>
      </c>
      <c r="I19" s="550"/>
      <c r="J19" s="539">
        <f>SUMIF(80:80,I20,81:81)-SUMIF(80:80,C20,81:81)+100</f>
        <v>100</v>
      </c>
      <c r="K19" s="848">
        <v>2</v>
      </c>
      <c r="L19" s="2122"/>
      <c r="M19" s="2114"/>
      <c r="N19" s="2114"/>
      <c r="O19" s="2121"/>
      <c r="P19" s="3435"/>
      <c r="Q19" s="3166" t="str">
        <f>B19</f>
        <v>公共配套设施</v>
      </c>
      <c r="R19" s="1554" t="s">
        <v>11</v>
      </c>
      <c r="S19" s="1555">
        <f>F19</f>
        <v>102</v>
      </c>
      <c r="T19" s="1554" t="s">
        <v>11</v>
      </c>
      <c r="U19" s="1555">
        <f>H19</f>
        <v>102</v>
      </c>
      <c r="V19" s="1554" t="s">
        <v>11</v>
      </c>
      <c r="W19" s="1555">
        <f>J19</f>
        <v>100</v>
      </c>
      <c r="X19" s="3168"/>
      <c r="Y19" s="3435"/>
      <c r="Z19" s="3167" t="str">
        <f>Q19</f>
        <v>公共配套设施</v>
      </c>
      <c r="AA19" s="3171">
        <f t="shared" si="3"/>
        <v>0.98039215686274506</v>
      </c>
      <c r="AB19" s="3171">
        <f t="shared" si="4"/>
        <v>0.98039215686274506</v>
      </c>
      <c r="AC19" s="3171">
        <f t="shared" si="5"/>
        <v>1</v>
      </c>
    </row>
    <row r="20" spans="1:29" ht="15">
      <c r="A20" s="512"/>
      <c r="B20" s="575"/>
      <c r="C20" s="556" t="s">
        <v>531</v>
      </c>
      <c r="D20" s="535"/>
      <c r="E20" s="536" t="s">
        <v>623</v>
      </c>
      <c r="F20" s="537"/>
      <c r="G20" s="538" t="s">
        <v>623</v>
      </c>
      <c r="H20" s="535"/>
      <c r="I20" s="536" t="s">
        <v>531</v>
      </c>
      <c r="J20" s="535"/>
      <c r="K20" s="850"/>
      <c r="L20" s="2122"/>
      <c r="M20" s="2114"/>
      <c r="N20" s="2114"/>
      <c r="O20" s="2121"/>
      <c r="P20" s="3435"/>
      <c r="Q20" s="3166"/>
      <c r="R20" s="1554"/>
      <c r="S20" s="1555"/>
      <c r="T20" s="1554"/>
      <c r="U20" s="1555"/>
      <c r="V20" s="1554"/>
      <c r="W20" s="1555"/>
      <c r="X20" s="3168"/>
      <c r="Y20" s="3435"/>
      <c r="Z20" s="3167"/>
      <c r="AA20" s="3171">
        <v>1</v>
      </c>
      <c r="AB20" s="3171">
        <v>1</v>
      </c>
      <c r="AC20" s="3171">
        <v>1</v>
      </c>
    </row>
    <row r="21" spans="1:29" ht="28.5">
      <c r="A21" s="512"/>
      <c r="B21" s="2606" t="s">
        <v>2814</v>
      </c>
      <c r="C21" s="852" t="str">
        <f>估价对象房地状况!C8</f>
        <v>基础设施水平七通一平</v>
      </c>
      <c r="D21" s="545">
        <v>100</v>
      </c>
      <c r="E21" s="552"/>
      <c r="F21" s="551">
        <f>SUMIF(82:82,E22,83:83)-SUMIF(82:82,C22,83:83)+100</f>
        <v>99</v>
      </c>
      <c r="G21" s="552"/>
      <c r="H21" s="545">
        <f>SUMIF(82:82,G22,83:83)-SUMIF(82:82,C22,83:83)+100</f>
        <v>98</v>
      </c>
      <c r="I21" s="550"/>
      <c r="J21" s="545">
        <f>SUMIF(82:82,I22,83:83)-SUMIF(82:82,C22,83:83)+100</f>
        <v>97</v>
      </c>
      <c r="K21" s="848">
        <v>1</v>
      </c>
      <c r="L21" s="2122"/>
      <c r="M21" s="2114"/>
      <c r="N21" s="2114"/>
      <c r="O21" s="2121"/>
      <c r="P21" s="3435"/>
      <c r="Q21" s="3166" t="str">
        <f>B21</f>
        <v>基础设施水平</v>
      </c>
      <c r="R21" s="1554" t="s">
        <v>11</v>
      </c>
      <c r="S21" s="1555">
        <f>F21</f>
        <v>99</v>
      </c>
      <c r="T21" s="1554" t="s">
        <v>11</v>
      </c>
      <c r="U21" s="1555">
        <f>H21</f>
        <v>98</v>
      </c>
      <c r="V21" s="1554" t="s">
        <v>11</v>
      </c>
      <c r="W21" s="1555">
        <f>J21</f>
        <v>97</v>
      </c>
      <c r="X21" s="3168"/>
      <c r="Y21" s="3435"/>
      <c r="Z21" s="3167" t="str">
        <f>Q21</f>
        <v>基础设施水平</v>
      </c>
      <c r="AA21" s="3171">
        <f t="shared" ref="AA21" si="8">D21/F21</f>
        <v>1.0101010101010102</v>
      </c>
      <c r="AB21" s="3171">
        <f t="shared" ref="AB21" si="9">D21/H21</f>
        <v>1.0204081632653061</v>
      </c>
      <c r="AC21" s="3171">
        <f t="shared" ref="AC21" si="10">D21/J21</f>
        <v>1.0309278350515463</v>
      </c>
    </row>
    <row r="22" spans="1:29" ht="15">
      <c r="A22" s="512"/>
      <c r="B22" s="901"/>
      <c r="C22" s="853" t="s">
        <v>2805</v>
      </c>
      <c r="D22" s="535"/>
      <c r="E22" s="556" t="s">
        <v>2586</v>
      </c>
      <c r="F22" s="537"/>
      <c r="G22" s="556" t="s">
        <v>2587</v>
      </c>
      <c r="H22" s="535"/>
      <c r="I22" s="556" t="s">
        <v>2809</v>
      </c>
      <c r="J22" s="535"/>
      <c r="K22" s="2612"/>
      <c r="L22" s="2122"/>
      <c r="M22" s="2114"/>
      <c r="N22" s="2114"/>
      <c r="O22" s="2121"/>
      <c r="P22" s="3435"/>
      <c r="Q22" s="3166"/>
      <c r="R22" s="1554"/>
      <c r="S22" s="1555"/>
      <c r="T22" s="1554"/>
      <c r="U22" s="1555"/>
      <c r="V22" s="1554"/>
      <c r="W22" s="1555"/>
      <c r="X22" s="3168"/>
      <c r="Y22" s="3435"/>
      <c r="Z22" s="3167"/>
      <c r="AA22" s="3171">
        <v>1</v>
      </c>
      <c r="AB22" s="3171">
        <v>1</v>
      </c>
      <c r="AC22" s="3171">
        <v>1</v>
      </c>
    </row>
    <row r="23" spans="1:29" ht="71.25">
      <c r="A23" s="512"/>
      <c r="B23" s="851" t="s">
        <v>280</v>
      </c>
      <c r="C23" s="852" t="str">
        <f>估价对象房地状况!C9</f>
        <v>区域自然环境：白浮泉公园等；人文环境：无；综合评价环境状况一般</v>
      </c>
      <c r="D23" s="539">
        <v>100</v>
      </c>
      <c r="E23" s="542"/>
      <c r="F23" s="543">
        <f>SUMIF(84:84,E24,85:85)-SUMIF(84:84,C24,85:85)+100</f>
        <v>102</v>
      </c>
      <c r="G23" s="544"/>
      <c r="H23" s="539">
        <f>SUMIF(84:84,G24,85:85)-SUMIF(84:84,C24,85:85)+100</f>
        <v>100</v>
      </c>
      <c r="I23" s="542"/>
      <c r="J23" s="539">
        <f>SUMIF(84:84,I24,85:85)-SUMIF(84:84,C24,85:85)+100</f>
        <v>100</v>
      </c>
      <c r="K23" s="848">
        <v>2</v>
      </c>
      <c r="L23" s="2122"/>
      <c r="M23" s="2114"/>
      <c r="N23" s="2114"/>
      <c r="O23" s="2121"/>
      <c r="P23" s="3435"/>
      <c r="Q23" s="3166" t="str">
        <f>B23</f>
        <v>自然及人文环境</v>
      </c>
      <c r="R23" s="1554" t="s">
        <v>11</v>
      </c>
      <c r="S23" s="1555">
        <f>F23</f>
        <v>102</v>
      </c>
      <c r="T23" s="1554" t="s">
        <v>11</v>
      </c>
      <c r="U23" s="1555">
        <f>H23</f>
        <v>100</v>
      </c>
      <c r="V23" s="1554" t="s">
        <v>11</v>
      </c>
      <c r="W23" s="1555">
        <f>J23</f>
        <v>100</v>
      </c>
      <c r="X23" s="3168"/>
      <c r="Y23" s="3435"/>
      <c r="Z23" s="3167" t="str">
        <f>Q23</f>
        <v>自然及人文环境</v>
      </c>
      <c r="AA23" s="3171">
        <f t="shared" si="3"/>
        <v>0.98039215686274506</v>
      </c>
      <c r="AB23" s="3171">
        <f t="shared" si="4"/>
        <v>1</v>
      </c>
      <c r="AC23" s="3171">
        <f t="shared" si="5"/>
        <v>1</v>
      </c>
    </row>
    <row r="24" spans="1:29" ht="15">
      <c r="A24" s="512"/>
      <c r="B24" s="575"/>
      <c r="C24" s="556" t="s">
        <v>530</v>
      </c>
      <c r="D24" s="535"/>
      <c r="E24" s="536" t="s">
        <v>531</v>
      </c>
      <c r="F24" s="537"/>
      <c r="G24" s="538" t="s">
        <v>530</v>
      </c>
      <c r="H24" s="535"/>
      <c r="I24" s="536" t="s">
        <v>530</v>
      </c>
      <c r="J24" s="535"/>
      <c r="K24" s="850"/>
      <c r="L24" s="2122"/>
      <c r="M24" s="2114"/>
      <c r="N24" s="2114"/>
      <c r="O24" s="2121"/>
      <c r="P24" s="3435"/>
      <c r="Q24" s="3166"/>
      <c r="R24" s="1554"/>
      <c r="S24" s="1555"/>
      <c r="T24" s="1554"/>
      <c r="U24" s="1555"/>
      <c r="V24" s="1554"/>
      <c r="W24" s="1555"/>
      <c r="X24" s="3168"/>
      <c r="Y24" s="3435"/>
      <c r="Z24" s="3167"/>
      <c r="AA24" s="3171">
        <v>1</v>
      </c>
      <c r="AB24" s="3171">
        <v>1</v>
      </c>
      <c r="AC24" s="3171">
        <v>1</v>
      </c>
    </row>
    <row r="25" spans="1:29" ht="15">
      <c r="A25" s="512"/>
      <c r="B25" s="1870" t="s">
        <v>2484</v>
      </c>
      <c r="C25" s="554">
        <v>8</v>
      </c>
      <c r="D25" s="520">
        <v>100</v>
      </c>
      <c r="E25" s="854">
        <v>15</v>
      </c>
      <c r="F25" s="555">
        <f>SUMIF(86:86,E25,87:87)-SUMIF(86:86,C25,87:87)+100</f>
        <v>103.5</v>
      </c>
      <c r="G25" s="579">
        <v>3</v>
      </c>
      <c r="H25" s="520">
        <f>SUMIF(86:86,G25,87:87)-SUMIF(86:86,C25,87:87)+100</f>
        <v>97.5</v>
      </c>
      <c r="I25" s="854">
        <v>10</v>
      </c>
      <c r="J25" s="520">
        <f>SUMIF(86:86,I25,87:87)-SUMIF(86:86,C25,87:87)+100</f>
        <v>101</v>
      </c>
      <c r="K25" s="844">
        <v>0.5</v>
      </c>
      <c r="L25" s="2122"/>
      <c r="M25" s="2114"/>
      <c r="N25" s="2114"/>
      <c r="O25" s="2121"/>
      <c r="P25" s="3435"/>
      <c r="Q25" s="3166" t="str">
        <f t="shared" ref="Q25:Q46" si="11">B25</f>
        <v>楼层-1</v>
      </c>
      <c r="R25" s="1554" t="s">
        <v>11</v>
      </c>
      <c r="S25" s="1555">
        <f>F25</f>
        <v>103.5</v>
      </c>
      <c r="T25" s="1554" t="s">
        <v>11</v>
      </c>
      <c r="U25" s="1555">
        <f>H25</f>
        <v>97.5</v>
      </c>
      <c r="V25" s="1554" t="s">
        <v>11</v>
      </c>
      <c r="W25" s="1555">
        <f>J25</f>
        <v>101</v>
      </c>
      <c r="X25" s="3168"/>
      <c r="Y25" s="3435"/>
      <c r="Z25" s="3167" t="str">
        <f>Q25</f>
        <v>楼层-1</v>
      </c>
      <c r="AA25" s="3171">
        <f t="shared" si="3"/>
        <v>0.96618357487922701</v>
      </c>
      <c r="AB25" s="3171">
        <f t="shared" si="4"/>
        <v>1.0256410256410255</v>
      </c>
      <c r="AC25" s="3171">
        <f t="shared" si="5"/>
        <v>0.99009900990099009</v>
      </c>
    </row>
    <row r="26" spans="1:29" ht="15">
      <c r="A26" s="512"/>
      <c r="B26" s="507" t="s">
        <v>763</v>
      </c>
      <c r="C26" s="554" t="s">
        <v>764</v>
      </c>
      <c r="D26" s="520">
        <v>100</v>
      </c>
      <c r="E26" s="854" t="s">
        <v>764</v>
      </c>
      <c r="F26" s="555">
        <f>SUMIF(88:88,E26,89:89)-SUMIF(88:88,C26,89:89)+100</f>
        <v>100</v>
      </c>
      <c r="G26" s="579" t="s">
        <v>764</v>
      </c>
      <c r="H26" s="520">
        <f>SUMIF(88:88,G26,89:89)-SUMIF(88:88,C26,89:89)+100</f>
        <v>100</v>
      </c>
      <c r="I26" s="854" t="s">
        <v>764</v>
      </c>
      <c r="J26" s="520">
        <f>SUMIF(88:88,I26,89:89)-SUMIF(88:88,C26,89:89)+100</f>
        <v>100</v>
      </c>
      <c r="K26" s="844">
        <v>1</v>
      </c>
      <c r="L26" s="2122"/>
      <c r="M26" s="2114"/>
      <c r="N26" s="2114"/>
      <c r="O26" s="2121"/>
      <c r="P26" s="3435"/>
      <c r="Q26" s="3166" t="str">
        <f t="shared" si="11"/>
        <v>朝向</v>
      </c>
      <c r="R26" s="1554" t="s">
        <v>11</v>
      </c>
      <c r="S26" s="1555">
        <f>F26</f>
        <v>100</v>
      </c>
      <c r="T26" s="1554" t="s">
        <v>11</v>
      </c>
      <c r="U26" s="1555">
        <f>H26</f>
        <v>100</v>
      </c>
      <c r="V26" s="1554" t="s">
        <v>11</v>
      </c>
      <c r="W26" s="1555">
        <f>J26</f>
        <v>100</v>
      </c>
      <c r="X26" s="3168"/>
      <c r="Y26" s="3435"/>
      <c r="Z26" s="3167" t="str">
        <f>Q26</f>
        <v>朝向</v>
      </c>
      <c r="AA26" s="3171">
        <f t="shared" si="3"/>
        <v>1</v>
      </c>
      <c r="AB26" s="3171">
        <f t="shared" si="4"/>
        <v>1</v>
      </c>
      <c r="AC26" s="3171">
        <f t="shared" si="5"/>
        <v>1</v>
      </c>
    </row>
    <row r="27" spans="1:29" s="1199" customFormat="1" ht="15">
      <c r="A27" s="516"/>
      <c r="B27" s="517" t="s">
        <v>765</v>
      </c>
      <c r="C27" s="508" t="s">
        <v>766</v>
      </c>
      <c r="D27" s="855">
        <v>100</v>
      </c>
      <c r="E27" s="510" t="s">
        <v>766</v>
      </c>
      <c r="F27" s="856">
        <f>SUMIF(90:90,E27,91:91)-SUMIF(90:90,C27,91:91)+100</f>
        <v>100</v>
      </c>
      <c r="G27" s="509" t="s">
        <v>767</v>
      </c>
      <c r="H27" s="855">
        <f>SUMIF(90:90,G27,91:91)-SUMIF(90:90,C27,91:91)+100</f>
        <v>102</v>
      </c>
      <c r="I27" s="510" t="s">
        <v>768</v>
      </c>
      <c r="J27" s="855">
        <f>SUMIF(90:90,I27,91:91)-SUMIF(90:90,C27,91:91)+100</f>
        <v>99</v>
      </c>
      <c r="K27" s="845"/>
      <c r="L27" s="2115"/>
      <c r="M27" s="2116"/>
      <c r="N27" s="2116"/>
      <c r="O27" s="2117"/>
      <c r="P27" s="3435"/>
      <c r="Q27" s="3165" t="str">
        <f t="shared" si="11"/>
        <v>道路级别</v>
      </c>
      <c r="R27" s="1549" t="s">
        <v>11</v>
      </c>
      <c r="S27" s="1550">
        <f>F27</f>
        <v>100</v>
      </c>
      <c r="T27" s="1549" t="s">
        <v>11</v>
      </c>
      <c r="U27" s="1550">
        <f>H27</f>
        <v>102</v>
      </c>
      <c r="V27" s="1549" t="s">
        <v>11</v>
      </c>
      <c r="W27" s="1550">
        <f>J27</f>
        <v>99</v>
      </c>
      <c r="X27" s="1551"/>
      <c r="Y27" s="3435"/>
      <c r="Z27" s="3164" t="str">
        <f>Q27</f>
        <v>道路级别</v>
      </c>
      <c r="AA27" s="3171">
        <f>D27/F27</f>
        <v>1</v>
      </c>
      <c r="AB27" s="3171">
        <f>D27/H27</f>
        <v>0.98039215686274506</v>
      </c>
      <c r="AC27" s="3171">
        <f>D27/J27</f>
        <v>1.0101010101010102</v>
      </c>
    </row>
    <row r="28" spans="1:29" ht="15">
      <c r="A28" s="512"/>
      <c r="B28" s="857">
        <v>111</v>
      </c>
      <c r="C28" s="519">
        <v>111</v>
      </c>
      <c r="D28" s="520">
        <v>100</v>
      </c>
      <c r="E28" s="519">
        <v>111</v>
      </c>
      <c r="F28" s="555">
        <f>SUMIF(92:92,E28,93:93)-SUMIF(92:92,C28,93:93)+100</f>
        <v>100</v>
      </c>
      <c r="G28" s="519">
        <v>111</v>
      </c>
      <c r="H28" s="520">
        <f>SUMIF(92:92,G28,93:93)-SUMIF(92:92,C28,93:93)+100</f>
        <v>100</v>
      </c>
      <c r="I28" s="519">
        <v>111</v>
      </c>
      <c r="J28" s="520">
        <f>SUMIF(92:92,I28,93:93)-SUMIF(92:92,C28,93:93)+100</f>
        <v>100</v>
      </c>
      <c r="K28" s="845"/>
      <c r="L28" s="2122"/>
      <c r="M28" s="2114"/>
      <c r="N28" s="2114"/>
      <c r="O28" s="2121"/>
      <c r="P28" s="3435"/>
      <c r="Q28" s="3166">
        <f t="shared" si="11"/>
        <v>111</v>
      </c>
      <c r="R28" s="1554" t="s">
        <v>11</v>
      </c>
      <c r="S28" s="1555">
        <f t="shared" ref="S28:S46" si="12">F28</f>
        <v>100</v>
      </c>
      <c r="T28" s="1554" t="s">
        <v>11</v>
      </c>
      <c r="U28" s="1555">
        <f t="shared" ref="U28:U46" si="13">H28</f>
        <v>100</v>
      </c>
      <c r="V28" s="1554" t="s">
        <v>11</v>
      </c>
      <c r="W28" s="1555">
        <f t="shared" ref="W28:W46" si="14">J28</f>
        <v>100</v>
      </c>
      <c r="X28" s="3168"/>
      <c r="Y28" s="3435"/>
      <c r="Z28" s="3167">
        <f t="shared" ref="Z28:Z46" si="15">Q28</f>
        <v>111</v>
      </c>
      <c r="AA28" s="3171">
        <f t="shared" si="3"/>
        <v>1</v>
      </c>
      <c r="AB28" s="3171">
        <f t="shared" si="4"/>
        <v>1</v>
      </c>
      <c r="AC28" s="3171">
        <f t="shared" si="5"/>
        <v>1</v>
      </c>
    </row>
    <row r="29" spans="1:29" ht="15">
      <c r="A29" s="512"/>
      <c r="B29" s="857">
        <v>111</v>
      </c>
      <c r="C29" s="519">
        <v>111</v>
      </c>
      <c r="D29" s="520">
        <v>100</v>
      </c>
      <c r="E29" s="519">
        <v>111</v>
      </c>
      <c r="F29" s="555">
        <f>SUMIF(94:94,E29,95:95)-SUMIF(94:94,C29,95:95)+100</f>
        <v>100</v>
      </c>
      <c r="G29" s="519">
        <v>111</v>
      </c>
      <c r="H29" s="520">
        <f>SUMIF(94:94,G29,95:95)-SUMIF(94:94,C29,95:95)+100</f>
        <v>100</v>
      </c>
      <c r="I29" s="519">
        <v>111</v>
      </c>
      <c r="J29" s="520">
        <f>SUMIF(94:94,I29,95:95)-SUMIF(94:94,C29,95:95)+100</f>
        <v>100</v>
      </c>
      <c r="K29" s="845"/>
      <c r="L29" s="2122"/>
      <c r="M29" s="2114"/>
      <c r="N29" s="2114"/>
      <c r="O29" s="2121"/>
      <c r="P29" s="3435"/>
      <c r="Q29" s="3166">
        <f t="shared" si="11"/>
        <v>111</v>
      </c>
      <c r="R29" s="1554" t="s">
        <v>11</v>
      </c>
      <c r="S29" s="1555">
        <f t="shared" si="12"/>
        <v>100</v>
      </c>
      <c r="T29" s="1554" t="s">
        <v>11</v>
      </c>
      <c r="U29" s="1555">
        <f t="shared" si="13"/>
        <v>100</v>
      </c>
      <c r="V29" s="1554" t="s">
        <v>11</v>
      </c>
      <c r="W29" s="1555">
        <f t="shared" si="14"/>
        <v>100</v>
      </c>
      <c r="X29" s="3168"/>
      <c r="Y29" s="3435"/>
      <c r="Z29" s="3167">
        <f t="shared" si="15"/>
        <v>111</v>
      </c>
      <c r="AA29" s="3171">
        <f t="shared" si="3"/>
        <v>1</v>
      </c>
      <c r="AB29" s="3171">
        <f t="shared" si="4"/>
        <v>1</v>
      </c>
      <c r="AC29" s="3171">
        <f t="shared" si="5"/>
        <v>1</v>
      </c>
    </row>
    <row r="30" spans="1:29" ht="15">
      <c r="A30" s="512"/>
      <c r="B30" s="857">
        <v>111</v>
      </c>
      <c r="C30" s="519">
        <v>111</v>
      </c>
      <c r="D30" s="520">
        <v>100</v>
      </c>
      <c r="E30" s="519">
        <v>111</v>
      </c>
      <c r="F30" s="555">
        <f>SUMIF(96:96,E30,97:97)-SUMIF(96:96,C30,97:97)+100</f>
        <v>100</v>
      </c>
      <c r="G30" s="519">
        <v>111</v>
      </c>
      <c r="H30" s="520">
        <f>SUMIF(96:96,G30,97:97)-SUMIF(96:96,C30,97:97)+100</f>
        <v>100</v>
      </c>
      <c r="I30" s="519">
        <v>111</v>
      </c>
      <c r="J30" s="520">
        <f>SUMIF(96:96,I30,97:97)-SUMIF(96:96,C30,97:97)+100</f>
        <v>100</v>
      </c>
      <c r="K30" s="845"/>
      <c r="L30" s="2122"/>
      <c r="M30" s="2114"/>
      <c r="N30" s="2114"/>
      <c r="O30" s="2121"/>
      <c r="P30" s="3435"/>
      <c r="Q30" s="3166">
        <f t="shared" si="11"/>
        <v>111</v>
      </c>
      <c r="R30" s="1554" t="s">
        <v>11</v>
      </c>
      <c r="S30" s="1555">
        <f t="shared" si="12"/>
        <v>100</v>
      </c>
      <c r="T30" s="1554" t="s">
        <v>11</v>
      </c>
      <c r="U30" s="1555">
        <f t="shared" si="13"/>
        <v>100</v>
      </c>
      <c r="V30" s="1554" t="s">
        <v>11</v>
      </c>
      <c r="W30" s="1555">
        <f t="shared" si="14"/>
        <v>100</v>
      </c>
      <c r="X30" s="3168"/>
      <c r="Y30" s="3435"/>
      <c r="Z30" s="3167">
        <f t="shared" si="15"/>
        <v>111</v>
      </c>
      <c r="AA30" s="3171">
        <f t="shared" si="3"/>
        <v>1</v>
      </c>
      <c r="AB30" s="3171">
        <f t="shared" si="4"/>
        <v>1</v>
      </c>
      <c r="AC30" s="3171">
        <f t="shared" si="5"/>
        <v>1</v>
      </c>
    </row>
    <row r="31" spans="1:29" ht="15.75" thickBot="1">
      <c r="A31" s="523"/>
      <c r="B31" s="857">
        <v>111</v>
      </c>
      <c r="C31" s="525">
        <v>111</v>
      </c>
      <c r="D31" s="526">
        <v>100</v>
      </c>
      <c r="E31" s="525">
        <v>111</v>
      </c>
      <c r="F31" s="846">
        <f>SUMIF(98:98,E31,99:99)-SUMIF(98:98,C31,99:99)+100</f>
        <v>100</v>
      </c>
      <c r="G31" s="525">
        <v>111</v>
      </c>
      <c r="H31" s="526">
        <f>SUMIF(98:98,G31,99:99)-SUMIF(98:98,C31,99:99)+100</f>
        <v>100</v>
      </c>
      <c r="I31" s="525">
        <v>111</v>
      </c>
      <c r="J31" s="526">
        <f>SUMIF(98:98,I31,99:99)-SUMIF(98:98,C31,99:99)+100</f>
        <v>100</v>
      </c>
      <c r="K31" s="845"/>
      <c r="L31" s="2122"/>
      <c r="M31" s="2114"/>
      <c r="N31" s="2114"/>
      <c r="O31" s="2121"/>
      <c r="P31" s="3435"/>
      <c r="Q31" s="3166">
        <f t="shared" si="11"/>
        <v>111</v>
      </c>
      <c r="R31" s="1554" t="s">
        <v>11</v>
      </c>
      <c r="S31" s="1555">
        <f t="shared" si="12"/>
        <v>100</v>
      </c>
      <c r="T31" s="1554" t="s">
        <v>11</v>
      </c>
      <c r="U31" s="1555">
        <f t="shared" si="13"/>
        <v>100</v>
      </c>
      <c r="V31" s="1554" t="s">
        <v>11</v>
      </c>
      <c r="W31" s="1555">
        <f t="shared" si="14"/>
        <v>100</v>
      </c>
      <c r="X31" s="3168"/>
      <c r="Y31" s="3435"/>
      <c r="Z31" s="3167">
        <f t="shared" si="15"/>
        <v>111</v>
      </c>
      <c r="AA31" s="3171">
        <f t="shared" si="3"/>
        <v>1</v>
      </c>
      <c r="AB31" s="3171">
        <f t="shared" si="4"/>
        <v>1</v>
      </c>
      <c r="AC31" s="3171">
        <f t="shared" si="5"/>
        <v>1</v>
      </c>
    </row>
    <row r="32" spans="1:29" ht="15">
      <c r="A32" s="2925" t="s">
        <v>3038</v>
      </c>
      <c r="B32" s="163" t="s">
        <v>769</v>
      </c>
      <c r="C32" s="858" t="s">
        <v>770</v>
      </c>
      <c r="D32" s="577">
        <v>100</v>
      </c>
      <c r="E32" s="859" t="s">
        <v>770</v>
      </c>
      <c r="F32" s="555">
        <f>SUMIF(100:100,E32,101:101)-SUMIF(100:100,C32,101:101)+100</f>
        <v>100</v>
      </c>
      <c r="G32" s="858" t="s">
        <v>771</v>
      </c>
      <c r="H32" s="577">
        <f>SUMIF(100:100,G32,101:101)-SUMIF(100:100,C32,101:101)+100</f>
        <v>115</v>
      </c>
      <c r="I32" s="859" t="s">
        <v>770</v>
      </c>
      <c r="J32" s="520">
        <f>SUMIF(100:100,I32,101:101)-SUMIF(100:100,C32,101:101)+100</f>
        <v>100</v>
      </c>
      <c r="K32" s="844">
        <v>15</v>
      </c>
      <c r="L32" s="2122"/>
      <c r="M32" s="2114"/>
      <c r="N32" s="2114"/>
      <c r="O32" s="2121"/>
      <c r="P32" s="3436" t="s">
        <v>543</v>
      </c>
      <c r="Q32" s="3166" t="str">
        <f t="shared" si="11"/>
        <v>建筑类型</v>
      </c>
      <c r="R32" s="1554" t="s">
        <v>11</v>
      </c>
      <c r="S32" s="1555">
        <f t="shared" si="12"/>
        <v>100</v>
      </c>
      <c r="T32" s="1554" t="s">
        <v>11</v>
      </c>
      <c r="U32" s="1555">
        <f t="shared" si="13"/>
        <v>115</v>
      </c>
      <c r="V32" s="1554" t="s">
        <v>11</v>
      </c>
      <c r="W32" s="1555">
        <f t="shared" si="14"/>
        <v>100</v>
      </c>
      <c r="X32" s="3168"/>
      <c r="Y32" s="3437" t="s">
        <v>543</v>
      </c>
      <c r="Z32" s="3167" t="str">
        <f t="shared" si="15"/>
        <v>建筑类型</v>
      </c>
      <c r="AA32" s="3171">
        <f t="shared" si="3"/>
        <v>1</v>
      </c>
      <c r="AB32" s="3171">
        <f t="shared" si="4"/>
        <v>0.86956521739130432</v>
      </c>
      <c r="AC32" s="3171">
        <f t="shared" si="5"/>
        <v>1</v>
      </c>
    </row>
    <row r="33" spans="1:29" s="1324" customFormat="1" ht="15">
      <c r="A33" s="583"/>
      <c r="B33" s="507" t="s">
        <v>772</v>
      </c>
      <c r="C33" s="860">
        <v>430.95</v>
      </c>
      <c r="D33" s="232">
        <v>100</v>
      </c>
      <c r="E33" s="514">
        <v>358.71</v>
      </c>
      <c r="F33" s="843">
        <f>LOOKUP(E33,103:103,104:104)-LOOKUP(C33,103:103,104:104)+100</f>
        <v>100</v>
      </c>
      <c r="G33" s="513">
        <v>557.86</v>
      </c>
      <c r="H33" s="232">
        <f>LOOKUP(G33,103:103,104:104)-LOOKUP(C33,103:103,104:104)+100</f>
        <v>102</v>
      </c>
      <c r="I33" s="514">
        <v>355</v>
      </c>
      <c r="J33" s="232">
        <f>LOOKUP(I33,103:103,104:104)-LOOKUP(C33,103:103,104:104)+100</f>
        <v>100</v>
      </c>
      <c r="K33" s="845"/>
      <c r="L33" s="2120"/>
      <c r="M33" s="2151"/>
      <c r="N33" s="2151"/>
      <c r="O33" s="2123"/>
      <c r="P33" s="3437"/>
      <c r="Q33" s="1586" t="str">
        <f t="shared" si="11"/>
        <v>项目建筑规模</v>
      </c>
      <c r="R33" s="1558" t="s">
        <v>11</v>
      </c>
      <c r="S33" s="1559">
        <f t="shared" si="12"/>
        <v>100</v>
      </c>
      <c r="T33" s="1558" t="s">
        <v>11</v>
      </c>
      <c r="U33" s="1559">
        <f t="shared" si="13"/>
        <v>102</v>
      </c>
      <c r="V33" s="1558" t="s">
        <v>11</v>
      </c>
      <c r="W33" s="1559">
        <f t="shared" si="14"/>
        <v>100</v>
      </c>
      <c r="X33" s="1560"/>
      <c r="Y33" s="3437"/>
      <c r="Z33" s="1561" t="str">
        <f t="shared" si="15"/>
        <v>项目建筑规模</v>
      </c>
      <c r="AA33" s="3171">
        <f t="shared" si="3"/>
        <v>1</v>
      </c>
      <c r="AB33" s="3171">
        <f t="shared" si="4"/>
        <v>0.98039215686274506</v>
      </c>
      <c r="AC33" s="3171">
        <f t="shared" si="5"/>
        <v>1</v>
      </c>
    </row>
    <row r="34" spans="1:29" ht="15">
      <c r="A34" s="574"/>
      <c r="B34" s="507" t="s">
        <v>773</v>
      </c>
      <c r="C34" s="861" t="s">
        <v>774</v>
      </c>
      <c r="D34" s="520">
        <v>100</v>
      </c>
      <c r="E34" s="862" t="s">
        <v>774</v>
      </c>
      <c r="F34" s="555">
        <f>SUMIF(105:105,E34,106:106)-SUMIF(105:105,C34,106:106)+100</f>
        <v>100</v>
      </c>
      <c r="G34" s="861" t="s">
        <v>774</v>
      </c>
      <c r="H34" s="520">
        <f>SUMIF(105:105,G34,106:106)-SUMIF(105:105,C34,106:106)+100</f>
        <v>100</v>
      </c>
      <c r="I34" s="862" t="s">
        <v>774</v>
      </c>
      <c r="J34" s="520">
        <f>SUMIF(105:105,I34,106:106)-SUMIF(105:105,C34,106:106)+100</f>
        <v>100</v>
      </c>
      <c r="K34" s="844">
        <v>2</v>
      </c>
      <c r="L34" s="2122"/>
      <c r="M34" s="2114"/>
      <c r="N34" s="2114"/>
      <c r="O34" s="2121"/>
      <c r="P34" s="3437"/>
      <c r="Q34" s="3166" t="str">
        <f t="shared" si="11"/>
        <v>建筑结构</v>
      </c>
      <c r="R34" s="1554" t="s">
        <v>11</v>
      </c>
      <c r="S34" s="1555">
        <f t="shared" si="12"/>
        <v>100</v>
      </c>
      <c r="T34" s="1554" t="s">
        <v>11</v>
      </c>
      <c r="U34" s="1555">
        <f t="shared" si="13"/>
        <v>100</v>
      </c>
      <c r="V34" s="1554" t="s">
        <v>11</v>
      </c>
      <c r="W34" s="1555">
        <f t="shared" si="14"/>
        <v>100</v>
      </c>
      <c r="X34" s="3168"/>
      <c r="Y34" s="3437"/>
      <c r="Z34" s="3167" t="str">
        <f t="shared" si="15"/>
        <v>建筑结构</v>
      </c>
      <c r="AA34" s="3171">
        <f t="shared" si="3"/>
        <v>1</v>
      </c>
      <c r="AB34" s="3171">
        <f t="shared" si="4"/>
        <v>1</v>
      </c>
      <c r="AC34" s="3171">
        <f t="shared" si="5"/>
        <v>1</v>
      </c>
    </row>
    <row r="35" spans="1:29" ht="15">
      <c r="A35" s="574"/>
      <c r="B35" s="507" t="s">
        <v>775</v>
      </c>
      <c r="C35" s="579" t="s">
        <v>2591</v>
      </c>
      <c r="D35" s="520">
        <v>100</v>
      </c>
      <c r="E35" s="854" t="s">
        <v>2591</v>
      </c>
      <c r="F35" s="555">
        <f>SUMIF(107:107,E35,108:108)-SUMIF(107:107,C35,108:108)+100</f>
        <v>100</v>
      </c>
      <c r="G35" s="579" t="s">
        <v>2592</v>
      </c>
      <c r="H35" s="520">
        <f>SUMIF(107:107,G35,108:108)-SUMIF(107:107,C35,108:108)+100</f>
        <v>95</v>
      </c>
      <c r="I35" s="854" t="s">
        <v>2592</v>
      </c>
      <c r="J35" s="520">
        <f>SUMIF(107:107,I35,108:108)-SUMIF(107:107,C35,108:108)+100</f>
        <v>95</v>
      </c>
      <c r="K35" s="844">
        <v>5</v>
      </c>
      <c r="L35" s="2122"/>
      <c r="M35" s="2114"/>
      <c r="N35" s="2114"/>
      <c r="O35" s="2121"/>
      <c r="P35" s="3437"/>
      <c r="Q35" s="3166" t="str">
        <f t="shared" si="11"/>
        <v>建筑品质</v>
      </c>
      <c r="R35" s="1554" t="s">
        <v>11</v>
      </c>
      <c r="S35" s="1555">
        <f t="shared" si="12"/>
        <v>100</v>
      </c>
      <c r="T35" s="1554" t="s">
        <v>11</v>
      </c>
      <c r="U35" s="1555">
        <f t="shared" si="13"/>
        <v>95</v>
      </c>
      <c r="V35" s="1554" t="s">
        <v>11</v>
      </c>
      <c r="W35" s="1555">
        <f t="shared" si="14"/>
        <v>95</v>
      </c>
      <c r="X35" s="3168"/>
      <c r="Y35" s="3437"/>
      <c r="Z35" s="3167" t="str">
        <f t="shared" si="15"/>
        <v>建筑品质</v>
      </c>
      <c r="AA35" s="3171">
        <f t="shared" si="3"/>
        <v>1</v>
      </c>
      <c r="AB35" s="3171">
        <f t="shared" si="4"/>
        <v>1.0526315789473684</v>
      </c>
      <c r="AC35" s="3171">
        <f t="shared" si="5"/>
        <v>1.0526315789473684</v>
      </c>
    </row>
    <row r="36" spans="1:29" ht="15">
      <c r="A36" s="574"/>
      <c r="B36" s="507" t="s">
        <v>776</v>
      </c>
      <c r="C36" s="579" t="s">
        <v>777</v>
      </c>
      <c r="D36" s="520">
        <v>100</v>
      </c>
      <c r="E36" s="854" t="s">
        <v>777</v>
      </c>
      <c r="F36" s="555">
        <f>SUMIF(109:109,E36,110:110)-SUMIF(109:109,C36,110:110)+100</f>
        <v>100</v>
      </c>
      <c r="G36" s="579" t="s">
        <v>777</v>
      </c>
      <c r="H36" s="520">
        <f>SUMIF(109:109,G36,110:110)-SUMIF(109:109,C36,110:110)+100</f>
        <v>100</v>
      </c>
      <c r="I36" s="854" t="s">
        <v>777</v>
      </c>
      <c r="J36" s="520">
        <f>SUMIF(109:109,I36,110:110)-SUMIF(109:109,C36,110:110)+100</f>
        <v>100</v>
      </c>
      <c r="K36" s="844">
        <v>2</v>
      </c>
      <c r="L36" s="2122"/>
      <c r="M36" s="2114"/>
      <c r="N36" s="2114"/>
      <c r="O36" s="2121"/>
      <c r="P36" s="3437"/>
      <c r="Q36" s="3166" t="str">
        <f t="shared" si="11"/>
        <v>公共部分装修</v>
      </c>
      <c r="R36" s="1554" t="s">
        <v>11</v>
      </c>
      <c r="S36" s="1555">
        <f t="shared" si="12"/>
        <v>100</v>
      </c>
      <c r="T36" s="1554" t="s">
        <v>11</v>
      </c>
      <c r="U36" s="1555">
        <f t="shared" si="13"/>
        <v>100</v>
      </c>
      <c r="V36" s="1554" t="s">
        <v>11</v>
      </c>
      <c r="W36" s="1555">
        <f t="shared" si="14"/>
        <v>100</v>
      </c>
      <c r="X36" s="3168"/>
      <c r="Y36" s="3437"/>
      <c r="Z36" s="3167" t="str">
        <f t="shared" si="15"/>
        <v>公共部分装修</v>
      </c>
      <c r="AA36" s="3171">
        <f t="shared" si="3"/>
        <v>1</v>
      </c>
      <c r="AB36" s="3171">
        <f t="shared" si="4"/>
        <v>1</v>
      </c>
      <c r="AC36" s="3171">
        <f t="shared" si="5"/>
        <v>1</v>
      </c>
    </row>
    <row r="37" spans="1:29" s="1199" customFormat="1" ht="15">
      <c r="A37" s="580"/>
      <c r="B37" s="507" t="s">
        <v>778</v>
      </c>
      <c r="C37" s="863">
        <v>1</v>
      </c>
      <c r="D37" s="232">
        <v>100</v>
      </c>
      <c r="E37" s="864">
        <v>1</v>
      </c>
      <c r="F37" s="843">
        <f>LOOKUP(E37,112:112,113:113)-LOOKUP(C37,112:112,113:113)+100</f>
        <v>100</v>
      </c>
      <c r="G37" s="865">
        <v>1</v>
      </c>
      <c r="H37" s="232">
        <f>LOOKUP(G37,112:112,113:113)-LOOKUP(C37,112:112,113:113)+100</f>
        <v>100</v>
      </c>
      <c r="I37" s="864">
        <v>1</v>
      </c>
      <c r="J37" s="232">
        <f>LOOKUP(I37,112:112,113:113)-LOOKUP(C37,112:112,113:113)+100</f>
        <v>100</v>
      </c>
      <c r="K37" s="844">
        <v>1</v>
      </c>
      <c r="L37" s="2115"/>
      <c r="M37" s="2116"/>
      <c r="N37" s="2116"/>
      <c r="O37" s="2117"/>
      <c r="P37" s="3437"/>
      <c r="Q37" s="3165" t="str">
        <f t="shared" si="11"/>
        <v>成新度</v>
      </c>
      <c r="R37" s="1549" t="s">
        <v>11</v>
      </c>
      <c r="S37" s="1550">
        <f t="shared" si="12"/>
        <v>100</v>
      </c>
      <c r="T37" s="1549" t="s">
        <v>11</v>
      </c>
      <c r="U37" s="1550">
        <f t="shared" si="13"/>
        <v>100</v>
      </c>
      <c r="V37" s="1549" t="s">
        <v>11</v>
      </c>
      <c r="W37" s="1550">
        <f t="shared" si="14"/>
        <v>100</v>
      </c>
      <c r="X37" s="1551"/>
      <c r="Y37" s="3437"/>
      <c r="Z37" s="3164" t="str">
        <f t="shared" si="15"/>
        <v>成新度</v>
      </c>
      <c r="AA37" s="1552">
        <f t="shared" si="3"/>
        <v>1</v>
      </c>
      <c r="AB37" s="1552">
        <f t="shared" si="4"/>
        <v>1</v>
      </c>
      <c r="AC37" s="1552">
        <f t="shared" si="5"/>
        <v>1</v>
      </c>
    </row>
    <row r="38" spans="1:29" ht="15">
      <c r="A38" s="574"/>
      <c r="B38" s="507" t="s">
        <v>779</v>
      </c>
      <c r="C38" s="579" t="s">
        <v>780</v>
      </c>
      <c r="D38" s="520">
        <v>100</v>
      </c>
      <c r="E38" s="854" t="s">
        <v>780</v>
      </c>
      <c r="F38" s="555">
        <f>SUMIF(114:114,E38,115:115)-SUMIF(114:114,C38,115:115)+100</f>
        <v>100</v>
      </c>
      <c r="G38" s="579" t="s">
        <v>780</v>
      </c>
      <c r="H38" s="520">
        <f>SUMIF(114:114,G38,115:115)-SUMIF(114:114,C38,115:115)+100</f>
        <v>100</v>
      </c>
      <c r="I38" s="854" t="s">
        <v>780</v>
      </c>
      <c r="J38" s="520">
        <f>SUMIF(114:114,I38,115:115)-SUMIF(114:114,C38,115:115)+100</f>
        <v>100</v>
      </c>
      <c r="K38" s="844">
        <v>3</v>
      </c>
      <c r="L38" s="2122"/>
      <c r="M38" s="2114"/>
      <c r="N38" s="2114"/>
      <c r="O38" s="2121"/>
      <c r="P38" s="3437" t="s">
        <v>543</v>
      </c>
      <c r="Q38" s="3166" t="str">
        <f t="shared" si="11"/>
        <v>物业管理</v>
      </c>
      <c r="R38" s="1554" t="s">
        <v>11</v>
      </c>
      <c r="S38" s="1555">
        <f t="shared" si="12"/>
        <v>100</v>
      </c>
      <c r="T38" s="1554" t="s">
        <v>11</v>
      </c>
      <c r="U38" s="1555">
        <f t="shared" si="13"/>
        <v>100</v>
      </c>
      <c r="V38" s="1554" t="s">
        <v>11</v>
      </c>
      <c r="W38" s="1555">
        <f t="shared" si="14"/>
        <v>100</v>
      </c>
      <c r="X38" s="3168"/>
      <c r="Y38" s="3437" t="s">
        <v>543</v>
      </c>
      <c r="Z38" s="3167" t="str">
        <f t="shared" si="15"/>
        <v>物业管理</v>
      </c>
      <c r="AA38" s="3171">
        <f t="shared" si="3"/>
        <v>1</v>
      </c>
      <c r="AB38" s="3171">
        <f t="shared" si="4"/>
        <v>1</v>
      </c>
      <c r="AC38" s="3171">
        <f t="shared" si="5"/>
        <v>1</v>
      </c>
    </row>
    <row r="39" spans="1:29" ht="15">
      <c r="A39" s="574"/>
      <c r="B39" s="1870" t="s">
        <v>2833</v>
      </c>
      <c r="C39" s="579" t="s">
        <v>781</v>
      </c>
      <c r="D39" s="520">
        <v>100</v>
      </c>
      <c r="E39" s="854" t="s">
        <v>781</v>
      </c>
      <c r="F39" s="555">
        <f>SUMIF(116:116,E39,117:117)-SUMIF(116:116,C39,117:117)+100</f>
        <v>100</v>
      </c>
      <c r="G39" s="579" t="s">
        <v>781</v>
      </c>
      <c r="H39" s="520">
        <f>SUMIF(116:116,G39,117:117)-SUMIF(116:116,C39,117:117)+100</f>
        <v>100</v>
      </c>
      <c r="I39" s="854" t="s">
        <v>781</v>
      </c>
      <c r="J39" s="520">
        <f>SUMIF(116:116,I39,117:117)-SUMIF(116:116,C39,117:117)+100</f>
        <v>100</v>
      </c>
      <c r="K39" s="844">
        <v>2</v>
      </c>
      <c r="L39" s="2122"/>
      <c r="M39" s="2114"/>
      <c r="N39" s="2114"/>
      <c r="O39" s="2121"/>
      <c r="P39" s="3437"/>
      <c r="Q39" s="3166" t="str">
        <f t="shared" si="11"/>
        <v>市政基础设施</v>
      </c>
      <c r="R39" s="1554" t="s">
        <v>11</v>
      </c>
      <c r="S39" s="1555">
        <f t="shared" si="12"/>
        <v>100</v>
      </c>
      <c r="T39" s="1554" t="s">
        <v>11</v>
      </c>
      <c r="U39" s="1555">
        <f t="shared" si="13"/>
        <v>100</v>
      </c>
      <c r="V39" s="1554" t="s">
        <v>11</v>
      </c>
      <c r="W39" s="1555">
        <f t="shared" si="14"/>
        <v>100</v>
      </c>
      <c r="X39" s="3168"/>
      <c r="Y39" s="3437"/>
      <c r="Z39" s="3167" t="str">
        <f t="shared" si="15"/>
        <v>市政基础设施</v>
      </c>
      <c r="AA39" s="3171">
        <f t="shared" si="3"/>
        <v>1</v>
      </c>
      <c r="AB39" s="3171">
        <f t="shared" si="4"/>
        <v>1</v>
      </c>
      <c r="AC39" s="3171">
        <f t="shared" si="5"/>
        <v>1</v>
      </c>
    </row>
    <row r="40" spans="1:29" ht="15">
      <c r="A40" s="574"/>
      <c r="B40" s="507" t="s">
        <v>782</v>
      </c>
      <c r="C40" s="579" t="s">
        <v>783</v>
      </c>
      <c r="D40" s="520">
        <v>100</v>
      </c>
      <c r="E40" s="854" t="s">
        <v>783</v>
      </c>
      <c r="F40" s="555">
        <f>SUMIF(118:118,E40,119:119)-SUMIF(118:118,C40,119:119)+100</f>
        <v>100</v>
      </c>
      <c r="G40" s="579" t="s">
        <v>783</v>
      </c>
      <c r="H40" s="520">
        <f>SUMIF(118:118,G40,119:119)-SUMIF(118:118,C40,119:119)+100</f>
        <v>100</v>
      </c>
      <c r="I40" s="854" t="s">
        <v>783</v>
      </c>
      <c r="J40" s="520">
        <f>SUMIF(118:118,I40,119:119)-SUMIF(118:118,C40,119:119)+100</f>
        <v>100</v>
      </c>
      <c r="K40" s="844">
        <v>5</v>
      </c>
      <c r="L40" s="2122"/>
      <c r="M40" s="2114"/>
      <c r="N40" s="2114"/>
      <c r="O40" s="2121"/>
      <c r="P40" s="3437"/>
      <c r="Q40" s="3166" t="str">
        <f t="shared" si="11"/>
        <v>房型</v>
      </c>
      <c r="R40" s="1554" t="s">
        <v>11</v>
      </c>
      <c r="S40" s="1555">
        <f t="shared" si="12"/>
        <v>100</v>
      </c>
      <c r="T40" s="1554" t="s">
        <v>11</v>
      </c>
      <c r="U40" s="1555">
        <f t="shared" si="13"/>
        <v>100</v>
      </c>
      <c r="V40" s="1554" t="s">
        <v>11</v>
      </c>
      <c r="W40" s="1555">
        <f t="shared" si="14"/>
        <v>100</v>
      </c>
      <c r="X40" s="3168"/>
      <c r="Y40" s="3437"/>
      <c r="Z40" s="3167" t="str">
        <f t="shared" si="15"/>
        <v>房型</v>
      </c>
      <c r="AA40" s="3171">
        <f t="shared" si="3"/>
        <v>1</v>
      </c>
      <c r="AB40" s="3171">
        <f t="shared" si="4"/>
        <v>1</v>
      </c>
      <c r="AC40" s="3171">
        <f t="shared" si="5"/>
        <v>1</v>
      </c>
    </row>
    <row r="41" spans="1:29" s="1324" customFormat="1" ht="28.5">
      <c r="A41" s="583"/>
      <c r="B41" s="507" t="s">
        <v>784</v>
      </c>
      <c r="C41" s="860"/>
      <c r="D41" s="232">
        <v>100</v>
      </c>
      <c r="E41" s="514"/>
      <c r="F41" s="843">
        <f>SUMIF(120:120,E41,121:121)-SUMIF(120:120,C41,121:121)+100</f>
        <v>100</v>
      </c>
      <c r="G41" s="513"/>
      <c r="H41" s="232">
        <f>SUMIF(120:120,G41,121:121)-SUMIF(120:120,C41,121:121)+100</f>
        <v>100</v>
      </c>
      <c r="I41" s="566"/>
      <c r="J41" s="520">
        <f>SUMIF(120:120,I41,121:121)-SUMIF(120:120,C41,121:121)+100</f>
        <v>100</v>
      </c>
      <c r="K41" s="845"/>
      <c r="L41" s="2120"/>
      <c r="M41" s="2151"/>
      <c r="N41" s="2151"/>
      <c r="O41" s="2123"/>
      <c r="P41" s="3437"/>
      <c r="Q41" s="1586" t="str">
        <f t="shared" si="11"/>
        <v>单套/主力户型建筑面积</v>
      </c>
      <c r="R41" s="1558" t="s">
        <v>11</v>
      </c>
      <c r="S41" s="1559">
        <f t="shared" si="12"/>
        <v>100</v>
      </c>
      <c r="T41" s="1558" t="s">
        <v>11</v>
      </c>
      <c r="U41" s="1559">
        <f t="shared" si="13"/>
        <v>100</v>
      </c>
      <c r="V41" s="1558" t="s">
        <v>11</v>
      </c>
      <c r="W41" s="1559">
        <f t="shared" si="14"/>
        <v>100</v>
      </c>
      <c r="X41" s="1560"/>
      <c r="Y41" s="3437"/>
      <c r="Z41" s="1561" t="str">
        <f t="shared" si="15"/>
        <v>单套/主力户型建筑面积</v>
      </c>
      <c r="AA41" s="3171">
        <f t="shared" si="3"/>
        <v>1</v>
      </c>
      <c r="AB41" s="3171">
        <f t="shared" si="4"/>
        <v>1</v>
      </c>
      <c r="AC41" s="3171">
        <f t="shared" si="5"/>
        <v>1</v>
      </c>
    </row>
    <row r="42" spans="1:29" ht="15">
      <c r="A42" s="574"/>
      <c r="B42" s="507" t="s">
        <v>785</v>
      </c>
      <c r="C42" s="579" t="s">
        <v>786</v>
      </c>
      <c r="D42" s="520">
        <v>100</v>
      </c>
      <c r="E42" s="854" t="s">
        <v>786</v>
      </c>
      <c r="F42" s="555">
        <f>SUMIF(122:122,E42,123:123)-SUMIF(122:122,C42,123:123)+100</f>
        <v>100</v>
      </c>
      <c r="G42" s="579" t="s">
        <v>786</v>
      </c>
      <c r="H42" s="520">
        <f>SUMIF(122:122,G42,123:123)-SUMIF(122:122,C42,123:123)+100</f>
        <v>100</v>
      </c>
      <c r="I42" s="854" t="s">
        <v>786</v>
      </c>
      <c r="J42" s="520">
        <f>SUMIF(122:122,I42,123:123)-SUMIF(122:122,C42,123:123)+100</f>
        <v>100</v>
      </c>
      <c r="K42" s="844">
        <v>2</v>
      </c>
      <c r="L42" s="2122"/>
      <c r="M42" s="2114"/>
      <c r="N42" s="2114"/>
      <c r="O42" s="2121"/>
      <c r="P42" s="3437"/>
      <c r="Q42" s="3166" t="str">
        <f t="shared" si="11"/>
        <v>内部装修</v>
      </c>
      <c r="R42" s="1554" t="s">
        <v>11</v>
      </c>
      <c r="S42" s="1555">
        <f t="shared" si="12"/>
        <v>100</v>
      </c>
      <c r="T42" s="1554" t="s">
        <v>11</v>
      </c>
      <c r="U42" s="1555">
        <f t="shared" si="13"/>
        <v>100</v>
      </c>
      <c r="V42" s="1554" t="s">
        <v>11</v>
      </c>
      <c r="W42" s="1555">
        <f t="shared" si="14"/>
        <v>100</v>
      </c>
      <c r="X42" s="3168"/>
      <c r="Y42" s="3437"/>
      <c r="Z42" s="3167" t="str">
        <f t="shared" si="15"/>
        <v>内部装修</v>
      </c>
      <c r="AA42" s="3171">
        <f t="shared" si="3"/>
        <v>1</v>
      </c>
      <c r="AB42" s="3171">
        <f t="shared" si="4"/>
        <v>1</v>
      </c>
      <c r="AC42" s="3171">
        <f t="shared" si="5"/>
        <v>1</v>
      </c>
    </row>
    <row r="43" spans="1:29" ht="27">
      <c r="A43" s="574"/>
      <c r="B43" s="507" t="s">
        <v>787</v>
      </c>
      <c r="C43" s="579" t="s">
        <v>1074</v>
      </c>
      <c r="D43" s="520">
        <v>100</v>
      </c>
      <c r="E43" s="854" t="s">
        <v>1074</v>
      </c>
      <c r="F43" s="555">
        <f>SUMIF(124:124,E43,125:125)-SUMIF(124:124,C43,125:125)+100</f>
        <v>100</v>
      </c>
      <c r="G43" s="579" t="s">
        <v>1074</v>
      </c>
      <c r="H43" s="520">
        <f>SUMIF(124:124,G43,125:125)-SUMIF(124:124,C43,125:125)+100</f>
        <v>100</v>
      </c>
      <c r="I43" s="854" t="s">
        <v>1074</v>
      </c>
      <c r="J43" s="520">
        <f>SUMIF(124:124,I43,125:125)-SUMIF(124:124,C43,125:125)+100</f>
        <v>100</v>
      </c>
      <c r="K43" s="844">
        <v>0</v>
      </c>
      <c r="L43" s="2122"/>
      <c r="M43" s="2114"/>
      <c r="N43" s="2114"/>
      <c r="O43" s="2121"/>
      <c r="P43" s="3437"/>
      <c r="Q43" s="3166" t="str">
        <f t="shared" si="11"/>
        <v>内部装修维护情况</v>
      </c>
      <c r="R43" s="1554" t="s">
        <v>11</v>
      </c>
      <c r="S43" s="1555">
        <f t="shared" si="12"/>
        <v>100</v>
      </c>
      <c r="T43" s="1554" t="s">
        <v>11</v>
      </c>
      <c r="U43" s="1555">
        <f t="shared" si="13"/>
        <v>100</v>
      </c>
      <c r="V43" s="1554" t="s">
        <v>11</v>
      </c>
      <c r="W43" s="1555">
        <f t="shared" si="14"/>
        <v>100</v>
      </c>
      <c r="X43" s="3168"/>
      <c r="Y43" s="3437"/>
      <c r="Z43" s="3167" t="str">
        <f t="shared" si="15"/>
        <v>内部装修维护情况</v>
      </c>
      <c r="AA43" s="3171">
        <f t="shared" si="3"/>
        <v>1</v>
      </c>
      <c r="AB43" s="3171">
        <f t="shared" si="4"/>
        <v>1</v>
      </c>
      <c r="AC43" s="3171">
        <f t="shared" si="5"/>
        <v>1</v>
      </c>
    </row>
    <row r="44" spans="1:29" s="1199" customFormat="1" ht="15">
      <c r="A44" s="580"/>
      <c r="B44" s="857">
        <v>111</v>
      </c>
      <c r="C44" s="860" t="s">
        <v>788</v>
      </c>
      <c r="D44" s="232">
        <v>100</v>
      </c>
      <c r="E44" s="860" t="s">
        <v>789</v>
      </c>
      <c r="F44" s="843">
        <f>SUMIF(126:126,E44,127:127)-SUMIF(126:126,C44,127:127)+100</f>
        <v>95</v>
      </c>
      <c r="G44" s="860" t="s">
        <v>789</v>
      </c>
      <c r="H44" s="232">
        <f>SUMIF(126:126,G44,127:127)-SUMIF(126:126,C44,127:127)+100</f>
        <v>95</v>
      </c>
      <c r="I44" s="860" t="s">
        <v>789</v>
      </c>
      <c r="J44" s="232">
        <f>SUMIF(126:126,I44,127:127)-SUMIF(126:126,C44,127:127)+100</f>
        <v>95</v>
      </c>
      <c r="K44" s="845"/>
      <c r="L44" s="2115"/>
      <c r="M44" s="2116"/>
      <c r="N44" s="2116"/>
      <c r="O44" s="2117"/>
      <c r="P44" s="3437"/>
      <c r="Q44" s="3165">
        <f t="shared" si="11"/>
        <v>111</v>
      </c>
      <c r="R44" s="1549" t="s">
        <v>11</v>
      </c>
      <c r="S44" s="1550">
        <f t="shared" si="12"/>
        <v>95</v>
      </c>
      <c r="T44" s="1549" t="s">
        <v>11</v>
      </c>
      <c r="U44" s="1550">
        <f t="shared" si="13"/>
        <v>95</v>
      </c>
      <c r="V44" s="1549" t="s">
        <v>11</v>
      </c>
      <c r="W44" s="1550">
        <f t="shared" si="14"/>
        <v>95</v>
      </c>
      <c r="X44" s="1551"/>
      <c r="Y44" s="3437"/>
      <c r="Z44" s="3164">
        <f t="shared" si="15"/>
        <v>111</v>
      </c>
      <c r="AA44" s="1552">
        <f t="shared" si="3"/>
        <v>1.0526315789473684</v>
      </c>
      <c r="AB44" s="1552">
        <f t="shared" si="4"/>
        <v>1.0526315789473684</v>
      </c>
      <c r="AC44" s="1552">
        <f t="shared" si="5"/>
        <v>1.0526315789473684</v>
      </c>
    </row>
    <row r="45" spans="1:29" ht="15">
      <c r="A45" s="574"/>
      <c r="B45" s="857">
        <v>111</v>
      </c>
      <c r="C45" s="519">
        <v>111</v>
      </c>
      <c r="D45" s="520">
        <v>100</v>
      </c>
      <c r="E45" s="519">
        <v>111</v>
      </c>
      <c r="F45" s="555">
        <f>SUMIF(128:128,E45,129:129)-SUMIF(128:128,C45,129:129)+100</f>
        <v>100</v>
      </c>
      <c r="G45" s="519">
        <v>111</v>
      </c>
      <c r="H45" s="520">
        <f>SUMIF(128:128,G45,129:129)-SUMIF(128:128,C45,129:129)+100</f>
        <v>100</v>
      </c>
      <c r="I45" s="519">
        <v>111</v>
      </c>
      <c r="J45" s="520">
        <f>SUMIF(128:128,I45,129:129)-SUMIF(128:128,C45,129:129)+100</f>
        <v>100</v>
      </c>
      <c r="K45" s="845"/>
      <c r="L45" s="2122"/>
      <c r="M45" s="2114"/>
      <c r="N45" s="2114"/>
      <c r="O45" s="2121"/>
      <c r="P45" s="3437"/>
      <c r="Q45" s="3166">
        <f t="shared" si="11"/>
        <v>111</v>
      </c>
      <c r="R45" s="1554" t="s">
        <v>11</v>
      </c>
      <c r="S45" s="1555">
        <f t="shared" si="12"/>
        <v>100</v>
      </c>
      <c r="T45" s="1554" t="s">
        <v>11</v>
      </c>
      <c r="U45" s="1555">
        <f t="shared" si="13"/>
        <v>100</v>
      </c>
      <c r="V45" s="1554" t="s">
        <v>11</v>
      </c>
      <c r="W45" s="1555">
        <f t="shared" si="14"/>
        <v>100</v>
      </c>
      <c r="X45" s="3168"/>
      <c r="Y45" s="3437"/>
      <c r="Z45" s="3167">
        <f t="shared" si="15"/>
        <v>111</v>
      </c>
      <c r="AA45" s="3171">
        <f t="shared" si="3"/>
        <v>1</v>
      </c>
      <c r="AB45" s="3171">
        <f t="shared" si="4"/>
        <v>1</v>
      </c>
      <c r="AC45" s="3171">
        <f t="shared" si="5"/>
        <v>1</v>
      </c>
    </row>
    <row r="46" spans="1:29" ht="15.75" thickBot="1">
      <c r="A46" s="866"/>
      <c r="B46" s="524">
        <v>111</v>
      </c>
      <c r="C46" s="525">
        <v>111</v>
      </c>
      <c r="D46" s="526">
        <v>100</v>
      </c>
      <c r="E46" s="525">
        <v>111</v>
      </c>
      <c r="F46" s="846">
        <f>SUMIF(130:130,E46,131:131)-SUMIF(130:130,C46,131:131)+100</f>
        <v>100</v>
      </c>
      <c r="G46" s="525">
        <v>111</v>
      </c>
      <c r="H46" s="526">
        <f>SUMIF(130:130,G46,131:131)-SUMIF(130:130,C46,131:131)+100</f>
        <v>100</v>
      </c>
      <c r="I46" s="525">
        <v>111</v>
      </c>
      <c r="J46" s="526">
        <f>SUMIF(130:130,I46,131:131)-SUMIF(130:130,C46,131:131)+100</f>
        <v>100</v>
      </c>
      <c r="K46" s="845"/>
      <c r="L46" s="2122"/>
      <c r="M46" s="2114"/>
      <c r="N46" s="2114"/>
      <c r="O46" s="2121"/>
      <c r="P46" s="3513"/>
      <c r="Q46" s="3166">
        <f t="shared" si="11"/>
        <v>111</v>
      </c>
      <c r="R46" s="1554" t="s">
        <v>10</v>
      </c>
      <c r="S46" s="1555">
        <f t="shared" si="12"/>
        <v>100</v>
      </c>
      <c r="T46" s="1554" t="s">
        <v>10</v>
      </c>
      <c r="U46" s="1555">
        <f t="shared" si="13"/>
        <v>100</v>
      </c>
      <c r="V46" s="1554" t="s">
        <v>10</v>
      </c>
      <c r="W46" s="1555">
        <f t="shared" si="14"/>
        <v>100</v>
      </c>
      <c r="X46" s="3168"/>
      <c r="Y46" s="3513"/>
      <c r="Z46" s="3167">
        <f t="shared" si="15"/>
        <v>111</v>
      </c>
      <c r="AA46" s="3171">
        <f t="shared" si="3"/>
        <v>1</v>
      </c>
      <c r="AB46" s="3171">
        <f t="shared" si="4"/>
        <v>1</v>
      </c>
      <c r="AC46" s="3171">
        <f t="shared" si="5"/>
        <v>1</v>
      </c>
    </row>
    <row r="47" spans="1:29" ht="15">
      <c r="A47" s="587" t="s">
        <v>790</v>
      </c>
      <c r="B47" s="867"/>
      <c r="C47" s="2640" t="s">
        <v>9</v>
      </c>
      <c r="D47" s="2641"/>
      <c r="E47" s="2642">
        <v>59493</v>
      </c>
      <c r="F47" s="2643"/>
      <c r="G47" s="2644">
        <v>68802</v>
      </c>
      <c r="H47" s="2645"/>
      <c r="I47" s="2642">
        <v>49458</v>
      </c>
      <c r="J47" s="2645"/>
      <c r="K47" s="1587"/>
      <c r="L47" s="2124"/>
      <c r="M47" s="2125"/>
      <c r="N47" s="2114"/>
      <c r="O47" s="2125"/>
      <c r="P47" s="3396" t="str">
        <f>A47</f>
        <v>成交单价（元/平方米）</v>
      </c>
      <c r="Q47" s="3396"/>
      <c r="R47" s="3512">
        <f>E47</f>
        <v>59493</v>
      </c>
      <c r="S47" s="3512"/>
      <c r="T47" s="3512">
        <f>G47</f>
        <v>68802</v>
      </c>
      <c r="U47" s="3512"/>
      <c r="V47" s="3512">
        <f>I47</f>
        <v>49458</v>
      </c>
      <c r="W47" s="3512"/>
      <c r="X47" s="1540"/>
      <c r="Y47" s="1562"/>
      <c r="Z47" s="1540"/>
      <c r="AA47" s="1540"/>
      <c r="AB47" s="1540"/>
      <c r="AC47" s="1540"/>
    </row>
    <row r="48" spans="1:29" ht="15.75" thickBot="1">
      <c r="A48" s="595" t="s">
        <v>2972</v>
      </c>
      <c r="B48" s="868"/>
      <c r="C48" s="2646" t="e">
        <f>R49</f>
        <v>#DIV/0!</v>
      </c>
      <c r="D48" s="2647"/>
      <c r="E48" s="2648" t="e">
        <f>R48</f>
        <v>#DIV/0!</v>
      </c>
      <c r="F48" s="2648"/>
      <c r="G48" s="2646" t="e">
        <f>T48</f>
        <v>#DIV/0!</v>
      </c>
      <c r="H48" s="2647"/>
      <c r="I48" s="2648" t="e">
        <f>V48</f>
        <v>#DIV/0!</v>
      </c>
      <c r="J48" s="2647"/>
      <c r="K48" s="1588"/>
      <c r="L48" s="2124"/>
      <c r="M48" s="2125"/>
      <c r="N48" s="2125"/>
      <c r="O48" s="2125"/>
      <c r="P48" s="3396" t="str">
        <f>A48</f>
        <v>比较价格（元/平方米）</v>
      </c>
      <c r="Q48" s="3396"/>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40"/>
      <c r="Y48" s="1540"/>
      <c r="Z48" s="1540"/>
      <c r="AA48" s="1540"/>
      <c r="AB48" s="1540"/>
      <c r="AC48" s="1540"/>
    </row>
    <row r="49" spans="1:29" ht="15.75" thickBot="1">
      <c r="A49" s="601" t="s">
        <v>2973</v>
      </c>
      <c r="B49" s="602"/>
      <c r="C49" s="2649" t="e">
        <f>R49</f>
        <v>#DIV/0!</v>
      </c>
      <c r="D49" s="2649"/>
      <c r="E49" s="2649"/>
      <c r="F49" s="2649"/>
      <c r="G49" s="2649"/>
      <c r="H49" s="2649"/>
      <c r="I49" s="2649"/>
      <c r="J49" s="2649"/>
      <c r="K49" s="1589"/>
      <c r="L49" s="2124"/>
      <c r="M49" s="2125"/>
      <c r="N49" s="2125"/>
      <c r="O49" s="2125"/>
      <c r="P49" s="3393" t="str">
        <f>A49</f>
        <v>估价对象XX用房的比较价格（楼面单价，元/平方米）</v>
      </c>
      <c r="Q49" s="3394"/>
      <c r="R49" s="3511" t="e">
        <f>IF(F1="售价",ROUND(AVERAGE(R48:V48),0),ROUND(AVERAGE(R48:V48),1))</f>
        <v>#DIV/0!</v>
      </c>
      <c r="S49" s="3511"/>
      <c r="T49" s="3511"/>
      <c r="U49" s="3511"/>
      <c r="V49" s="3511"/>
      <c r="W49" s="3511"/>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04" t="s">
        <v>553</v>
      </c>
      <c r="D52" s="605"/>
      <c r="E52" s="606" t="e">
        <f>IF(E47&lt;E48,E48/E47-1,E47/E48-1)</f>
        <v>#DIV/0!</v>
      </c>
      <c r="F52" s="607" t="e">
        <f>IF(OR(E52&gt;=0.3,E52&lt;=-0.3),"超过30%","")</f>
        <v>#DIV/0!</v>
      </c>
      <c r="G52" s="606" t="e">
        <f>IF(G47&lt;G48,G48/G47-1,G47/G48-1)</f>
        <v>#DIV/0!</v>
      </c>
      <c r="H52" s="607" t="e">
        <f>IF(OR(G52&gt;=0.3,G52&lt;=-0.3),"超过30%","")</f>
        <v>#DIV/0!</v>
      </c>
      <c r="I52" s="606" t="e">
        <f>IF(I47&lt;I48,I48/I47-1,I47/I48-1)</f>
        <v>#DIV/0!</v>
      </c>
      <c r="J52" s="607"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04" t="s">
        <v>554</v>
      </c>
      <c r="D53" s="608"/>
      <c r="E53" s="606" t="e">
        <f>IF(E48&lt;G48,G48/E48-1,E48/G48-1)</f>
        <v>#DIV/0!</v>
      </c>
      <c r="F53" s="607" t="e">
        <f>IF(OR(E53&gt;=0.2,E53&lt;=-0.2),"超过20%","")</f>
        <v>#DIV/0!</v>
      </c>
      <c r="G53" s="606" t="e">
        <f>IF(G48&lt;I48,I48/G48-1,G48/I48-1)</f>
        <v>#DIV/0!</v>
      </c>
      <c r="H53" s="607" t="e">
        <f>IF(OR(G53&gt;=0.2,G53&lt;=-0.2),"超过20%","")</f>
        <v>#DIV/0!</v>
      </c>
      <c r="I53" s="606" t="e">
        <f>IF(I48&lt;E48,E48/I48-1,I48/E48-1)</f>
        <v>#DIV/0!</v>
      </c>
      <c r="J53" s="607"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0" customFormat="1" ht="13.5" customHeight="1">
      <c r="A54" s="2126"/>
      <c r="B54" s="2126"/>
      <c r="C54" s="604" t="s">
        <v>555</v>
      </c>
      <c r="D54" s="608"/>
      <c r="E54" s="606">
        <f>IF(E47&lt;G47,G47/E47-1,E47/G47-1)</f>
        <v>0.1564721900055468</v>
      </c>
      <c r="F54" s="607" t="str">
        <f>IF(OR(E54&gt;=0.3,E54&lt;=-0.3),"超过30%","")</f>
        <v/>
      </c>
      <c r="G54" s="606">
        <f>IF(G47&lt;I47,I47/G47-1,G47/I47-1)</f>
        <v>0.39111973795948085</v>
      </c>
      <c r="H54" s="607" t="str">
        <f>IF(OR(G54&gt;=0.3,G54&lt;=-0.3),"超过30%","")</f>
        <v>超过30%</v>
      </c>
      <c r="I54" s="606">
        <f>IF(I47&lt;E47,E47/I47-1,I47/E47-1)</f>
        <v>0.20289942981924058</v>
      </c>
      <c r="J54" s="607"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0"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5" t="s">
        <v>570</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2" customFormat="1" ht="15">
      <c r="A58" s="625" t="s">
        <v>518</v>
      </c>
      <c r="B58" s="626"/>
      <c r="C58" s="2822" t="str">
        <f>YEAR(C7)&amp;"-"&amp;MONTH(C7)</f>
        <v>2017-6</v>
      </c>
      <c r="D58" s="2822">
        <f>EDATE(C58,-1)</f>
        <v>42856</v>
      </c>
      <c r="E58" s="2822">
        <f t="shared" ref="E58:O58" si="16">EDATE(D58,-1)</f>
        <v>42826</v>
      </c>
      <c r="F58" s="2822">
        <f t="shared" si="16"/>
        <v>42795</v>
      </c>
      <c r="G58" s="2822">
        <f t="shared" si="16"/>
        <v>42767</v>
      </c>
      <c r="H58" s="2822">
        <f t="shared" si="16"/>
        <v>42736</v>
      </c>
      <c r="I58" s="2822">
        <f t="shared" si="16"/>
        <v>42705</v>
      </c>
      <c r="J58" s="2822">
        <f t="shared" si="16"/>
        <v>42675</v>
      </c>
      <c r="K58" s="2822">
        <f t="shared" si="16"/>
        <v>42644</v>
      </c>
      <c r="L58" s="2822">
        <f t="shared" si="16"/>
        <v>42614</v>
      </c>
      <c r="M58" s="2822">
        <f t="shared" si="16"/>
        <v>42583</v>
      </c>
      <c r="N58" s="2822">
        <f t="shared" si="16"/>
        <v>42552</v>
      </c>
      <c r="O58" s="2822">
        <f t="shared" si="16"/>
        <v>42522</v>
      </c>
      <c r="P58" s="2140"/>
      <c r="Q58" s="2141"/>
      <c r="R58" s="2141"/>
      <c r="S58" s="2141"/>
      <c r="T58" s="2141"/>
      <c r="U58" s="2141"/>
      <c r="V58" s="2141"/>
      <c r="W58" s="2141"/>
      <c r="X58" s="2141"/>
      <c r="Y58" s="2141"/>
      <c r="Z58" s="2141"/>
      <c r="AA58" s="2141"/>
      <c r="AB58" s="2141"/>
      <c r="AC58" s="2141"/>
    </row>
    <row r="59" spans="1:29" s="1199" customFormat="1" ht="15">
      <c r="A59" s="627"/>
      <c r="B59" s="628"/>
      <c r="C59" s="629">
        <v>100</v>
      </c>
      <c r="D59" s="630">
        <v>99</v>
      </c>
      <c r="E59" s="630">
        <v>98</v>
      </c>
      <c r="F59" s="630">
        <v>97</v>
      </c>
      <c r="G59" s="630">
        <v>96</v>
      </c>
      <c r="H59" s="630">
        <v>95</v>
      </c>
      <c r="I59" s="630">
        <v>94</v>
      </c>
      <c r="J59" s="630">
        <v>93</v>
      </c>
      <c r="K59" s="630">
        <v>92</v>
      </c>
      <c r="L59" s="630">
        <v>91</v>
      </c>
      <c r="M59" s="630">
        <v>90</v>
      </c>
      <c r="N59" s="630">
        <v>89</v>
      </c>
      <c r="O59" s="630">
        <v>88</v>
      </c>
      <c r="P59" s="2138"/>
      <c r="Q59" s="1969"/>
      <c r="R59" s="1969"/>
      <c r="S59" s="1969"/>
      <c r="T59" s="1969"/>
      <c r="U59" s="1969"/>
      <c r="V59" s="1969"/>
      <c r="W59" s="1969"/>
      <c r="X59" s="1969"/>
      <c r="Y59" s="1969"/>
      <c r="Z59" s="1969"/>
      <c r="AA59" s="1969"/>
      <c r="AB59" s="1969"/>
      <c r="AC59" s="1969"/>
    </row>
    <row r="60" spans="1:29" s="1199" customFormat="1" ht="15.75" thickBot="1">
      <c r="A60" s="633" t="s">
        <v>571</v>
      </c>
      <c r="B60" s="634"/>
      <c r="C60" s="635"/>
      <c r="D60" s="636"/>
      <c r="E60" s="636"/>
      <c r="F60" s="636"/>
      <c r="G60" s="636"/>
      <c r="H60" s="636"/>
      <c r="I60" s="636"/>
      <c r="J60" s="636"/>
      <c r="K60" s="636"/>
      <c r="L60" s="636"/>
      <c r="M60" s="637"/>
      <c r="N60" s="636"/>
      <c r="O60" s="638"/>
      <c r="P60" s="2138"/>
      <c r="Q60" s="2138"/>
      <c r="R60" s="1969"/>
      <c r="S60" s="1969"/>
      <c r="T60" s="1969"/>
      <c r="U60" s="1969"/>
      <c r="V60" s="1969"/>
      <c r="W60" s="1969"/>
      <c r="X60" s="1969"/>
      <c r="Y60" s="1969"/>
      <c r="Z60" s="1969"/>
      <c r="AA60" s="1969"/>
      <c r="AB60" s="1969"/>
      <c r="AC60" s="1969"/>
    </row>
    <row r="61" spans="1:29" s="1199" customFormat="1" ht="15">
      <c r="A61" s="639" t="s">
        <v>520</v>
      </c>
      <c r="B61" s="628"/>
      <c r="C61" s="640" t="s">
        <v>572</v>
      </c>
      <c r="D61" s="641" t="s">
        <v>573</v>
      </c>
      <c r="E61" s="641"/>
      <c r="F61" s="641"/>
      <c r="G61" s="641"/>
      <c r="H61" s="641"/>
      <c r="I61" s="641"/>
      <c r="J61" s="641"/>
      <c r="K61" s="641"/>
      <c r="L61" s="642"/>
      <c r="M61" s="643"/>
      <c r="N61" s="2142"/>
      <c r="O61" s="2142"/>
      <c r="P61" s="2143"/>
      <c r="Q61" s="2138"/>
      <c r="R61" s="1969"/>
      <c r="S61" s="1969"/>
      <c r="T61" s="1969"/>
      <c r="U61" s="1969"/>
      <c r="V61" s="1969"/>
      <c r="W61" s="1969"/>
      <c r="X61" s="1969"/>
      <c r="Y61" s="1969"/>
      <c r="Z61" s="1969"/>
      <c r="AA61" s="1969"/>
      <c r="AB61" s="1969"/>
      <c r="AC61" s="1969"/>
    </row>
    <row r="62" spans="1:29" s="1199" customFormat="1" ht="15.75" thickBot="1">
      <c r="A62" s="639"/>
      <c r="B62" s="628"/>
      <c r="C62" s="869">
        <v>100</v>
      </c>
      <c r="D62" s="630"/>
      <c r="E62" s="630"/>
      <c r="F62" s="630"/>
      <c r="G62" s="630"/>
      <c r="H62" s="630"/>
      <c r="I62" s="630"/>
      <c r="J62" s="630"/>
      <c r="K62" s="630"/>
      <c r="L62" s="630"/>
      <c r="M62" s="632"/>
      <c r="N62" s="2142"/>
      <c r="O62" s="2142"/>
      <c r="P62" s="2138"/>
      <c r="Q62" s="2138"/>
      <c r="R62" s="1969"/>
      <c r="S62" s="1969"/>
      <c r="T62" s="1969"/>
      <c r="U62" s="1969"/>
      <c r="V62" s="1969"/>
      <c r="W62" s="1969"/>
      <c r="X62" s="1969"/>
      <c r="Y62" s="1969"/>
      <c r="Z62" s="1969"/>
      <c r="AA62" s="1969"/>
      <c r="AB62" s="1969"/>
      <c r="AC62" s="1969"/>
    </row>
    <row r="63" spans="1:29">
      <c r="A63" s="644" t="s">
        <v>574</v>
      </c>
      <c r="B63" s="645" t="s">
        <v>523</v>
      </c>
      <c r="C63" s="684" t="str">
        <f>C9</f>
        <v>住宅</v>
      </c>
      <c r="D63" s="578" t="s">
        <v>791</v>
      </c>
      <c r="E63" s="578"/>
      <c r="F63" s="578"/>
      <c r="G63" s="578"/>
      <c r="H63" s="578"/>
      <c r="I63" s="578"/>
      <c r="J63" s="578"/>
      <c r="K63" s="646"/>
      <c r="L63" s="647"/>
      <c r="M63" s="648"/>
      <c r="N63" s="2144"/>
      <c r="O63" s="2144"/>
      <c r="P63" s="2145"/>
      <c r="Q63" s="2138"/>
      <c r="R63" s="2125"/>
      <c r="S63" s="2125"/>
      <c r="T63" s="2125"/>
      <c r="U63" s="2125"/>
      <c r="V63" s="2125"/>
      <c r="W63" s="2125"/>
      <c r="X63" s="2125"/>
      <c r="Y63" s="2125"/>
      <c r="Z63" s="2125"/>
      <c r="AA63" s="2125"/>
      <c r="AB63" s="2125"/>
      <c r="AC63" s="2125"/>
    </row>
    <row r="64" spans="1:29" ht="15.75" thickBot="1">
      <c r="A64" s="649"/>
      <c r="B64" s="650"/>
      <c r="C64" s="651">
        <v>100</v>
      </c>
      <c r="D64" s="651">
        <v>95</v>
      </c>
      <c r="E64" s="1590"/>
      <c r="F64" s="1590"/>
      <c r="G64" s="1590"/>
      <c r="H64" s="1590"/>
      <c r="I64" s="1590"/>
      <c r="J64" s="1590"/>
      <c r="K64" s="1590"/>
      <c r="L64" s="1590"/>
      <c r="M64" s="1591"/>
      <c r="N64" s="2146"/>
      <c r="O64" s="2146"/>
      <c r="P64" s="2145"/>
      <c r="Q64" s="2138"/>
      <c r="R64" s="2125"/>
      <c r="S64" s="2125"/>
      <c r="T64" s="2125"/>
      <c r="U64" s="2125"/>
      <c r="V64" s="2125"/>
      <c r="W64" s="2125"/>
      <c r="X64" s="2125"/>
      <c r="Y64" s="2125"/>
      <c r="Z64" s="2125"/>
      <c r="AA64" s="2125"/>
      <c r="AB64" s="2125"/>
      <c r="AC64" s="2125"/>
    </row>
    <row r="65" spans="1:29" ht="27.75" thickTop="1">
      <c r="A65" s="649"/>
      <c r="B65" s="653" t="s">
        <v>526</v>
      </c>
      <c r="C65" s="654" t="s">
        <v>792</v>
      </c>
      <c r="D65" s="654" t="s">
        <v>793</v>
      </c>
      <c r="E65" s="654" t="s">
        <v>794</v>
      </c>
      <c r="F65" s="654" t="s">
        <v>795</v>
      </c>
      <c r="G65" s="654" t="s">
        <v>796</v>
      </c>
      <c r="H65" s="654" t="s">
        <v>797</v>
      </c>
      <c r="I65" s="654" t="s">
        <v>798</v>
      </c>
      <c r="J65" s="654"/>
      <c r="K65" s="655"/>
      <c r="L65" s="656"/>
      <c r="M65" s="657"/>
      <c r="N65" s="2144"/>
      <c r="O65" s="2144"/>
      <c r="P65" s="2145"/>
      <c r="Q65" s="2138"/>
      <c r="R65" s="2125"/>
      <c r="S65" s="2125"/>
      <c r="T65" s="2125"/>
      <c r="U65" s="2125"/>
      <c r="V65" s="2125"/>
      <c r="W65" s="2125"/>
      <c r="X65" s="2125"/>
      <c r="Y65" s="2125"/>
      <c r="Z65" s="2125"/>
      <c r="AA65" s="2125"/>
      <c r="AB65" s="2125"/>
      <c r="AC65" s="2125"/>
    </row>
    <row r="66" spans="1:29" ht="15.75" thickBot="1">
      <c r="A66" s="649"/>
      <c r="B66" s="658"/>
      <c r="C66" s="659">
        <v>100</v>
      </c>
      <c r="D66" s="659">
        <f t="shared" ref="D66:I66" si="17">C66-$K10</f>
        <v>99</v>
      </c>
      <c r="E66" s="659">
        <f t="shared" si="17"/>
        <v>98</v>
      </c>
      <c r="F66" s="659">
        <f t="shared" si="17"/>
        <v>97</v>
      </c>
      <c r="G66" s="659">
        <f t="shared" si="17"/>
        <v>96</v>
      </c>
      <c r="H66" s="659">
        <f t="shared" si="17"/>
        <v>95</v>
      </c>
      <c r="I66" s="659">
        <f t="shared" si="17"/>
        <v>94</v>
      </c>
      <c r="J66" s="659"/>
      <c r="K66" s="659"/>
      <c r="L66" s="659"/>
      <c r="M66" s="660"/>
      <c r="N66" s="2146"/>
      <c r="O66" s="2146"/>
      <c r="P66" s="2145"/>
      <c r="Q66" s="2138"/>
      <c r="R66" s="2125"/>
      <c r="S66" s="2125"/>
      <c r="T66" s="2125"/>
      <c r="U66" s="2125"/>
      <c r="V66" s="2125"/>
      <c r="W66" s="2125"/>
      <c r="X66" s="2125"/>
      <c r="Y66" s="2125"/>
      <c r="Z66" s="2125"/>
      <c r="AA66" s="2125"/>
      <c r="AB66" s="2125"/>
      <c r="AC66" s="2125"/>
    </row>
    <row r="67" spans="1:29" ht="15.75" thickTop="1">
      <c r="A67" s="649"/>
      <c r="B67" s="661" t="s">
        <v>527</v>
      </c>
      <c r="C67" s="662" t="str">
        <f>C68&amp;"（含）"&amp;"-"&amp;D68</f>
        <v>0（含）-1</v>
      </c>
      <c r="D67" s="662" t="str">
        <f t="shared" ref="D67:L67" si="18">D68&amp;"（含）"&amp;"-"&amp;E68</f>
        <v>1（含）-2</v>
      </c>
      <c r="E67" s="662" t="str">
        <f t="shared" si="18"/>
        <v>2（含）-3</v>
      </c>
      <c r="F67" s="662" t="str">
        <f t="shared" si="18"/>
        <v>3（含）-4</v>
      </c>
      <c r="G67" s="662" t="str">
        <f t="shared" si="18"/>
        <v>4（含）-</v>
      </c>
      <c r="H67" s="662" t="str">
        <f t="shared" si="18"/>
        <v>（含）-</v>
      </c>
      <c r="I67" s="662" t="str">
        <f t="shared" si="18"/>
        <v>（含）-</v>
      </c>
      <c r="J67" s="662" t="str">
        <f t="shared" si="18"/>
        <v>（含）-</v>
      </c>
      <c r="K67" s="662" t="str">
        <f t="shared" si="18"/>
        <v>（含）-</v>
      </c>
      <c r="L67" s="662" t="str">
        <f t="shared" si="18"/>
        <v>（含）-</v>
      </c>
      <c r="M67" s="535"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49"/>
      <c r="B68" s="663"/>
      <c r="C68" s="521">
        <v>0</v>
      </c>
      <c r="D68" s="521">
        <v>1</v>
      </c>
      <c r="E68" s="521">
        <v>2</v>
      </c>
      <c r="F68" s="521">
        <v>3</v>
      </c>
      <c r="G68" s="521">
        <v>4</v>
      </c>
      <c r="H68" s="521"/>
      <c r="I68" s="521"/>
      <c r="J68" s="521"/>
      <c r="K68" s="664"/>
      <c r="L68" s="665"/>
      <c r="M68" s="666"/>
      <c r="N68" s="2144"/>
      <c r="O68" s="2144"/>
      <c r="P68" s="2145"/>
      <c r="Q68" s="2138"/>
      <c r="R68" s="2125"/>
      <c r="S68" s="2125"/>
      <c r="T68" s="2125"/>
      <c r="U68" s="2125"/>
      <c r="V68" s="2125"/>
      <c r="W68" s="2125"/>
      <c r="X68" s="2125"/>
      <c r="Y68" s="2125"/>
      <c r="Z68" s="2125"/>
      <c r="AA68" s="2125"/>
      <c r="AB68" s="2125"/>
      <c r="AC68" s="2125"/>
    </row>
    <row r="69" spans="1:29" ht="15.75" thickBot="1">
      <c r="A69" s="649"/>
      <c r="B69" s="650"/>
      <c r="C69" s="659">
        <v>100</v>
      </c>
      <c r="D69" s="659">
        <f t="shared" ref="D69:M69" si="19">C69-$K11</f>
        <v>98</v>
      </c>
      <c r="E69" s="659">
        <f t="shared" si="19"/>
        <v>96</v>
      </c>
      <c r="F69" s="659">
        <f t="shared" si="19"/>
        <v>94</v>
      </c>
      <c r="G69" s="659">
        <f t="shared" si="19"/>
        <v>92</v>
      </c>
      <c r="H69" s="659">
        <f t="shared" si="19"/>
        <v>90</v>
      </c>
      <c r="I69" s="659">
        <f t="shared" si="19"/>
        <v>88</v>
      </c>
      <c r="J69" s="659">
        <f t="shared" si="19"/>
        <v>86</v>
      </c>
      <c r="K69" s="659">
        <f t="shared" si="19"/>
        <v>84</v>
      </c>
      <c r="L69" s="659">
        <f t="shared" si="19"/>
        <v>82</v>
      </c>
      <c r="M69" s="660">
        <f t="shared" si="19"/>
        <v>80</v>
      </c>
      <c r="N69" s="2146"/>
      <c r="O69" s="2146"/>
      <c r="P69" s="2145"/>
      <c r="Q69" s="2138"/>
      <c r="R69" s="2125"/>
      <c r="S69" s="2125"/>
      <c r="T69" s="2125"/>
      <c r="U69" s="2125"/>
      <c r="V69" s="2125"/>
      <c r="W69" s="2125"/>
      <c r="X69" s="2125"/>
      <c r="Y69" s="2125"/>
      <c r="Z69" s="2125"/>
      <c r="AA69" s="2125"/>
      <c r="AB69" s="2125"/>
      <c r="AC69" s="2125"/>
    </row>
    <row r="70" spans="1:29" s="1324" customFormat="1" ht="15.75" thickTop="1">
      <c r="A70" s="667"/>
      <c r="B70" s="653">
        <f>B12</f>
        <v>111</v>
      </c>
      <c r="C70" s="668">
        <v>111</v>
      </c>
      <c r="D70" s="668">
        <v>222</v>
      </c>
      <c r="E70" s="668">
        <v>333</v>
      </c>
      <c r="F70" s="668">
        <v>444</v>
      </c>
      <c r="G70" s="668"/>
      <c r="H70" s="669"/>
      <c r="I70" s="669"/>
      <c r="J70" s="669"/>
      <c r="K70" s="669"/>
      <c r="L70" s="670"/>
      <c r="M70" s="671"/>
      <c r="N70" s="2147"/>
      <c r="O70" s="2147"/>
      <c r="P70" s="2148"/>
      <c r="Q70" s="2149"/>
      <c r="R70" s="2150"/>
      <c r="S70" s="2150"/>
      <c r="T70" s="2150"/>
      <c r="U70" s="2150"/>
      <c r="V70" s="2150"/>
      <c r="W70" s="2150"/>
      <c r="X70" s="2150"/>
      <c r="Y70" s="2150"/>
      <c r="Z70" s="2150"/>
      <c r="AA70" s="2150"/>
      <c r="AB70" s="2150"/>
      <c r="AC70" s="2150"/>
    </row>
    <row r="71" spans="1:29" s="1324" customFormat="1" ht="15.75" thickBot="1">
      <c r="A71" s="667"/>
      <c r="B71" s="658"/>
      <c r="C71" s="672">
        <v>100</v>
      </c>
      <c r="D71" s="651">
        <v>99</v>
      </c>
      <c r="E71" s="651">
        <v>98</v>
      </c>
      <c r="F71" s="651">
        <v>97</v>
      </c>
      <c r="G71" s="651"/>
      <c r="H71" s="651"/>
      <c r="I71" s="651"/>
      <c r="J71" s="651"/>
      <c r="K71" s="651"/>
      <c r="L71" s="651"/>
      <c r="M71" s="652"/>
      <c r="N71" s="2146"/>
      <c r="O71" s="2146"/>
      <c r="P71" s="2148"/>
      <c r="Q71" s="2149"/>
      <c r="R71" s="2150"/>
      <c r="S71" s="2150"/>
      <c r="T71" s="2150"/>
      <c r="U71" s="2150"/>
      <c r="V71" s="2150"/>
      <c r="W71" s="2150"/>
      <c r="X71" s="2150"/>
      <c r="Y71" s="2150"/>
      <c r="Z71" s="2150"/>
      <c r="AA71" s="2150"/>
      <c r="AB71" s="2150"/>
      <c r="AC71" s="2150"/>
    </row>
    <row r="72" spans="1:29" s="1324" customFormat="1" ht="15.75" thickTop="1">
      <c r="A72" s="667"/>
      <c r="B72" s="653">
        <f>B13</f>
        <v>111</v>
      </c>
      <c r="C72" s="668">
        <v>111</v>
      </c>
      <c r="D72" s="668">
        <v>222</v>
      </c>
      <c r="E72" s="668">
        <v>333</v>
      </c>
      <c r="F72" s="668">
        <v>444</v>
      </c>
      <c r="G72" s="668"/>
      <c r="H72" s="669"/>
      <c r="I72" s="669"/>
      <c r="J72" s="669"/>
      <c r="K72" s="669"/>
      <c r="L72" s="670"/>
      <c r="M72" s="671"/>
      <c r="N72" s="2147"/>
      <c r="O72" s="2147"/>
      <c r="P72" s="2151"/>
      <c r="Q72" s="2152"/>
      <c r="R72" s="2150"/>
      <c r="S72" s="2150"/>
      <c r="T72" s="2150"/>
      <c r="U72" s="2150"/>
      <c r="V72" s="2150"/>
      <c r="W72" s="2150"/>
      <c r="X72" s="2150"/>
      <c r="Y72" s="2150"/>
      <c r="Z72" s="2150"/>
      <c r="AA72" s="2150"/>
      <c r="AB72" s="2150"/>
      <c r="AC72" s="2150"/>
    </row>
    <row r="73" spans="1:29" s="1324" customFormat="1" ht="15.75" thickBot="1">
      <c r="A73" s="667"/>
      <c r="B73" s="658"/>
      <c r="C73" s="672">
        <v>100</v>
      </c>
      <c r="D73" s="672">
        <v>98</v>
      </c>
      <c r="E73" s="672">
        <v>96</v>
      </c>
      <c r="F73" s="672">
        <v>94</v>
      </c>
      <c r="G73" s="672"/>
      <c r="H73" s="673"/>
      <c r="I73" s="673"/>
      <c r="J73" s="673"/>
      <c r="K73" s="673"/>
      <c r="L73" s="673"/>
      <c r="M73" s="674"/>
      <c r="N73" s="2147"/>
      <c r="O73" s="2147"/>
      <c r="P73" s="2148"/>
      <c r="Q73" s="2149"/>
      <c r="R73" s="2150"/>
      <c r="S73" s="2150"/>
      <c r="T73" s="2150"/>
      <c r="U73" s="2150"/>
      <c r="V73" s="2150"/>
      <c r="W73" s="2150"/>
      <c r="X73" s="2150"/>
      <c r="Y73" s="2150"/>
      <c r="Z73" s="2150"/>
      <c r="AA73" s="2150"/>
      <c r="AB73" s="2150"/>
      <c r="AC73" s="2150"/>
    </row>
    <row r="74" spans="1:29" s="1324" customFormat="1" ht="15.75" thickTop="1">
      <c r="A74" s="667"/>
      <c r="B74" s="661">
        <f>B14</f>
        <v>111</v>
      </c>
      <c r="C74" s="668">
        <v>111</v>
      </c>
      <c r="D74" s="668">
        <v>222</v>
      </c>
      <c r="E74" s="668">
        <v>333</v>
      </c>
      <c r="F74" s="668">
        <v>444</v>
      </c>
      <c r="G74" s="641"/>
      <c r="H74" s="675"/>
      <c r="I74" s="675"/>
      <c r="J74" s="675"/>
      <c r="K74" s="675"/>
      <c r="L74" s="676"/>
      <c r="M74" s="677"/>
      <c r="N74" s="2147"/>
      <c r="O74" s="2147"/>
      <c r="P74" s="2153"/>
      <c r="Q74" s="2149"/>
      <c r="R74" s="2150"/>
      <c r="S74" s="2150"/>
      <c r="T74" s="2150"/>
      <c r="U74" s="2150"/>
      <c r="V74" s="2150"/>
      <c r="W74" s="2150"/>
      <c r="X74" s="2150"/>
      <c r="Y74" s="2150"/>
      <c r="Z74" s="2150"/>
      <c r="AA74" s="2150"/>
      <c r="AB74" s="2150"/>
      <c r="AC74" s="2150"/>
    </row>
    <row r="75" spans="1:29" s="1324" customFormat="1" ht="15.75" thickBot="1">
      <c r="A75" s="678"/>
      <c r="B75" s="679"/>
      <c r="C75" s="680">
        <v>100</v>
      </c>
      <c r="D75" s="680">
        <v>97</v>
      </c>
      <c r="E75" s="680">
        <v>94</v>
      </c>
      <c r="F75" s="680">
        <v>91</v>
      </c>
      <c r="G75" s="680"/>
      <c r="H75" s="681"/>
      <c r="I75" s="681"/>
      <c r="J75" s="681"/>
      <c r="K75" s="681"/>
      <c r="L75" s="681"/>
      <c r="M75" s="682"/>
      <c r="N75" s="2147"/>
      <c r="O75" s="2147"/>
      <c r="P75" s="2148"/>
      <c r="Q75" s="2149"/>
      <c r="R75" s="2150"/>
      <c r="S75" s="2150"/>
      <c r="T75" s="2150"/>
      <c r="U75" s="2150"/>
      <c r="V75" s="2150"/>
      <c r="W75" s="2150"/>
      <c r="X75" s="2150"/>
      <c r="Y75" s="2150"/>
      <c r="Z75" s="2150"/>
      <c r="AA75" s="2150"/>
      <c r="AB75" s="2150"/>
      <c r="AC75" s="2150"/>
    </row>
    <row r="76" spans="1:29">
      <c r="A76" s="644" t="s">
        <v>528</v>
      </c>
      <c r="B76" s="645" t="s">
        <v>575</v>
      </c>
      <c r="C76" s="683" t="s">
        <v>576</v>
      </c>
      <c r="D76" s="683" t="s">
        <v>577</v>
      </c>
      <c r="E76" s="683" t="s">
        <v>578</v>
      </c>
      <c r="F76" s="683" t="s">
        <v>579</v>
      </c>
      <c r="G76" s="683" t="s">
        <v>580</v>
      </c>
      <c r="H76" s="684"/>
      <c r="I76" s="684"/>
      <c r="J76" s="684"/>
      <c r="K76" s="685"/>
      <c r="L76" s="686"/>
      <c r="M76" s="687"/>
      <c r="N76" s="2144"/>
      <c r="O76" s="2144"/>
      <c r="P76" s="2154"/>
      <c r="Q76" s="2138"/>
      <c r="R76" s="2125"/>
      <c r="S76" s="2125"/>
      <c r="T76" s="2125"/>
      <c r="U76" s="2125"/>
      <c r="V76" s="2125"/>
      <c r="W76" s="2125"/>
      <c r="X76" s="2125"/>
      <c r="Y76" s="2125"/>
      <c r="Z76" s="2125"/>
      <c r="AA76" s="2125"/>
      <c r="AB76" s="2125"/>
      <c r="AC76" s="2125"/>
    </row>
    <row r="77" spans="1:29" ht="15.75" thickBot="1">
      <c r="A77" s="649"/>
      <c r="B77" s="658"/>
      <c r="C77" s="659">
        <v>100</v>
      </c>
      <c r="D77" s="659">
        <f>C77-$K15</f>
        <v>98</v>
      </c>
      <c r="E77" s="659">
        <f>D77-$K15</f>
        <v>96</v>
      </c>
      <c r="F77" s="659">
        <f>E77-$K15</f>
        <v>94</v>
      </c>
      <c r="G77" s="659">
        <f>F77-$K15</f>
        <v>92</v>
      </c>
      <c r="H77" s="659"/>
      <c r="I77" s="659"/>
      <c r="J77" s="659"/>
      <c r="K77" s="659"/>
      <c r="L77" s="659"/>
      <c r="M77" s="660"/>
      <c r="N77" s="2146"/>
      <c r="O77" s="2146"/>
      <c r="P77" s="2145"/>
      <c r="Q77" s="2138"/>
      <c r="R77" s="2125"/>
      <c r="S77" s="2125"/>
      <c r="T77" s="2125"/>
      <c r="U77" s="2125"/>
      <c r="V77" s="2125"/>
      <c r="W77" s="2125"/>
      <c r="X77" s="2125"/>
      <c r="Y77" s="2125"/>
      <c r="Z77" s="2125"/>
      <c r="AA77" s="2125"/>
      <c r="AB77" s="2125"/>
      <c r="AC77" s="2125"/>
    </row>
    <row r="78" spans="1:29" ht="15.75" thickTop="1">
      <c r="A78" s="649"/>
      <c r="B78" s="653" t="s">
        <v>583</v>
      </c>
      <c r="C78" s="688" t="s">
        <v>576</v>
      </c>
      <c r="D78" s="688" t="s">
        <v>577</v>
      </c>
      <c r="E78" s="688" t="s">
        <v>578</v>
      </c>
      <c r="F78" s="688" t="s">
        <v>579</v>
      </c>
      <c r="G78" s="688" t="s">
        <v>580</v>
      </c>
      <c r="H78" s="654"/>
      <c r="I78" s="654"/>
      <c r="J78" s="654"/>
      <c r="K78" s="655"/>
      <c r="L78" s="656"/>
      <c r="M78" s="657"/>
      <c r="N78" s="2144"/>
      <c r="O78" s="2144"/>
      <c r="P78" s="2145"/>
      <c r="Q78" s="2138"/>
      <c r="R78" s="2125"/>
      <c r="S78" s="2125"/>
      <c r="T78" s="2125"/>
      <c r="U78" s="2125"/>
      <c r="V78" s="2125"/>
      <c r="W78" s="2125"/>
      <c r="X78" s="2125"/>
      <c r="Y78" s="2125"/>
      <c r="Z78" s="2125"/>
      <c r="AA78" s="2125"/>
      <c r="AB78" s="2125"/>
      <c r="AC78" s="2125"/>
    </row>
    <row r="79" spans="1:29" ht="15.75" thickBot="1">
      <c r="A79" s="649"/>
      <c r="B79" s="658"/>
      <c r="C79" s="659">
        <v>100</v>
      </c>
      <c r="D79" s="659">
        <f>C79-$K17</f>
        <v>98</v>
      </c>
      <c r="E79" s="659">
        <f>D79-$K17</f>
        <v>96</v>
      </c>
      <c r="F79" s="659">
        <f>E79-$K17</f>
        <v>94</v>
      </c>
      <c r="G79" s="659">
        <f>F79-$K17</f>
        <v>92</v>
      </c>
      <c r="H79" s="659"/>
      <c r="I79" s="659"/>
      <c r="J79" s="659"/>
      <c r="K79" s="659"/>
      <c r="L79" s="659"/>
      <c r="M79" s="660"/>
      <c r="N79" s="2146"/>
      <c r="O79" s="2146"/>
      <c r="P79" s="2145"/>
      <c r="Q79" s="2138"/>
      <c r="R79" s="2125"/>
      <c r="S79" s="2125"/>
      <c r="T79" s="2125"/>
      <c r="U79" s="2125"/>
      <c r="V79" s="2125"/>
      <c r="W79" s="2125"/>
      <c r="X79" s="2125"/>
      <c r="Y79" s="2125"/>
      <c r="Z79" s="2125"/>
      <c r="AA79" s="2125"/>
      <c r="AB79" s="2125"/>
      <c r="AC79" s="2125"/>
    </row>
    <row r="80" spans="1:29" ht="15.75" thickTop="1">
      <c r="A80" s="649"/>
      <c r="B80" s="1871" t="s">
        <v>2552</v>
      </c>
      <c r="C80" s="688" t="s">
        <v>576</v>
      </c>
      <c r="D80" s="688" t="s">
        <v>577</v>
      </c>
      <c r="E80" s="688" t="s">
        <v>578</v>
      </c>
      <c r="F80" s="688" t="s">
        <v>579</v>
      </c>
      <c r="G80" s="688" t="s">
        <v>580</v>
      </c>
      <c r="H80" s="654"/>
      <c r="I80" s="654"/>
      <c r="J80" s="654"/>
      <c r="K80" s="655"/>
      <c r="L80" s="656"/>
      <c r="M80" s="657"/>
      <c r="N80" s="2144"/>
      <c r="O80" s="2144"/>
      <c r="P80" s="2145"/>
      <c r="Q80" s="2138"/>
      <c r="R80" s="2125"/>
      <c r="S80" s="2125"/>
      <c r="T80" s="2125"/>
      <c r="U80" s="2125"/>
      <c r="V80" s="2125"/>
      <c r="W80" s="2125"/>
      <c r="X80" s="2125"/>
      <c r="Y80" s="2125"/>
      <c r="Z80" s="2125"/>
      <c r="AA80" s="2125"/>
      <c r="AB80" s="2125"/>
      <c r="AC80" s="2125"/>
    </row>
    <row r="81" spans="1:29" ht="15.75" thickBot="1">
      <c r="A81" s="649"/>
      <c r="B81" s="658"/>
      <c r="C81" s="659">
        <v>100</v>
      </c>
      <c r="D81" s="659">
        <f>C81-$K19</f>
        <v>98</v>
      </c>
      <c r="E81" s="659">
        <f>D81-$K19</f>
        <v>96</v>
      </c>
      <c r="F81" s="659">
        <f>E81-$K19</f>
        <v>94</v>
      </c>
      <c r="G81" s="659">
        <f>F81-$K19</f>
        <v>92</v>
      </c>
      <c r="H81" s="659"/>
      <c r="I81" s="659"/>
      <c r="J81" s="659"/>
      <c r="K81" s="659"/>
      <c r="L81" s="659"/>
      <c r="M81" s="660"/>
      <c r="N81" s="2146"/>
      <c r="O81" s="2146"/>
      <c r="P81" s="2145"/>
      <c r="Q81" s="2138"/>
      <c r="R81" s="2125"/>
      <c r="S81" s="2125"/>
      <c r="T81" s="2125"/>
      <c r="U81" s="2125"/>
      <c r="V81" s="2125"/>
      <c r="W81" s="2125"/>
      <c r="X81" s="2125"/>
      <c r="Y81" s="2125"/>
      <c r="Z81" s="2125"/>
      <c r="AA81" s="2125"/>
      <c r="AB81" s="2125"/>
      <c r="AC81" s="2125"/>
    </row>
    <row r="82" spans="1:29" ht="15.75" thickTop="1">
      <c r="A82" s="649"/>
      <c r="B82" s="2610" t="s">
        <v>2814</v>
      </c>
      <c r="C82" s="2611" t="s">
        <v>2828</v>
      </c>
      <c r="D82" s="2611" t="s">
        <v>2829</v>
      </c>
      <c r="E82" s="2611" t="s">
        <v>2830</v>
      </c>
      <c r="F82" s="2611" t="s">
        <v>2831</v>
      </c>
      <c r="G82" s="2611" t="s">
        <v>2832</v>
      </c>
      <c r="H82" s="654"/>
      <c r="I82" s="654"/>
      <c r="J82" s="654"/>
      <c r="K82" s="654"/>
      <c r="L82" s="654"/>
      <c r="M82" s="2614"/>
      <c r="N82" s="2146"/>
      <c r="O82" s="2146"/>
      <c r="P82" s="2145"/>
      <c r="Q82" s="2138"/>
      <c r="R82" s="2125"/>
      <c r="S82" s="2125"/>
      <c r="T82" s="2125"/>
      <c r="U82" s="2125"/>
      <c r="V82" s="2125"/>
      <c r="W82" s="2125"/>
      <c r="X82" s="2125"/>
      <c r="Y82" s="2125"/>
      <c r="Z82" s="2125"/>
      <c r="AA82" s="2125"/>
      <c r="AB82" s="2125"/>
      <c r="AC82" s="2125"/>
    </row>
    <row r="83" spans="1:29" ht="15.75" thickBot="1">
      <c r="A83" s="649"/>
      <c r="B83" s="661"/>
      <c r="C83" s="659">
        <v>100</v>
      </c>
      <c r="D83" s="659">
        <f>C83-$K21</f>
        <v>99</v>
      </c>
      <c r="E83" s="659">
        <f>D83-$K21</f>
        <v>98</v>
      </c>
      <c r="F83" s="659">
        <f>E83-$K21</f>
        <v>97</v>
      </c>
      <c r="G83" s="659">
        <f>F83-$K21</f>
        <v>96</v>
      </c>
      <c r="H83" s="914"/>
      <c r="I83" s="914"/>
      <c r="J83" s="914"/>
      <c r="K83" s="914"/>
      <c r="L83" s="914"/>
      <c r="M83" s="539"/>
      <c r="N83" s="2146"/>
      <c r="O83" s="2146"/>
      <c r="P83" s="2145"/>
      <c r="Q83" s="2138"/>
      <c r="R83" s="2125"/>
      <c r="S83" s="2125"/>
      <c r="T83" s="2125"/>
      <c r="U83" s="2125"/>
      <c r="V83" s="2125"/>
      <c r="W83" s="2125"/>
      <c r="X83" s="2125"/>
      <c r="Y83" s="2125"/>
      <c r="Z83" s="2125"/>
      <c r="AA83" s="2125"/>
      <c r="AB83" s="2125"/>
      <c r="AC83" s="2125"/>
    </row>
    <row r="84" spans="1:29" ht="15.75" thickTop="1">
      <c r="A84" s="649"/>
      <c r="B84" s="653" t="s">
        <v>799</v>
      </c>
      <c r="C84" s="688" t="s">
        <v>576</v>
      </c>
      <c r="D84" s="688" t="s">
        <v>577</v>
      </c>
      <c r="E84" s="688" t="s">
        <v>578</v>
      </c>
      <c r="F84" s="688" t="s">
        <v>579</v>
      </c>
      <c r="G84" s="688" t="s">
        <v>580</v>
      </c>
      <c r="H84" s="654"/>
      <c r="I84" s="654"/>
      <c r="J84" s="654"/>
      <c r="K84" s="655"/>
      <c r="L84" s="656"/>
      <c r="M84" s="657"/>
      <c r="N84" s="2144"/>
      <c r="O84" s="2144"/>
      <c r="P84" s="2145"/>
      <c r="Q84" s="2138"/>
      <c r="R84" s="2125"/>
      <c r="S84" s="2125"/>
      <c r="T84" s="2125"/>
      <c r="U84" s="2125"/>
      <c r="V84" s="2125"/>
      <c r="W84" s="2125"/>
      <c r="X84" s="2125"/>
      <c r="Y84" s="2125"/>
      <c r="Z84" s="2125"/>
      <c r="AA84" s="2125"/>
      <c r="AB84" s="2125"/>
      <c r="AC84" s="2125"/>
    </row>
    <row r="85" spans="1:29" ht="15.75" thickBot="1">
      <c r="A85" s="649"/>
      <c r="B85" s="658"/>
      <c r="C85" s="659">
        <v>100</v>
      </c>
      <c r="D85" s="659">
        <f>C85-$K23</f>
        <v>98</v>
      </c>
      <c r="E85" s="659">
        <f>D85-$K23</f>
        <v>96</v>
      </c>
      <c r="F85" s="659">
        <f>E85-$K23</f>
        <v>94</v>
      </c>
      <c r="G85" s="659">
        <f>F85-$K23</f>
        <v>92</v>
      </c>
      <c r="H85" s="659"/>
      <c r="I85" s="659"/>
      <c r="J85" s="659"/>
      <c r="K85" s="659"/>
      <c r="L85" s="659"/>
      <c r="M85" s="660"/>
      <c r="N85" s="2146"/>
      <c r="O85" s="2146"/>
      <c r="P85" s="2145"/>
      <c r="Q85" s="2138"/>
      <c r="R85" s="2125"/>
      <c r="S85" s="2125"/>
      <c r="T85" s="2125"/>
      <c r="U85" s="2125"/>
      <c r="V85" s="2125"/>
      <c r="W85" s="2125"/>
      <c r="X85" s="2125"/>
      <c r="Y85" s="2125"/>
      <c r="Z85" s="2125"/>
      <c r="AA85" s="2125"/>
      <c r="AB85" s="2125"/>
      <c r="AC85" s="2125"/>
    </row>
    <row r="86" spans="1:29" s="1199" customFormat="1" ht="15.75" thickTop="1">
      <c r="A86" s="689"/>
      <c r="B86" s="1871" t="s">
        <v>2485</v>
      </c>
      <c r="C86" s="668">
        <v>15</v>
      </c>
      <c r="D86" s="668">
        <v>10</v>
      </c>
      <c r="E86" s="668">
        <v>8</v>
      </c>
      <c r="F86" s="668">
        <v>7</v>
      </c>
      <c r="G86" s="668">
        <v>3</v>
      </c>
      <c r="H86" s="668"/>
      <c r="I86" s="668"/>
      <c r="J86" s="668"/>
      <c r="K86" s="668"/>
      <c r="L86" s="870"/>
      <c r="M86" s="871"/>
      <c r="N86" s="2142"/>
      <c r="O86" s="2142"/>
      <c r="P86" s="2145"/>
      <c r="Q86" s="2138"/>
      <c r="R86" s="1969"/>
      <c r="S86" s="1969"/>
      <c r="T86" s="1969"/>
      <c r="U86" s="1969"/>
      <c r="V86" s="1969"/>
      <c r="W86" s="1969"/>
      <c r="X86" s="1969"/>
      <c r="Y86" s="1969"/>
      <c r="Z86" s="1969"/>
      <c r="AA86" s="1969"/>
      <c r="AB86" s="1969"/>
      <c r="AC86" s="1969"/>
    </row>
    <row r="87" spans="1:29" s="1199" customFormat="1" ht="15.75" thickBot="1">
      <c r="A87" s="689"/>
      <c r="B87" s="658"/>
      <c r="C87" s="692">
        <v>100</v>
      </c>
      <c r="D87" s="659">
        <f>$C$87-($C$86-D86)*$K$25</f>
        <v>97.5</v>
      </c>
      <c r="E87" s="659">
        <f t="shared" ref="E87:M87" si="20">$C$87-($C$86-E86)*$K$25</f>
        <v>96.5</v>
      </c>
      <c r="F87" s="659">
        <f t="shared" si="20"/>
        <v>96</v>
      </c>
      <c r="G87" s="659">
        <f t="shared" si="20"/>
        <v>94</v>
      </c>
      <c r="H87" s="659">
        <f t="shared" si="20"/>
        <v>92.5</v>
      </c>
      <c r="I87" s="659">
        <f t="shared" si="20"/>
        <v>92.5</v>
      </c>
      <c r="J87" s="659">
        <f t="shared" si="20"/>
        <v>92.5</v>
      </c>
      <c r="K87" s="659">
        <f t="shared" si="20"/>
        <v>92.5</v>
      </c>
      <c r="L87" s="659">
        <f t="shared" si="20"/>
        <v>92.5</v>
      </c>
      <c r="M87" s="659">
        <f t="shared" si="20"/>
        <v>92.5</v>
      </c>
      <c r="N87" s="2146"/>
      <c r="O87" s="2146"/>
      <c r="P87" s="2145"/>
      <c r="Q87" s="2138"/>
      <c r="R87" s="1969"/>
      <c r="S87" s="1969"/>
      <c r="T87" s="1969"/>
      <c r="U87" s="1969"/>
      <c r="V87" s="1969"/>
      <c r="W87" s="1969"/>
      <c r="X87" s="1969"/>
      <c r="Y87" s="1969"/>
      <c r="Z87" s="1969"/>
      <c r="AA87" s="1969"/>
      <c r="AB87" s="1969"/>
      <c r="AC87" s="1969"/>
    </row>
    <row r="88" spans="1:29" s="1199" customFormat="1" ht="15.75" thickTop="1">
      <c r="A88" s="689"/>
      <c r="B88" s="653" t="s">
        <v>801</v>
      </c>
      <c r="C88" s="668" t="s">
        <v>802</v>
      </c>
      <c r="D88" s="668" t="s">
        <v>803</v>
      </c>
      <c r="E88" s="668" t="s">
        <v>804</v>
      </c>
      <c r="F88" s="872" t="s">
        <v>805</v>
      </c>
      <c r="G88" s="668" t="s">
        <v>806</v>
      </c>
      <c r="H88" s="668" t="s">
        <v>807</v>
      </c>
      <c r="I88" s="668" t="s">
        <v>808</v>
      </c>
      <c r="J88" s="668" t="s">
        <v>809</v>
      </c>
      <c r="K88" s="668" t="s">
        <v>810</v>
      </c>
      <c r="L88" s="668" t="s">
        <v>811</v>
      </c>
      <c r="M88" s="871" t="s">
        <v>812</v>
      </c>
      <c r="N88" s="2142"/>
      <c r="O88" s="2142"/>
      <c r="P88" s="2145"/>
      <c r="Q88" s="2138"/>
      <c r="R88" s="1969"/>
      <c r="S88" s="1969"/>
      <c r="T88" s="1969"/>
      <c r="U88" s="1969"/>
      <c r="V88" s="1969"/>
      <c r="W88" s="1969"/>
      <c r="X88" s="1969"/>
      <c r="Y88" s="1969"/>
      <c r="Z88" s="1969"/>
      <c r="AA88" s="1969"/>
      <c r="AB88" s="1969"/>
      <c r="AC88" s="1969"/>
    </row>
    <row r="89" spans="1:29" s="1199" customFormat="1" ht="15.75" thickBot="1">
      <c r="A89" s="689"/>
      <c r="B89" s="658"/>
      <c r="C89" s="692">
        <v>100</v>
      </c>
      <c r="D89" s="659">
        <f t="shared" ref="D89:M89" si="21">C89-$K26</f>
        <v>99</v>
      </c>
      <c r="E89" s="659">
        <f t="shared" si="21"/>
        <v>98</v>
      </c>
      <c r="F89" s="659">
        <f t="shared" si="21"/>
        <v>97</v>
      </c>
      <c r="G89" s="659">
        <f t="shared" si="21"/>
        <v>96</v>
      </c>
      <c r="H89" s="659">
        <f t="shared" si="21"/>
        <v>95</v>
      </c>
      <c r="I89" s="659">
        <f t="shared" si="21"/>
        <v>94</v>
      </c>
      <c r="J89" s="659">
        <f t="shared" si="21"/>
        <v>93</v>
      </c>
      <c r="K89" s="659">
        <f t="shared" si="21"/>
        <v>92</v>
      </c>
      <c r="L89" s="659">
        <f t="shared" si="21"/>
        <v>91</v>
      </c>
      <c r="M89" s="659">
        <f t="shared" si="21"/>
        <v>90</v>
      </c>
      <c r="N89" s="2146"/>
      <c r="O89" s="2146"/>
      <c r="P89" s="2145"/>
      <c r="Q89" s="2138"/>
      <c r="R89" s="1969"/>
      <c r="S89" s="1969"/>
      <c r="T89" s="1969"/>
      <c r="U89" s="1969"/>
      <c r="V89" s="1969"/>
      <c r="W89" s="1969"/>
      <c r="X89" s="1969"/>
      <c r="Y89" s="1969"/>
      <c r="Z89" s="1969"/>
      <c r="AA89" s="1969"/>
      <c r="AB89" s="1969"/>
      <c r="AC89" s="1969"/>
    </row>
    <row r="90" spans="1:29" s="1324" customFormat="1" ht="15.75" thickTop="1">
      <c r="A90" s="667"/>
      <c r="B90" s="653" t="str">
        <f>B27</f>
        <v>道路级别</v>
      </c>
      <c r="C90" s="668" t="s">
        <v>767</v>
      </c>
      <c r="D90" s="668" t="s">
        <v>813</v>
      </c>
      <c r="E90" s="668" t="s">
        <v>766</v>
      </c>
      <c r="F90" s="668" t="s">
        <v>768</v>
      </c>
      <c r="G90" s="668" t="s">
        <v>814</v>
      </c>
      <c r="H90" s="669"/>
      <c r="I90" s="669"/>
      <c r="J90" s="669"/>
      <c r="K90" s="669"/>
      <c r="L90" s="670"/>
      <c r="M90" s="671"/>
      <c r="N90" s="2147"/>
      <c r="O90" s="2147"/>
      <c r="P90" s="2148"/>
      <c r="Q90" s="2149"/>
      <c r="R90" s="2150"/>
      <c r="S90" s="2150"/>
      <c r="T90" s="2150"/>
      <c r="U90" s="2150"/>
      <c r="V90" s="2150"/>
      <c r="W90" s="2150"/>
      <c r="X90" s="2150"/>
      <c r="Y90" s="2150"/>
      <c r="Z90" s="2150"/>
      <c r="AA90" s="2150"/>
      <c r="AB90" s="2150"/>
      <c r="AC90" s="2150"/>
    </row>
    <row r="91" spans="1:29" s="1324" customFormat="1" ht="15.75" thickBot="1">
      <c r="A91" s="667"/>
      <c r="B91" s="658"/>
      <c r="C91" s="672">
        <v>100</v>
      </c>
      <c r="D91" s="672">
        <v>99</v>
      </c>
      <c r="E91" s="672">
        <v>98</v>
      </c>
      <c r="F91" s="672">
        <v>97</v>
      </c>
      <c r="G91" s="672">
        <v>96</v>
      </c>
      <c r="H91" s="673"/>
      <c r="I91" s="673"/>
      <c r="J91" s="673"/>
      <c r="K91" s="673"/>
      <c r="L91" s="673"/>
      <c r="M91" s="674"/>
      <c r="N91" s="2147"/>
      <c r="O91" s="2147"/>
      <c r="P91" s="2148"/>
      <c r="Q91" s="2149"/>
      <c r="R91" s="2150"/>
      <c r="S91" s="2150"/>
      <c r="T91" s="2150"/>
      <c r="U91" s="2150"/>
      <c r="V91" s="2150"/>
      <c r="W91" s="2150"/>
      <c r="X91" s="2150"/>
      <c r="Y91" s="2150"/>
      <c r="Z91" s="2150"/>
      <c r="AA91" s="2150"/>
      <c r="AB91" s="2150"/>
      <c r="AC91" s="2150"/>
    </row>
    <row r="92" spans="1:29" ht="15.75" thickTop="1">
      <c r="A92" s="649"/>
      <c r="B92" s="653">
        <f>B28</f>
        <v>111</v>
      </c>
      <c r="C92" s="668">
        <v>111</v>
      </c>
      <c r="D92" s="668">
        <v>222</v>
      </c>
      <c r="E92" s="668">
        <v>333</v>
      </c>
      <c r="F92" s="668">
        <v>444</v>
      </c>
      <c r="G92" s="698"/>
      <c r="H92" s="698"/>
      <c r="I92" s="698"/>
      <c r="J92" s="698"/>
      <c r="K92" s="699"/>
      <c r="L92" s="700"/>
      <c r="M92" s="701"/>
      <c r="N92" s="2144"/>
      <c r="O92" s="2144"/>
      <c r="P92" s="2145"/>
      <c r="Q92" s="2138"/>
      <c r="R92" s="2125"/>
      <c r="S92" s="2125"/>
      <c r="T92" s="2125"/>
      <c r="U92" s="2125"/>
      <c r="V92" s="2125"/>
      <c r="W92" s="2125"/>
      <c r="X92" s="2125"/>
      <c r="Y92" s="2125"/>
      <c r="Z92" s="2125"/>
      <c r="AA92" s="2125"/>
      <c r="AB92" s="2125"/>
      <c r="AC92" s="2125"/>
    </row>
    <row r="93" spans="1:29" ht="15.75" thickBot="1">
      <c r="A93" s="649"/>
      <c r="B93" s="658"/>
      <c r="C93" s="672">
        <v>100</v>
      </c>
      <c r="D93" s="651">
        <v>99</v>
      </c>
      <c r="E93" s="651">
        <v>98</v>
      </c>
      <c r="F93" s="651">
        <v>97</v>
      </c>
      <c r="G93" s="651"/>
      <c r="H93" s="651"/>
      <c r="I93" s="651"/>
      <c r="J93" s="651"/>
      <c r="K93" s="651"/>
      <c r="L93" s="651"/>
      <c r="M93" s="652"/>
      <c r="N93" s="2146"/>
      <c r="O93" s="2146"/>
      <c r="P93" s="2145"/>
      <c r="Q93" s="2138"/>
      <c r="R93" s="2125"/>
      <c r="S93" s="2125"/>
      <c r="T93" s="2125"/>
      <c r="U93" s="2125"/>
      <c r="V93" s="2125"/>
      <c r="W93" s="2125"/>
      <c r="X93" s="2125"/>
      <c r="Y93" s="2125"/>
      <c r="Z93" s="2125"/>
      <c r="AA93" s="2125"/>
      <c r="AB93" s="2125"/>
      <c r="AC93" s="2125"/>
    </row>
    <row r="94" spans="1:29" ht="15.75" thickTop="1">
      <c r="A94" s="649"/>
      <c r="B94" s="653">
        <f>B29</f>
        <v>111</v>
      </c>
      <c r="C94" s="668">
        <v>111</v>
      </c>
      <c r="D94" s="668">
        <v>222</v>
      </c>
      <c r="E94" s="668">
        <v>333</v>
      </c>
      <c r="F94" s="668">
        <v>444</v>
      </c>
      <c r="G94" s="698"/>
      <c r="H94" s="698"/>
      <c r="I94" s="698"/>
      <c r="J94" s="698"/>
      <c r="K94" s="699"/>
      <c r="L94" s="700"/>
      <c r="M94" s="701"/>
      <c r="N94" s="2144"/>
      <c r="O94" s="2144"/>
      <c r="P94" s="2145"/>
      <c r="Q94" s="2138"/>
      <c r="R94" s="2125"/>
      <c r="S94" s="2125"/>
      <c r="T94" s="2125"/>
      <c r="U94" s="2125"/>
      <c r="V94" s="2125"/>
      <c r="W94" s="2125"/>
      <c r="X94" s="2125"/>
      <c r="Y94" s="2125"/>
      <c r="Z94" s="2125"/>
      <c r="AA94" s="2125"/>
      <c r="AB94" s="2125"/>
      <c r="AC94" s="2125"/>
    </row>
    <row r="95" spans="1:29" ht="15.75" thickBot="1">
      <c r="A95" s="649"/>
      <c r="B95" s="658"/>
      <c r="C95" s="672">
        <v>100</v>
      </c>
      <c r="D95" s="672">
        <v>98</v>
      </c>
      <c r="E95" s="672">
        <v>96</v>
      </c>
      <c r="F95" s="672">
        <v>94</v>
      </c>
      <c r="G95" s="651"/>
      <c r="H95" s="651"/>
      <c r="I95" s="651"/>
      <c r="J95" s="651"/>
      <c r="K95" s="651"/>
      <c r="L95" s="651"/>
      <c r="M95" s="652"/>
      <c r="N95" s="2146"/>
      <c r="O95" s="2146"/>
      <c r="P95" s="2145"/>
      <c r="Q95" s="2138"/>
      <c r="R95" s="2125"/>
      <c r="S95" s="2125"/>
      <c r="T95" s="2125"/>
      <c r="U95" s="2125"/>
      <c r="V95" s="2125"/>
      <c r="W95" s="2125"/>
      <c r="X95" s="2125"/>
      <c r="Y95" s="2125"/>
      <c r="Z95" s="2125"/>
      <c r="AA95" s="2125"/>
      <c r="AB95" s="2125"/>
      <c r="AC95" s="2125"/>
    </row>
    <row r="96" spans="1:29" ht="15.75" thickTop="1">
      <c r="A96" s="649"/>
      <c r="B96" s="653">
        <f>B30</f>
        <v>111</v>
      </c>
      <c r="C96" s="668">
        <v>111</v>
      </c>
      <c r="D96" s="668">
        <v>222</v>
      </c>
      <c r="E96" s="668">
        <v>333</v>
      </c>
      <c r="F96" s="668">
        <v>444</v>
      </c>
      <c r="G96" s="698"/>
      <c r="H96" s="698"/>
      <c r="I96" s="698"/>
      <c r="J96" s="698"/>
      <c r="K96" s="699"/>
      <c r="L96" s="700"/>
      <c r="M96" s="701"/>
      <c r="N96" s="2144"/>
      <c r="O96" s="2144"/>
      <c r="P96" s="2145"/>
      <c r="Q96" s="2138"/>
      <c r="R96" s="2125"/>
      <c r="S96" s="2125"/>
      <c r="T96" s="2125"/>
      <c r="U96" s="2125"/>
      <c r="V96" s="2125"/>
      <c r="W96" s="2125"/>
      <c r="X96" s="2125"/>
      <c r="Y96" s="2125"/>
      <c r="Z96" s="2125"/>
      <c r="AA96" s="2125"/>
      <c r="AB96" s="2125"/>
      <c r="AC96" s="2125"/>
    </row>
    <row r="97" spans="1:29" ht="15.75" thickBot="1">
      <c r="A97" s="649"/>
      <c r="B97" s="658"/>
      <c r="C97" s="680">
        <v>100</v>
      </c>
      <c r="D97" s="680">
        <v>97</v>
      </c>
      <c r="E97" s="680">
        <v>94</v>
      </c>
      <c r="F97" s="680">
        <v>91</v>
      </c>
      <c r="G97" s="651"/>
      <c r="H97" s="651"/>
      <c r="I97" s="651"/>
      <c r="J97" s="651"/>
      <c r="K97" s="651"/>
      <c r="L97" s="651"/>
      <c r="M97" s="652"/>
      <c r="N97" s="2146"/>
      <c r="O97" s="2146"/>
      <c r="P97" s="2145"/>
      <c r="Q97" s="2138"/>
      <c r="R97" s="2125"/>
      <c r="S97" s="2125"/>
      <c r="T97" s="2125"/>
      <c r="U97" s="2125"/>
      <c r="V97" s="2125"/>
      <c r="W97" s="2125"/>
      <c r="X97" s="2125"/>
      <c r="Y97" s="2125"/>
      <c r="Z97" s="2125"/>
      <c r="AA97" s="2125"/>
      <c r="AB97" s="2125"/>
      <c r="AC97" s="2125"/>
    </row>
    <row r="98" spans="1:29" ht="15.75" thickTop="1">
      <c r="A98" s="649"/>
      <c r="B98" s="661">
        <f>B31</f>
        <v>111</v>
      </c>
      <c r="C98" s="702">
        <v>111</v>
      </c>
      <c r="D98" s="702">
        <v>222</v>
      </c>
      <c r="E98" s="702">
        <v>333</v>
      </c>
      <c r="F98" s="702">
        <v>444</v>
      </c>
      <c r="G98" s="702"/>
      <c r="H98" s="702"/>
      <c r="I98" s="702"/>
      <c r="J98" s="702"/>
      <c r="K98" s="703"/>
      <c r="L98" s="704"/>
      <c r="M98" s="705"/>
      <c r="N98" s="2144"/>
      <c r="O98" s="2144"/>
      <c r="P98" s="2145"/>
      <c r="Q98" s="2138"/>
      <c r="R98" s="2125"/>
      <c r="S98" s="2125"/>
      <c r="T98" s="2125"/>
      <c r="U98" s="2125"/>
      <c r="V98" s="2125"/>
      <c r="W98" s="2125"/>
      <c r="X98" s="2125"/>
      <c r="Y98" s="2125"/>
      <c r="Z98" s="2125"/>
      <c r="AA98" s="2125"/>
      <c r="AB98" s="2125"/>
      <c r="AC98" s="2125"/>
    </row>
    <row r="99" spans="1:29" ht="15.75" thickBot="1">
      <c r="A99" s="873"/>
      <c r="B99" s="679"/>
      <c r="C99" s="706">
        <v>100</v>
      </c>
      <c r="D99" s="706">
        <v>96</v>
      </c>
      <c r="E99" s="706">
        <v>92</v>
      </c>
      <c r="F99" s="706">
        <v>88</v>
      </c>
      <c r="G99" s="706"/>
      <c r="H99" s="706"/>
      <c r="I99" s="706"/>
      <c r="J99" s="706"/>
      <c r="K99" s="706"/>
      <c r="L99" s="706"/>
      <c r="M99" s="3170"/>
      <c r="N99" s="2146"/>
      <c r="O99" s="2146"/>
      <c r="P99" s="2145"/>
      <c r="Q99" s="2138"/>
      <c r="R99" s="2125"/>
      <c r="S99" s="2125"/>
      <c r="T99" s="2125"/>
      <c r="U99" s="2125"/>
      <c r="V99" s="2125"/>
      <c r="W99" s="2125"/>
      <c r="X99" s="2125"/>
      <c r="Y99" s="2125"/>
      <c r="Z99" s="2125"/>
      <c r="AA99" s="2125"/>
      <c r="AB99" s="2125"/>
      <c r="AC99" s="2125"/>
    </row>
    <row r="100" spans="1:29">
      <c r="A100" s="644" t="s">
        <v>544</v>
      </c>
      <c r="B100" s="645" t="s">
        <v>815</v>
      </c>
      <c r="C100" s="578" t="s">
        <v>816</v>
      </c>
      <c r="D100" s="578" t="s">
        <v>817</v>
      </c>
      <c r="E100" s="578"/>
      <c r="F100" s="578"/>
      <c r="G100" s="578"/>
      <c r="H100" s="578"/>
      <c r="I100" s="578"/>
      <c r="J100" s="578"/>
      <c r="K100" s="646"/>
      <c r="L100" s="647"/>
      <c r="M100" s="648"/>
      <c r="N100" s="2144"/>
      <c r="O100" s="2144"/>
      <c r="P100" s="2145"/>
      <c r="Q100" s="2138"/>
      <c r="R100" s="2125"/>
      <c r="S100" s="2125"/>
      <c r="T100" s="2125"/>
      <c r="U100" s="2125"/>
      <c r="V100" s="2125"/>
      <c r="W100" s="2125"/>
      <c r="X100" s="2125"/>
      <c r="Y100" s="2125"/>
      <c r="Z100" s="2125"/>
      <c r="AA100" s="2125"/>
      <c r="AB100" s="2125"/>
      <c r="AC100" s="2125"/>
    </row>
    <row r="101" spans="1:29" ht="15.75" thickBot="1">
      <c r="A101" s="649"/>
      <c r="B101" s="658"/>
      <c r="C101" s="659">
        <v>100</v>
      </c>
      <c r="D101" s="659">
        <f t="shared" ref="D101:M101" si="22">C101-$K32</f>
        <v>85</v>
      </c>
      <c r="E101" s="659">
        <f t="shared" si="22"/>
        <v>70</v>
      </c>
      <c r="F101" s="659">
        <f t="shared" si="22"/>
        <v>55</v>
      </c>
      <c r="G101" s="659">
        <f t="shared" si="22"/>
        <v>40</v>
      </c>
      <c r="H101" s="659">
        <f t="shared" si="22"/>
        <v>25</v>
      </c>
      <c r="I101" s="659">
        <f t="shared" si="22"/>
        <v>10</v>
      </c>
      <c r="J101" s="659">
        <f t="shared" si="22"/>
        <v>-5</v>
      </c>
      <c r="K101" s="659">
        <f t="shared" si="22"/>
        <v>-20</v>
      </c>
      <c r="L101" s="659">
        <f t="shared" si="22"/>
        <v>-35</v>
      </c>
      <c r="M101" s="659">
        <f t="shared" si="22"/>
        <v>-50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49"/>
      <c r="B102" s="653" t="s">
        <v>818</v>
      </c>
      <c r="C102" s="688" t="str">
        <f>C103&amp;"(含)"&amp;"-"&amp;D103</f>
        <v>0(含)-500</v>
      </c>
      <c r="D102" s="688" t="str">
        <f t="shared" ref="D102:L102" si="23">D103&amp;"(含)"&amp;"-"&amp;E103</f>
        <v>500(含)-2000</v>
      </c>
      <c r="E102" s="688" t="str">
        <f t="shared" si="23"/>
        <v>2000(含)-5000</v>
      </c>
      <c r="F102" s="688" t="str">
        <f t="shared" si="23"/>
        <v>5000(含)-10000</v>
      </c>
      <c r="G102" s="688" t="str">
        <f t="shared" si="23"/>
        <v>10000(含)-15000</v>
      </c>
      <c r="H102" s="688" t="str">
        <f t="shared" si="23"/>
        <v>15000(含)-</v>
      </c>
      <c r="I102" s="688" t="str">
        <f t="shared" si="23"/>
        <v>(含)-</v>
      </c>
      <c r="J102" s="688" t="str">
        <f t="shared" si="23"/>
        <v>(含)-</v>
      </c>
      <c r="K102" s="688" t="str">
        <f t="shared" si="23"/>
        <v>(含)-</v>
      </c>
      <c r="L102" s="688" t="str">
        <f t="shared" si="23"/>
        <v>(含)-</v>
      </c>
      <c r="M102" s="68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24" customFormat="1">
      <c r="A103" s="708"/>
      <c r="B103" s="709"/>
      <c r="C103" s="710">
        <v>0</v>
      </c>
      <c r="D103" s="710">
        <v>500</v>
      </c>
      <c r="E103" s="710">
        <v>2000</v>
      </c>
      <c r="F103" s="710">
        <v>5000</v>
      </c>
      <c r="G103" s="710">
        <v>10000</v>
      </c>
      <c r="H103" s="710">
        <v>15000</v>
      </c>
      <c r="I103" s="710"/>
      <c r="J103" s="711"/>
      <c r="K103" s="711"/>
      <c r="L103" s="712"/>
      <c r="M103" s="713"/>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Bot="1">
      <c r="A104" s="667"/>
      <c r="B104" s="658"/>
      <c r="C104" s="672">
        <v>100</v>
      </c>
      <c r="D104" s="651">
        <v>102</v>
      </c>
      <c r="E104" s="651">
        <v>104</v>
      </c>
      <c r="F104" s="651">
        <v>106</v>
      </c>
      <c r="G104" s="651">
        <v>108</v>
      </c>
      <c r="H104" s="651">
        <v>110</v>
      </c>
      <c r="I104" s="651"/>
      <c r="J104" s="651"/>
      <c r="K104" s="651"/>
      <c r="L104" s="651"/>
      <c r="M104" s="651"/>
      <c r="N104" s="2146"/>
      <c r="O104" s="2146"/>
      <c r="P104" s="2148"/>
      <c r="Q104" s="2149"/>
      <c r="R104" s="2150"/>
      <c r="S104" s="2150"/>
      <c r="T104" s="2150"/>
      <c r="U104" s="2150"/>
      <c r="V104" s="2150"/>
      <c r="W104" s="2150"/>
      <c r="X104" s="2150"/>
      <c r="Y104" s="2150"/>
      <c r="Z104" s="2150"/>
      <c r="AA104" s="2150"/>
      <c r="AB104" s="2150"/>
      <c r="AC104" s="2150"/>
    </row>
    <row r="105" spans="1:29" ht="15" thickTop="1">
      <c r="A105" s="715"/>
      <c r="B105" s="653" t="s">
        <v>819</v>
      </c>
      <c r="C105" s="668" t="s">
        <v>820</v>
      </c>
      <c r="D105" s="668" t="s">
        <v>821</v>
      </c>
      <c r="E105" s="698" t="s">
        <v>822</v>
      </c>
      <c r="F105" s="698"/>
      <c r="G105" s="698"/>
      <c r="H105" s="698"/>
      <c r="I105" s="698"/>
      <c r="J105" s="698"/>
      <c r="K105" s="699"/>
      <c r="L105" s="700"/>
      <c r="M105" s="701"/>
      <c r="N105" s="2144"/>
      <c r="O105" s="2144"/>
      <c r="P105" s="2145"/>
      <c r="Q105" s="2138"/>
      <c r="R105" s="2125"/>
      <c r="S105" s="2125"/>
      <c r="T105" s="2125"/>
      <c r="U105" s="2125"/>
      <c r="V105" s="2125"/>
      <c r="W105" s="2125"/>
      <c r="X105" s="2125"/>
      <c r="Y105" s="2125"/>
      <c r="Z105" s="2125"/>
      <c r="AA105" s="2125"/>
      <c r="AB105" s="2125"/>
      <c r="AC105" s="2125"/>
    </row>
    <row r="106" spans="1:29" ht="15.75" thickBot="1">
      <c r="A106" s="649"/>
      <c r="B106" s="658"/>
      <c r="C106" s="659">
        <v>100</v>
      </c>
      <c r="D106" s="659">
        <f t="shared" ref="D106:M106" si="24">C106-$K34</f>
        <v>98</v>
      </c>
      <c r="E106" s="659">
        <f t="shared" si="24"/>
        <v>96</v>
      </c>
      <c r="F106" s="659">
        <f t="shared" si="24"/>
        <v>94</v>
      </c>
      <c r="G106" s="659">
        <f t="shared" si="24"/>
        <v>92</v>
      </c>
      <c r="H106" s="659">
        <f t="shared" si="24"/>
        <v>90</v>
      </c>
      <c r="I106" s="659">
        <f t="shared" si="24"/>
        <v>88</v>
      </c>
      <c r="J106" s="659">
        <f t="shared" si="24"/>
        <v>86</v>
      </c>
      <c r="K106" s="659">
        <f t="shared" si="24"/>
        <v>84</v>
      </c>
      <c r="L106" s="659">
        <f t="shared" si="24"/>
        <v>82</v>
      </c>
      <c r="M106" s="659">
        <f t="shared" si="24"/>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15"/>
      <c r="B107" s="653" t="s">
        <v>823</v>
      </c>
      <c r="C107" s="698" t="s">
        <v>824</v>
      </c>
      <c r="D107" s="698" t="s">
        <v>825</v>
      </c>
      <c r="E107" s="698"/>
      <c r="F107" s="698"/>
      <c r="G107" s="698"/>
      <c r="H107" s="698"/>
      <c r="I107" s="698"/>
      <c r="J107" s="698"/>
      <c r="K107" s="699"/>
      <c r="L107" s="700"/>
      <c r="M107" s="701"/>
      <c r="N107" s="2144"/>
      <c r="O107" s="2144"/>
      <c r="P107" s="2145"/>
      <c r="Q107" s="2138"/>
      <c r="R107" s="2125"/>
      <c r="S107" s="2125"/>
      <c r="T107" s="2125"/>
      <c r="U107" s="2125"/>
      <c r="V107" s="2125"/>
      <c r="W107" s="2125"/>
      <c r="X107" s="2125"/>
      <c r="Y107" s="2125"/>
      <c r="Z107" s="2125"/>
      <c r="AA107" s="2125"/>
      <c r="AB107" s="2125"/>
      <c r="AC107" s="2125"/>
    </row>
    <row r="108" spans="1:29" ht="15.75" thickBot="1">
      <c r="A108" s="649"/>
      <c r="B108" s="658"/>
      <c r="C108" s="659">
        <v>100</v>
      </c>
      <c r="D108" s="659">
        <f t="shared" ref="D108:M108" si="25">C108-$K35</f>
        <v>95</v>
      </c>
      <c r="E108" s="659">
        <f t="shared" si="25"/>
        <v>90</v>
      </c>
      <c r="F108" s="659">
        <f t="shared" si="25"/>
        <v>85</v>
      </c>
      <c r="G108" s="659">
        <f t="shared" si="25"/>
        <v>80</v>
      </c>
      <c r="H108" s="659">
        <f t="shared" si="25"/>
        <v>75</v>
      </c>
      <c r="I108" s="659">
        <f t="shared" si="25"/>
        <v>70</v>
      </c>
      <c r="J108" s="659">
        <f t="shared" si="25"/>
        <v>65</v>
      </c>
      <c r="K108" s="659">
        <f t="shared" si="25"/>
        <v>60</v>
      </c>
      <c r="L108" s="659">
        <f t="shared" si="25"/>
        <v>55</v>
      </c>
      <c r="M108" s="659">
        <f t="shared" si="25"/>
        <v>50</v>
      </c>
      <c r="N108" s="2146"/>
      <c r="O108" s="2146"/>
      <c r="P108" s="2145"/>
      <c r="Q108" s="2138"/>
      <c r="R108" s="2125"/>
      <c r="S108" s="2125"/>
      <c r="T108" s="2125"/>
      <c r="U108" s="2125"/>
      <c r="V108" s="2125"/>
      <c r="W108" s="2125"/>
      <c r="X108" s="2125"/>
      <c r="Y108" s="2125"/>
      <c r="Z108" s="2125"/>
      <c r="AA108" s="2125"/>
      <c r="AB108" s="2125"/>
      <c r="AC108" s="2125"/>
    </row>
    <row r="109" spans="1:29" ht="15" thickTop="1">
      <c r="A109" s="715"/>
      <c r="B109" s="653" t="s">
        <v>826</v>
      </c>
      <c r="C109" s="668" t="s">
        <v>827</v>
      </c>
      <c r="D109" s="668" t="s">
        <v>828</v>
      </c>
      <c r="E109" s="668" t="s">
        <v>829</v>
      </c>
      <c r="F109" s="698" t="s">
        <v>830</v>
      </c>
      <c r="G109" s="698"/>
      <c r="H109" s="698"/>
      <c r="I109" s="698"/>
      <c r="J109" s="698"/>
      <c r="K109" s="699"/>
      <c r="L109" s="700"/>
      <c r="M109" s="701"/>
      <c r="N109" s="2144"/>
      <c r="O109" s="2144"/>
      <c r="P109" s="2145"/>
      <c r="Q109" s="2138"/>
      <c r="R109" s="2125"/>
      <c r="S109" s="2125"/>
      <c r="T109" s="2125"/>
      <c r="U109" s="2125"/>
      <c r="V109" s="2125"/>
      <c r="W109" s="2125"/>
      <c r="X109" s="2125"/>
      <c r="Y109" s="2125"/>
      <c r="Z109" s="2125"/>
      <c r="AA109" s="2125"/>
      <c r="AB109" s="2125"/>
      <c r="AC109" s="2125"/>
    </row>
    <row r="110" spans="1:29" ht="15.75" thickBot="1">
      <c r="A110" s="649"/>
      <c r="B110" s="658"/>
      <c r="C110" s="659">
        <v>100</v>
      </c>
      <c r="D110" s="659">
        <f t="shared" ref="D110:M110" si="26">C110-$K36</f>
        <v>98</v>
      </c>
      <c r="E110" s="659">
        <f t="shared" si="26"/>
        <v>96</v>
      </c>
      <c r="F110" s="659">
        <f t="shared" si="26"/>
        <v>94</v>
      </c>
      <c r="G110" s="659">
        <f t="shared" si="26"/>
        <v>92</v>
      </c>
      <c r="H110" s="659">
        <f t="shared" si="26"/>
        <v>90</v>
      </c>
      <c r="I110" s="659">
        <f t="shared" si="26"/>
        <v>88</v>
      </c>
      <c r="J110" s="659">
        <f t="shared" si="26"/>
        <v>86</v>
      </c>
      <c r="K110" s="659">
        <f t="shared" si="26"/>
        <v>84</v>
      </c>
      <c r="L110" s="659">
        <f t="shared" si="26"/>
        <v>82</v>
      </c>
      <c r="M110" s="659">
        <f t="shared" si="26"/>
        <v>80</v>
      </c>
      <c r="N110" s="2146"/>
      <c r="O110" s="2146"/>
      <c r="P110" s="2145"/>
      <c r="Q110" s="2138"/>
      <c r="R110" s="2125"/>
      <c r="S110" s="2125"/>
      <c r="T110" s="2125"/>
      <c r="U110" s="2125"/>
      <c r="V110" s="2125"/>
      <c r="W110" s="2125"/>
      <c r="X110" s="2125"/>
      <c r="Y110" s="2125"/>
      <c r="Z110" s="2125"/>
      <c r="AA110" s="2125"/>
      <c r="AB110" s="2125"/>
      <c r="AC110" s="2125"/>
    </row>
    <row r="111" spans="1:29" s="1324" customFormat="1" ht="15" thickTop="1">
      <c r="A111" s="708"/>
      <c r="B111" s="653" t="s">
        <v>831</v>
      </c>
      <c r="C111" s="688" t="str">
        <f>C112&amp;"(含)"&amp;"-"&amp;D112</f>
        <v>0.5(含)-0.6</v>
      </c>
      <c r="D111" s="688" t="str">
        <f>D112&amp;"(含)"&amp;"-"&amp;E112</f>
        <v>0.6(含)-0.7</v>
      </c>
      <c r="E111" s="688" t="str">
        <f>E112&amp;"(含)"&amp;"-"&amp;F112</f>
        <v>0.7(含)-0.8</v>
      </c>
      <c r="F111" s="688" t="str">
        <f>F112&amp;"(含)"&amp;"-"&amp;G112</f>
        <v>0.8(含)-0.9</v>
      </c>
      <c r="G111" s="688" t="str">
        <f>G112&amp;"(含)"&amp;"-"&amp;ROUND(H112,0)</f>
        <v>0.9(含)-1</v>
      </c>
      <c r="H111" s="688" t="str">
        <f>ROUND(H112,0)&amp;"(含)"&amp;"-"&amp;I112</f>
        <v>1(含)-</v>
      </c>
      <c r="I111" s="688"/>
      <c r="J111" s="693"/>
      <c r="K111" s="693"/>
      <c r="L111" s="694"/>
      <c r="M111" s="695"/>
      <c r="N111" s="2147"/>
      <c r="O111" s="2147"/>
      <c r="P111" s="2148"/>
      <c r="Q111" s="2149"/>
      <c r="R111" s="2150"/>
      <c r="S111" s="2150"/>
      <c r="T111" s="2150"/>
      <c r="U111" s="2150"/>
      <c r="V111" s="2150"/>
      <c r="W111" s="2150"/>
      <c r="X111" s="2150"/>
      <c r="Y111" s="2150"/>
      <c r="Z111" s="2150"/>
      <c r="AA111" s="2150"/>
      <c r="AB111" s="2150"/>
      <c r="AC111" s="2150"/>
    </row>
    <row r="112" spans="1:29" s="1324" customFormat="1">
      <c r="A112" s="708"/>
      <c r="B112" s="661"/>
      <c r="C112" s="874">
        <v>0.5</v>
      </c>
      <c r="D112" s="874">
        <v>0.6</v>
      </c>
      <c r="E112" s="874">
        <v>0.7</v>
      </c>
      <c r="F112" s="874">
        <v>0.8</v>
      </c>
      <c r="G112" s="874">
        <v>0.9</v>
      </c>
      <c r="H112" s="874">
        <v>1.0001</v>
      </c>
      <c r="I112" s="874"/>
      <c r="J112" s="875"/>
      <c r="K112" s="875"/>
      <c r="L112" s="876"/>
      <c r="M112" s="877"/>
      <c r="N112" s="2147"/>
      <c r="O112" s="2147"/>
      <c r="P112" s="2148"/>
      <c r="Q112" s="2149"/>
      <c r="R112" s="2150"/>
      <c r="S112" s="2150"/>
      <c r="T112" s="2150"/>
      <c r="U112" s="2150"/>
      <c r="V112" s="2150"/>
      <c r="W112" s="2150"/>
      <c r="X112" s="2150"/>
      <c r="Y112" s="2150"/>
      <c r="Z112" s="2150"/>
      <c r="AA112" s="2150"/>
      <c r="AB112" s="2150"/>
      <c r="AC112" s="2150"/>
    </row>
    <row r="113" spans="1:29" s="1324" customFormat="1" ht="15.75" thickBot="1">
      <c r="A113" s="667"/>
      <c r="B113" s="658"/>
      <c r="C113" s="692">
        <v>100</v>
      </c>
      <c r="D113" s="659">
        <f>C113+$K37</f>
        <v>101</v>
      </c>
      <c r="E113" s="659">
        <f>D113+$K37</f>
        <v>102</v>
      </c>
      <c r="F113" s="659">
        <f>E113+$K37</f>
        <v>103</v>
      </c>
      <c r="G113" s="659">
        <f>F113+$K37</f>
        <v>104</v>
      </c>
      <c r="H113" s="659">
        <f>G113+$K37</f>
        <v>105</v>
      </c>
      <c r="I113" s="692"/>
      <c r="J113" s="696"/>
      <c r="K113" s="696"/>
      <c r="L113" s="696"/>
      <c r="M113" s="697"/>
      <c r="N113" s="2147"/>
      <c r="O113" s="2147"/>
      <c r="P113" s="2148"/>
      <c r="Q113" s="2149"/>
      <c r="R113" s="2150"/>
      <c r="S113" s="2150"/>
      <c r="T113" s="2150"/>
      <c r="U113" s="2150"/>
      <c r="V113" s="2150"/>
      <c r="W113" s="2150"/>
      <c r="X113" s="2150"/>
      <c r="Y113" s="2150"/>
      <c r="Z113" s="2150"/>
      <c r="AA113" s="2150"/>
      <c r="AB113" s="2150"/>
      <c r="AC113" s="2150"/>
    </row>
    <row r="114" spans="1:29" ht="15" thickTop="1">
      <c r="A114" s="715"/>
      <c r="B114" s="653" t="s">
        <v>832</v>
      </c>
      <c r="C114" s="668" t="s">
        <v>833</v>
      </c>
      <c r="D114" s="668" t="s">
        <v>834</v>
      </c>
      <c r="E114" s="698"/>
      <c r="F114" s="698"/>
      <c r="G114" s="698"/>
      <c r="H114" s="698"/>
      <c r="I114" s="698"/>
      <c r="J114" s="698"/>
      <c r="K114" s="699"/>
      <c r="L114" s="700"/>
      <c r="M114" s="701"/>
      <c r="N114" s="2144"/>
      <c r="O114" s="2144"/>
      <c r="P114" s="2145"/>
      <c r="Q114" s="2138"/>
      <c r="R114" s="2125"/>
      <c r="S114" s="2125"/>
      <c r="T114" s="2125"/>
      <c r="U114" s="2125"/>
      <c r="V114" s="2125"/>
      <c r="W114" s="2125"/>
      <c r="X114" s="2125"/>
      <c r="Y114" s="2125"/>
      <c r="Z114" s="2125"/>
      <c r="AA114" s="2125"/>
      <c r="AB114" s="2125"/>
      <c r="AC114" s="2125"/>
    </row>
    <row r="115" spans="1:29" ht="15.75" thickBot="1">
      <c r="A115" s="649"/>
      <c r="B115" s="658"/>
      <c r="C115" s="659">
        <v>100</v>
      </c>
      <c r="D115" s="659">
        <f t="shared" ref="D115:M115" si="27">C115-$K38</f>
        <v>97</v>
      </c>
      <c r="E115" s="659">
        <f t="shared" si="27"/>
        <v>94</v>
      </c>
      <c r="F115" s="659">
        <f t="shared" si="27"/>
        <v>91</v>
      </c>
      <c r="G115" s="659">
        <f t="shared" si="27"/>
        <v>88</v>
      </c>
      <c r="H115" s="659">
        <f t="shared" si="27"/>
        <v>85</v>
      </c>
      <c r="I115" s="659">
        <f t="shared" si="27"/>
        <v>82</v>
      </c>
      <c r="J115" s="659">
        <f t="shared" si="27"/>
        <v>79</v>
      </c>
      <c r="K115" s="659">
        <f t="shared" si="27"/>
        <v>76</v>
      </c>
      <c r="L115" s="659">
        <f t="shared" si="27"/>
        <v>73</v>
      </c>
      <c r="M115" s="659">
        <f t="shared" si="27"/>
        <v>70</v>
      </c>
      <c r="N115" s="2146"/>
      <c r="O115" s="2146"/>
      <c r="P115" s="2145"/>
      <c r="Q115" s="2138"/>
      <c r="R115" s="2125"/>
      <c r="S115" s="2125"/>
      <c r="T115" s="2125"/>
      <c r="U115" s="2125"/>
      <c r="V115" s="2125"/>
      <c r="W115" s="2125"/>
      <c r="X115" s="2125"/>
      <c r="Y115" s="2125"/>
      <c r="Z115" s="2125"/>
      <c r="AA115" s="2125"/>
      <c r="AB115" s="2125"/>
      <c r="AC115" s="2125"/>
    </row>
    <row r="116" spans="1:29" ht="15" thickTop="1">
      <c r="A116" s="715"/>
      <c r="B116" s="1871" t="s">
        <v>2825</v>
      </c>
      <c r="C116" s="668" t="s">
        <v>608</v>
      </c>
      <c r="D116" s="668" t="s">
        <v>609</v>
      </c>
      <c r="E116" s="668" t="s">
        <v>610</v>
      </c>
      <c r="F116" s="668" t="s">
        <v>611</v>
      </c>
      <c r="G116" s="668" t="s">
        <v>612</v>
      </c>
      <c r="H116" s="698"/>
      <c r="I116" s="698"/>
      <c r="J116" s="698"/>
      <c r="K116" s="699"/>
      <c r="L116" s="700"/>
      <c r="M116" s="701"/>
      <c r="N116" s="2144"/>
      <c r="O116" s="2144"/>
      <c r="P116" s="2145"/>
      <c r="Q116" s="2138"/>
      <c r="R116" s="2125"/>
      <c r="S116" s="2125"/>
      <c r="T116" s="2125"/>
      <c r="U116" s="2125"/>
      <c r="V116" s="2125"/>
      <c r="W116" s="2125"/>
      <c r="X116" s="2125"/>
      <c r="Y116" s="2125"/>
      <c r="Z116" s="2125"/>
      <c r="AA116" s="2125"/>
      <c r="AB116" s="2125"/>
      <c r="AC116" s="2125"/>
    </row>
    <row r="117" spans="1:29" ht="15.75" thickBot="1">
      <c r="A117" s="649"/>
      <c r="B117" s="658"/>
      <c r="C117" s="659">
        <v>100</v>
      </c>
      <c r="D117" s="659">
        <f>C117-$K39</f>
        <v>98</v>
      </c>
      <c r="E117" s="659">
        <f>D117-$K39</f>
        <v>96</v>
      </c>
      <c r="F117" s="659">
        <f>E117-$K39</f>
        <v>94</v>
      </c>
      <c r="G117" s="659">
        <f>F117-$K39</f>
        <v>92</v>
      </c>
      <c r="H117" s="659"/>
      <c r="I117" s="659"/>
      <c r="J117" s="659"/>
      <c r="K117" s="659"/>
      <c r="L117" s="659"/>
      <c r="M117" s="660"/>
      <c r="N117" s="2146"/>
      <c r="O117" s="2146"/>
      <c r="P117" s="2145"/>
      <c r="Q117" s="2138"/>
      <c r="R117" s="2125"/>
      <c r="S117" s="2125"/>
      <c r="T117" s="2125"/>
      <c r="U117" s="2125"/>
      <c r="V117" s="2125"/>
      <c r="W117" s="2125"/>
      <c r="X117" s="2125"/>
      <c r="Y117" s="2125"/>
      <c r="Z117" s="2125"/>
      <c r="AA117" s="2125"/>
      <c r="AB117" s="2125"/>
      <c r="AC117" s="2125"/>
    </row>
    <row r="118" spans="1:29" ht="15" thickTop="1">
      <c r="A118" s="715"/>
      <c r="B118" s="653" t="s">
        <v>835</v>
      </c>
      <c r="C118" s="698" t="s">
        <v>13</v>
      </c>
      <c r="D118" s="698" t="s">
        <v>836</v>
      </c>
      <c r="E118" s="698"/>
      <c r="F118" s="698"/>
      <c r="G118" s="698"/>
      <c r="H118" s="698"/>
      <c r="I118" s="698"/>
      <c r="J118" s="698"/>
      <c r="K118" s="699"/>
      <c r="L118" s="700"/>
      <c r="M118" s="701"/>
      <c r="N118" s="2144"/>
      <c r="O118" s="2144"/>
      <c r="P118" s="2145"/>
      <c r="Q118" s="2138"/>
      <c r="R118" s="2125"/>
      <c r="S118" s="2125"/>
      <c r="T118" s="2125"/>
      <c r="U118" s="2125"/>
      <c r="V118" s="2125"/>
      <c r="W118" s="2125"/>
      <c r="X118" s="2125"/>
      <c r="Y118" s="2125"/>
      <c r="Z118" s="2125"/>
      <c r="AA118" s="2125"/>
      <c r="AB118" s="2125"/>
      <c r="AC118" s="2125"/>
    </row>
    <row r="119" spans="1:29" ht="15.75" thickBot="1">
      <c r="A119" s="649"/>
      <c r="B119" s="658"/>
      <c r="C119" s="659">
        <v>100</v>
      </c>
      <c r="D119" s="659">
        <f t="shared" ref="D119:M119" si="28">C119-$K40</f>
        <v>95</v>
      </c>
      <c r="E119" s="659">
        <f t="shared" si="28"/>
        <v>90</v>
      </c>
      <c r="F119" s="659">
        <f t="shared" si="28"/>
        <v>85</v>
      </c>
      <c r="G119" s="659">
        <f t="shared" si="28"/>
        <v>80</v>
      </c>
      <c r="H119" s="659">
        <f t="shared" si="28"/>
        <v>75</v>
      </c>
      <c r="I119" s="659">
        <f t="shared" si="28"/>
        <v>70</v>
      </c>
      <c r="J119" s="659">
        <f t="shared" si="28"/>
        <v>65</v>
      </c>
      <c r="K119" s="659">
        <f t="shared" si="28"/>
        <v>60</v>
      </c>
      <c r="L119" s="659">
        <f t="shared" si="28"/>
        <v>55</v>
      </c>
      <c r="M119" s="659">
        <f t="shared" si="28"/>
        <v>50</v>
      </c>
      <c r="N119" s="2146"/>
      <c r="O119" s="2146"/>
      <c r="P119" s="2145"/>
      <c r="Q119" s="2138"/>
      <c r="R119" s="2125"/>
      <c r="S119" s="2125"/>
      <c r="T119" s="2125"/>
      <c r="U119" s="2125"/>
      <c r="V119" s="2125"/>
      <c r="W119" s="2125"/>
      <c r="X119" s="2125"/>
      <c r="Y119" s="2125"/>
      <c r="Z119" s="2125"/>
      <c r="AA119" s="2125"/>
      <c r="AB119" s="2125"/>
      <c r="AC119" s="2125"/>
    </row>
    <row r="120" spans="1:29" s="1324" customFormat="1" ht="28.5" thickTop="1">
      <c r="A120" s="708"/>
      <c r="B120" s="653" t="s">
        <v>784</v>
      </c>
      <c r="C120" s="668" t="s">
        <v>837</v>
      </c>
      <c r="D120" s="668" t="s">
        <v>838</v>
      </c>
      <c r="E120" s="668" t="s">
        <v>839</v>
      </c>
      <c r="F120" s="668" t="s">
        <v>840</v>
      </c>
      <c r="G120" s="668"/>
      <c r="H120" s="668"/>
      <c r="I120" s="668"/>
      <c r="J120" s="668"/>
      <c r="K120" s="668"/>
      <c r="L120" s="870"/>
      <c r="M120" s="871"/>
      <c r="N120" s="2147"/>
      <c r="O120" s="2147"/>
      <c r="P120" s="2148"/>
      <c r="Q120" s="2149"/>
      <c r="R120" s="2150"/>
      <c r="S120" s="2150"/>
      <c r="T120" s="2150"/>
      <c r="U120" s="2150"/>
      <c r="V120" s="2150"/>
      <c r="W120" s="2150"/>
      <c r="X120" s="2150"/>
      <c r="Y120" s="2150"/>
      <c r="Z120" s="2150"/>
      <c r="AA120" s="2150"/>
      <c r="AB120" s="2150"/>
      <c r="AC120" s="2150"/>
    </row>
    <row r="121" spans="1:29" s="1324" customFormat="1" ht="15.75" thickBot="1">
      <c r="A121" s="667"/>
      <c r="B121" s="650"/>
      <c r="C121" s="672">
        <v>100</v>
      </c>
      <c r="D121" s="651">
        <v>100</v>
      </c>
      <c r="E121" s="651">
        <v>99</v>
      </c>
      <c r="F121" s="651">
        <v>100</v>
      </c>
      <c r="G121" s="651"/>
      <c r="H121" s="651"/>
      <c r="I121" s="651"/>
      <c r="J121" s="651"/>
      <c r="K121" s="651"/>
      <c r="L121" s="651"/>
      <c r="M121" s="651"/>
      <c r="N121" s="2147"/>
      <c r="O121" s="2147"/>
      <c r="P121" s="2148"/>
      <c r="Q121" s="2149"/>
      <c r="R121" s="2150"/>
      <c r="S121" s="2150"/>
      <c r="T121" s="2150"/>
      <c r="U121" s="2150"/>
      <c r="V121" s="2150"/>
      <c r="W121" s="2150"/>
      <c r="X121" s="2150"/>
      <c r="Y121" s="2150"/>
      <c r="Z121" s="2150"/>
      <c r="AA121" s="2150"/>
      <c r="AB121" s="2150"/>
      <c r="AC121" s="2150"/>
    </row>
    <row r="122" spans="1:29" ht="15" thickTop="1">
      <c r="A122" s="715"/>
      <c r="B122" s="653" t="s">
        <v>841</v>
      </c>
      <c r="C122" s="668" t="s">
        <v>827</v>
      </c>
      <c r="D122" s="668" t="s">
        <v>828</v>
      </c>
      <c r="E122" s="668" t="s">
        <v>829</v>
      </c>
      <c r="F122" s="698" t="s">
        <v>830</v>
      </c>
      <c r="G122" s="698"/>
      <c r="H122" s="698"/>
      <c r="I122" s="698"/>
      <c r="J122" s="698"/>
      <c r="K122" s="699"/>
      <c r="L122" s="700"/>
      <c r="M122" s="701"/>
      <c r="N122" s="2144"/>
      <c r="O122" s="2144"/>
      <c r="P122" s="2145"/>
      <c r="Q122" s="2138"/>
      <c r="R122" s="2125"/>
      <c r="S122" s="2125"/>
      <c r="T122" s="2125"/>
      <c r="U122" s="2125"/>
      <c r="V122" s="2125"/>
      <c r="W122" s="2125"/>
      <c r="X122" s="2125"/>
      <c r="Y122" s="2125"/>
      <c r="Z122" s="2125"/>
      <c r="AA122" s="2125"/>
      <c r="AB122" s="2125"/>
      <c r="AC122" s="2125"/>
    </row>
    <row r="123" spans="1:29" ht="15.75" thickBot="1">
      <c r="A123" s="649"/>
      <c r="B123" s="658"/>
      <c r="C123" s="659">
        <v>100</v>
      </c>
      <c r="D123" s="659">
        <f t="shared" ref="D123:M123" si="29">C123-$K42</f>
        <v>98</v>
      </c>
      <c r="E123" s="659">
        <f t="shared" si="29"/>
        <v>96</v>
      </c>
      <c r="F123" s="659">
        <f t="shared" si="29"/>
        <v>94</v>
      </c>
      <c r="G123" s="659">
        <f t="shared" si="29"/>
        <v>92</v>
      </c>
      <c r="H123" s="659">
        <f t="shared" si="29"/>
        <v>90</v>
      </c>
      <c r="I123" s="659">
        <f t="shared" si="29"/>
        <v>88</v>
      </c>
      <c r="J123" s="659">
        <f t="shared" si="29"/>
        <v>86</v>
      </c>
      <c r="K123" s="659">
        <f t="shared" si="29"/>
        <v>84</v>
      </c>
      <c r="L123" s="659">
        <f t="shared" si="29"/>
        <v>82</v>
      </c>
      <c r="M123" s="659">
        <f t="shared" si="29"/>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15"/>
      <c r="B124" s="653" t="s">
        <v>842</v>
      </c>
      <c r="C124" s="688" t="s">
        <v>576</v>
      </c>
      <c r="D124" s="688" t="s">
        <v>577</v>
      </c>
      <c r="E124" s="688" t="s">
        <v>578</v>
      </c>
      <c r="F124" s="688" t="s">
        <v>579</v>
      </c>
      <c r="G124" s="688" t="s">
        <v>580</v>
      </c>
      <c r="H124" s="654"/>
      <c r="I124" s="654"/>
      <c r="J124" s="654"/>
      <c r="K124" s="655"/>
      <c r="L124" s="656"/>
      <c r="M124" s="657"/>
      <c r="N124" s="2144"/>
      <c r="O124" s="2144"/>
      <c r="P124" s="2148"/>
      <c r="Q124" s="2138"/>
      <c r="R124" s="2125"/>
      <c r="S124" s="2125"/>
      <c r="T124" s="2125"/>
      <c r="U124" s="2125"/>
      <c r="V124" s="2125"/>
      <c r="W124" s="2125"/>
      <c r="X124" s="2125"/>
      <c r="Y124" s="2125"/>
      <c r="Z124" s="2125"/>
      <c r="AA124" s="2125"/>
      <c r="AB124" s="2125"/>
      <c r="AC124" s="2125"/>
    </row>
    <row r="125" spans="1:29" ht="15.75" thickBot="1">
      <c r="A125" s="649"/>
      <c r="B125" s="658"/>
      <c r="C125" s="659">
        <v>100</v>
      </c>
      <c r="D125" s="659">
        <f>C125-$K43</f>
        <v>100</v>
      </c>
      <c r="E125" s="659">
        <f>D125-$K43</f>
        <v>100</v>
      </c>
      <c r="F125" s="659">
        <f>E125-$K43</f>
        <v>100</v>
      </c>
      <c r="G125" s="659">
        <f>F125-$K43</f>
        <v>100</v>
      </c>
      <c r="H125" s="659"/>
      <c r="I125" s="659"/>
      <c r="J125" s="659"/>
      <c r="K125" s="659"/>
      <c r="L125" s="659"/>
      <c r="M125" s="660"/>
      <c r="N125" s="2146"/>
      <c r="O125" s="2146"/>
      <c r="P125" s="2145"/>
      <c r="Q125" s="2138"/>
      <c r="R125" s="2125"/>
      <c r="S125" s="2125"/>
      <c r="T125" s="2125"/>
      <c r="U125" s="2125"/>
      <c r="V125" s="2125"/>
      <c r="W125" s="2125"/>
      <c r="X125" s="2125"/>
      <c r="Y125" s="2125"/>
      <c r="Z125" s="2125"/>
      <c r="AA125" s="2125"/>
      <c r="AB125" s="2125"/>
      <c r="AC125" s="2125"/>
    </row>
    <row r="126" spans="1:29" s="1324" customFormat="1" ht="15" thickTop="1">
      <c r="A126" s="708"/>
      <c r="B126" s="653">
        <f>B44</f>
        <v>111</v>
      </c>
      <c r="C126" s="668" t="s">
        <v>788</v>
      </c>
      <c r="D126" s="668" t="s">
        <v>789</v>
      </c>
      <c r="E126" s="668"/>
      <c r="F126" s="668"/>
      <c r="G126" s="668"/>
      <c r="H126" s="669"/>
      <c r="I126" s="669"/>
      <c r="J126" s="669"/>
      <c r="K126" s="669"/>
      <c r="L126" s="670"/>
      <c r="M126" s="671"/>
      <c r="N126" s="2147"/>
      <c r="O126" s="2147"/>
      <c r="P126" s="2148"/>
      <c r="Q126" s="2149"/>
      <c r="R126" s="2150"/>
      <c r="S126" s="2150"/>
      <c r="T126" s="2150"/>
      <c r="U126" s="2150"/>
      <c r="V126" s="2150"/>
      <c r="W126" s="2150"/>
      <c r="X126" s="2150"/>
      <c r="Y126" s="2150"/>
      <c r="Z126" s="2150"/>
      <c r="AA126" s="2150"/>
      <c r="AB126" s="2150"/>
      <c r="AC126" s="2150"/>
    </row>
    <row r="127" spans="1:29" s="1324" customFormat="1" ht="15.75" thickBot="1">
      <c r="A127" s="667"/>
      <c r="B127" s="658"/>
      <c r="C127" s="672">
        <v>100</v>
      </c>
      <c r="D127" s="651">
        <v>95</v>
      </c>
      <c r="E127" s="651">
        <v>98</v>
      </c>
      <c r="F127" s="651">
        <v>97</v>
      </c>
      <c r="G127" s="672"/>
      <c r="H127" s="673"/>
      <c r="I127" s="673"/>
      <c r="J127" s="673"/>
      <c r="K127" s="673"/>
      <c r="L127" s="673"/>
      <c r="M127" s="674"/>
      <c r="N127" s="2147"/>
      <c r="O127" s="2147"/>
      <c r="P127" s="2148"/>
      <c r="Q127" s="2149"/>
      <c r="R127" s="2150"/>
      <c r="S127" s="2150"/>
      <c r="T127" s="2150"/>
      <c r="U127" s="2150"/>
      <c r="V127" s="2150"/>
      <c r="W127" s="2150"/>
      <c r="X127" s="2150"/>
      <c r="Y127" s="2150"/>
      <c r="Z127" s="2150"/>
      <c r="AA127" s="2150"/>
      <c r="AB127" s="2150"/>
      <c r="AC127" s="2150"/>
    </row>
    <row r="128" spans="1:29" ht="15" thickTop="1">
      <c r="A128" s="715"/>
      <c r="B128" s="653">
        <f>B45</f>
        <v>111</v>
      </c>
      <c r="C128" s="668">
        <v>111</v>
      </c>
      <c r="D128" s="668">
        <v>222</v>
      </c>
      <c r="E128" s="668">
        <v>333</v>
      </c>
      <c r="F128" s="668">
        <v>444</v>
      </c>
      <c r="G128" s="698"/>
      <c r="H128" s="698"/>
      <c r="I128" s="698"/>
      <c r="J128" s="698"/>
      <c r="K128" s="699"/>
      <c r="L128" s="700"/>
      <c r="M128" s="701"/>
      <c r="N128" s="2144"/>
      <c r="O128" s="2144"/>
      <c r="P128" s="2145"/>
      <c r="Q128" s="2138"/>
      <c r="R128" s="2125"/>
      <c r="S128" s="2125"/>
      <c r="T128" s="2125"/>
      <c r="U128" s="2125"/>
      <c r="V128" s="2125"/>
      <c r="W128" s="2125"/>
      <c r="X128" s="2125"/>
      <c r="Y128" s="2125"/>
      <c r="Z128" s="2125"/>
      <c r="AA128" s="2125"/>
      <c r="AB128" s="2125"/>
      <c r="AC128" s="2125"/>
    </row>
    <row r="129" spans="1:29" ht="15.75" thickBot="1">
      <c r="A129" s="649"/>
      <c r="B129" s="658"/>
      <c r="C129" s="672">
        <v>100</v>
      </c>
      <c r="D129" s="672">
        <v>98</v>
      </c>
      <c r="E129" s="672">
        <v>96</v>
      </c>
      <c r="F129" s="672">
        <v>94</v>
      </c>
      <c r="G129" s="651"/>
      <c r="H129" s="651"/>
      <c r="I129" s="651"/>
      <c r="J129" s="651"/>
      <c r="K129" s="651"/>
      <c r="L129" s="651"/>
      <c r="M129" s="652"/>
      <c r="N129" s="2146"/>
      <c r="O129" s="2146"/>
      <c r="P129" s="2145"/>
      <c r="Q129" s="2138"/>
      <c r="R129" s="2125"/>
      <c r="S129" s="2125"/>
      <c r="T129" s="2125"/>
      <c r="U129" s="2125"/>
      <c r="V129" s="2125"/>
      <c r="W129" s="2125"/>
      <c r="X129" s="2125"/>
      <c r="Y129" s="2125"/>
      <c r="Z129" s="2125"/>
      <c r="AA129" s="2125"/>
      <c r="AB129" s="2125"/>
      <c r="AC129" s="2125"/>
    </row>
    <row r="130" spans="1:29" ht="15" thickTop="1">
      <c r="A130" s="715"/>
      <c r="B130" s="661">
        <f>B46</f>
        <v>111</v>
      </c>
      <c r="C130" s="668">
        <v>111</v>
      </c>
      <c r="D130" s="668">
        <v>222</v>
      </c>
      <c r="E130" s="668">
        <v>333</v>
      </c>
      <c r="F130" s="668">
        <v>444</v>
      </c>
      <c r="G130" s="702"/>
      <c r="H130" s="702"/>
      <c r="I130" s="702"/>
      <c r="J130" s="702"/>
      <c r="K130" s="641"/>
      <c r="L130" s="642"/>
      <c r="M130" s="705"/>
      <c r="N130" s="2144"/>
      <c r="O130" s="2144"/>
      <c r="P130" s="2145"/>
      <c r="Q130" s="2138"/>
      <c r="R130" s="2125"/>
      <c r="S130" s="2125"/>
      <c r="T130" s="2125"/>
      <c r="U130" s="2125"/>
      <c r="V130" s="2125"/>
      <c r="W130" s="2125"/>
      <c r="X130" s="2125"/>
      <c r="Y130" s="2125"/>
      <c r="Z130" s="2125"/>
      <c r="AA130" s="2125"/>
      <c r="AB130" s="2125"/>
      <c r="AC130" s="2125"/>
    </row>
    <row r="131" spans="1:29" ht="15.75" thickBot="1">
      <c r="A131" s="873"/>
      <c r="B131" s="679"/>
      <c r="C131" s="680">
        <v>100</v>
      </c>
      <c r="D131" s="680">
        <v>97</v>
      </c>
      <c r="E131" s="680">
        <v>94</v>
      </c>
      <c r="F131" s="680">
        <v>91</v>
      </c>
      <c r="G131" s="706"/>
      <c r="H131" s="706"/>
      <c r="I131" s="706"/>
      <c r="J131" s="706"/>
      <c r="K131" s="706"/>
      <c r="L131" s="706"/>
      <c r="M131" s="3170"/>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0" t="s">
        <v>2486</v>
      </c>
      <c r="C136" s="1891"/>
      <c r="D136" s="1891"/>
      <c r="E136" s="1891"/>
      <c r="F136" s="1891"/>
      <c r="G136" s="1891"/>
      <c r="H136" s="1891"/>
      <c r="I136" s="1891"/>
      <c r="J136" s="1891"/>
      <c r="K136" s="1892"/>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3" t="s">
        <v>2487</v>
      </c>
      <c r="C137" s="1894"/>
      <c r="D137" s="1894"/>
      <c r="E137" s="1894"/>
      <c r="F137" s="1894"/>
      <c r="G137" s="1895"/>
      <c r="H137" s="1896"/>
      <c r="I137" s="1897" t="s">
        <v>2488</v>
      </c>
      <c r="J137" s="1894"/>
      <c r="K137" s="1898"/>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899"/>
      <c r="C138" s="1900" t="s">
        <v>2489</v>
      </c>
      <c r="D138" s="1900" t="s">
        <v>2490</v>
      </c>
      <c r="E138" s="1901" t="s">
        <v>2491</v>
      </c>
      <c r="F138" s="1902" t="s">
        <v>2492</v>
      </c>
      <c r="G138" s="1900" t="s">
        <v>2490</v>
      </c>
      <c r="H138" s="1903" t="s">
        <v>2491</v>
      </c>
      <c r="I138" s="1904"/>
      <c r="J138" s="1900" t="s">
        <v>2495</v>
      </c>
      <c r="K138" s="1903" t="s">
        <v>2496</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2">
        <v>6</v>
      </c>
      <c r="C139" s="1873">
        <v>96</v>
      </c>
      <c r="D139" s="1905" t="s">
        <v>2497</v>
      </c>
      <c r="E139" s="1874">
        <v>100</v>
      </c>
      <c r="F139" s="1875">
        <v>102.5</v>
      </c>
      <c r="G139" s="1905" t="s">
        <v>2497</v>
      </c>
      <c r="H139" s="1876">
        <v>105</v>
      </c>
      <c r="I139" s="1906" t="s">
        <v>2499</v>
      </c>
      <c r="J139" s="1873">
        <v>20</v>
      </c>
      <c r="K139" s="1877">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78">
        <v>5</v>
      </c>
      <c r="C140" s="1879">
        <v>100</v>
      </c>
      <c r="D140" s="1907"/>
      <c r="E140" s="1880"/>
      <c r="F140" s="1881">
        <v>102</v>
      </c>
      <c r="G140" s="1907"/>
      <c r="H140" s="1882"/>
      <c r="I140" s="1908" t="s">
        <v>2500</v>
      </c>
      <c r="J140" s="826">
        <f>ROUNDUP((J139-1)/2,0)</f>
        <v>10</v>
      </c>
      <c r="K140" s="1883">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78">
        <v>4</v>
      </c>
      <c r="C141" s="1879">
        <v>102</v>
      </c>
      <c r="D141" s="1907"/>
      <c r="E141" s="1880"/>
      <c r="F141" s="1881">
        <v>101.5</v>
      </c>
      <c r="G141" s="1907"/>
      <c r="H141" s="1882"/>
      <c r="I141" s="1908" t="s">
        <v>2501</v>
      </c>
      <c r="J141" s="826">
        <v>1</v>
      </c>
      <c r="K141" s="1884">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78">
        <v>3</v>
      </c>
      <c r="C142" s="1879">
        <v>103</v>
      </c>
      <c r="D142" s="1907"/>
      <c r="E142" s="1880"/>
      <c r="F142" s="1881">
        <v>101</v>
      </c>
      <c r="G142" s="1907"/>
      <c r="H142" s="1882"/>
      <c r="I142" s="1908" t="s">
        <v>2502</v>
      </c>
      <c r="J142" s="826">
        <f>J139</f>
        <v>20</v>
      </c>
      <c r="K142" s="1885">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78">
        <v>2</v>
      </c>
      <c r="C143" s="1879">
        <v>100</v>
      </c>
      <c r="D143" s="1907"/>
      <c r="E143" s="1880"/>
      <c r="F143" s="1881">
        <v>100.5</v>
      </c>
      <c r="G143" s="1907"/>
      <c r="H143" s="1882"/>
      <c r="I143" s="1908" t="s">
        <v>2503</v>
      </c>
      <c r="J143" s="1879">
        <v>15</v>
      </c>
      <c r="K143" s="1884">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78">
        <v>1</v>
      </c>
      <c r="C144" s="1879">
        <v>98</v>
      </c>
      <c r="D144" s="1909" t="s">
        <v>2504</v>
      </c>
      <c r="E144" s="1880">
        <v>102</v>
      </c>
      <c r="F144" s="1886">
        <v>100</v>
      </c>
      <c r="G144" s="1909" t="s">
        <v>2504</v>
      </c>
      <c r="H144" s="1882">
        <v>105</v>
      </c>
      <c r="I144" s="1908" t="s">
        <v>2503</v>
      </c>
      <c r="J144" s="1879">
        <v>18</v>
      </c>
      <c r="K144" s="1884">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0" t="s">
        <v>2505</v>
      </c>
      <c r="C145" s="1887">
        <f>ROUND(MAX(C139:C144)/MIN(C139:C144)-1,3)</f>
        <v>7.2999999999999995E-2</v>
      </c>
      <c r="D145" s="1911"/>
      <c r="E145" s="1911"/>
      <c r="F145" s="1912" t="s">
        <v>2506</v>
      </c>
      <c r="G145" s="1913"/>
      <c r="H145" s="1914"/>
      <c r="I145" s="1915" t="s">
        <v>2503</v>
      </c>
      <c r="J145" s="1888">
        <v>8</v>
      </c>
      <c r="K145" s="1889">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4" t="s">
        <v>2515</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4" t="s">
        <v>2516</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4"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R25" sqref="R25"/>
    </sheetView>
  </sheetViews>
  <sheetFormatPr defaultRowHeight="12.75"/>
  <cols>
    <col min="1" max="1" width="11.5" style="1235" customWidth="1"/>
    <col min="2" max="2" width="9.25" style="1197" customWidth="1"/>
    <col min="3" max="3" width="5" style="1197" customWidth="1"/>
    <col min="4" max="4" width="9" style="1197"/>
    <col min="5" max="5" width="5" style="1197" customWidth="1"/>
    <col min="6" max="6" width="9" style="1197"/>
    <col min="7" max="7" width="5" style="1197" customWidth="1"/>
    <col min="8" max="8" width="9" style="1197"/>
    <col min="9" max="9" width="5" style="1197" customWidth="1"/>
    <col min="10" max="10" width="9" style="1197"/>
    <col min="11" max="11" width="5" style="1197" customWidth="1"/>
    <col min="12" max="12" width="9" style="1197"/>
    <col min="13" max="13" width="5" style="1197" customWidth="1"/>
    <col min="14" max="14" width="9" style="1197"/>
    <col min="15" max="15" width="5" style="1197" customWidth="1"/>
    <col min="16" max="16" width="9" style="1197"/>
    <col min="17" max="17" width="5" style="1197" customWidth="1"/>
    <col min="18" max="18" width="9" style="1597"/>
    <col min="19" max="19" width="9" style="1235"/>
    <col min="20" max="35" width="9" style="234"/>
    <col min="36" max="16384" width="9" style="1235"/>
  </cols>
  <sheetData>
    <row r="1" spans="1:45" s="234" customFormat="1" ht="14.25" customHeight="1" thickBot="1">
      <c r="A1" s="345"/>
      <c r="B1" s="2214" t="s">
        <v>2532</v>
      </c>
      <c r="C1" s="3520" t="s">
        <v>2533</v>
      </c>
      <c r="D1" s="3521"/>
      <c r="E1" s="3521"/>
      <c r="F1" s="3521"/>
      <c r="G1" s="3521"/>
      <c r="H1" s="3521"/>
      <c r="I1" s="3521"/>
      <c r="J1" s="3521"/>
      <c r="K1" s="3521"/>
      <c r="L1" s="3521"/>
      <c r="M1" s="3521"/>
      <c r="N1" s="3521"/>
      <c r="O1" s="3521"/>
      <c r="P1" s="3521"/>
      <c r="Q1" s="3521"/>
      <c r="R1" s="3521"/>
      <c r="S1" s="3522"/>
      <c r="T1" s="2214" t="s">
        <v>2534</v>
      </c>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row>
    <row r="2" spans="1:45" s="1946" customFormat="1" ht="38.25">
      <c r="A2" s="2215"/>
      <c r="B2" s="928" t="s">
        <v>2535</v>
      </c>
      <c r="C2" s="929" t="str">
        <f t="shared" ref="C2:R2" si="0">C3&amp;"(含)"&amp;"-"&amp;D3</f>
        <v>0(含)-100</v>
      </c>
      <c r="D2" s="930" t="str">
        <f t="shared" si="0"/>
        <v>100(含)-300</v>
      </c>
      <c r="E2" s="930" t="str">
        <f t="shared" si="0"/>
        <v>300(含)-500</v>
      </c>
      <c r="F2" s="930" t="str">
        <f t="shared" si="0"/>
        <v>500(含)-800</v>
      </c>
      <c r="G2" s="930" t="str">
        <f t="shared" si="0"/>
        <v>800(含)-1000</v>
      </c>
      <c r="H2" s="930" t="str">
        <f t="shared" si="0"/>
        <v>1000(含)-</v>
      </c>
      <c r="I2" s="930" t="str">
        <f t="shared" si="0"/>
        <v>(含)-</v>
      </c>
      <c r="J2" s="930" t="str">
        <f t="shared" si="0"/>
        <v>(含)-</v>
      </c>
      <c r="K2" s="930" t="str">
        <f t="shared" si="0"/>
        <v>(含)-</v>
      </c>
      <c r="L2" s="930" t="str">
        <f t="shared" si="0"/>
        <v>(含)-</v>
      </c>
      <c r="M2" s="930" t="str">
        <f t="shared" si="0"/>
        <v>(含)-</v>
      </c>
      <c r="N2" s="930" t="str">
        <f t="shared" si="0"/>
        <v>(含)-</v>
      </c>
      <c r="O2" s="930" t="str">
        <f t="shared" si="0"/>
        <v>(含)-</v>
      </c>
      <c r="P2" s="930" t="str">
        <f t="shared" si="0"/>
        <v>(含)-</v>
      </c>
      <c r="Q2" s="930" t="str">
        <f t="shared" si="0"/>
        <v>(含)-</v>
      </c>
      <c r="R2" s="930" t="str">
        <f t="shared" si="0"/>
        <v>(含)-</v>
      </c>
      <c r="S2" s="2216" t="str">
        <f>S3&amp;"(含)"&amp;"-"</f>
        <v>(含)-</v>
      </c>
      <c r="T2" s="931"/>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47" customFormat="1">
      <c r="A3" s="2218"/>
      <c r="B3" s="932"/>
      <c r="C3" s="933">
        <v>0</v>
      </c>
      <c r="D3" s="934">
        <v>100</v>
      </c>
      <c r="E3" s="934">
        <v>300</v>
      </c>
      <c r="F3" s="934">
        <v>500</v>
      </c>
      <c r="G3" s="934">
        <v>800</v>
      </c>
      <c r="H3" s="934">
        <v>1000</v>
      </c>
      <c r="I3" s="934"/>
      <c r="J3" s="935"/>
      <c r="K3" s="935"/>
      <c r="L3" s="936"/>
      <c r="M3" s="2219"/>
      <c r="N3" s="2220"/>
      <c r="O3" s="934"/>
      <c r="P3" s="934"/>
      <c r="Q3" s="934"/>
      <c r="R3" s="934"/>
      <c r="S3" s="2221"/>
      <c r="T3" s="937"/>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47" customFormat="1" ht="13.5" thickBot="1">
      <c r="A4" s="2223"/>
      <c r="B4" s="2224"/>
      <c r="C4" s="2225">
        <v>100</v>
      </c>
      <c r="D4" s="2226">
        <v>102</v>
      </c>
      <c r="E4" s="2226">
        <v>104</v>
      </c>
      <c r="F4" s="2226">
        <v>106</v>
      </c>
      <c r="G4" s="2226">
        <v>108</v>
      </c>
      <c r="H4" s="2226">
        <v>110</v>
      </c>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48" customFormat="1" ht="14.25">
      <c r="A5" s="2231"/>
      <c r="B5" s="3199" t="s">
        <v>3339</v>
      </c>
      <c r="C5" s="3192" t="s">
        <v>3316</v>
      </c>
      <c r="D5" s="3192" t="s">
        <v>3243</v>
      </c>
      <c r="E5" s="3192" t="s">
        <v>3324</v>
      </c>
      <c r="F5" s="3193" t="s">
        <v>3325</v>
      </c>
      <c r="G5" s="2234"/>
      <c r="H5" s="2234"/>
      <c r="I5" s="2234"/>
      <c r="J5" s="2234"/>
      <c r="K5" s="2234"/>
      <c r="L5" s="2235"/>
      <c r="M5" s="2236"/>
      <c r="N5" s="2236"/>
      <c r="O5" s="2234"/>
      <c r="P5" s="2234"/>
      <c r="Q5" s="2234"/>
      <c r="R5" s="2234"/>
      <c r="S5" s="2237"/>
      <c r="T5" s="2238">
        <f>'不动产比较法-住宅'!K32</f>
        <v>5</v>
      </c>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48" customFormat="1" ht="13.5" thickBot="1">
      <c r="A6" s="2231"/>
      <c r="B6" s="1940"/>
      <c r="C6" s="1944">
        <v>100</v>
      </c>
      <c r="D6" s="1945">
        <f>C6-$T5</f>
        <v>95</v>
      </c>
      <c r="E6" s="1945">
        <f t="shared" ref="E6:S6" si="1">D6-$T5</f>
        <v>90</v>
      </c>
      <c r="F6" s="1945">
        <f t="shared" si="1"/>
        <v>85</v>
      </c>
      <c r="G6" s="1945">
        <f t="shared" si="1"/>
        <v>80</v>
      </c>
      <c r="H6" s="1945">
        <f t="shared" si="1"/>
        <v>75</v>
      </c>
      <c r="I6" s="1945">
        <f t="shared" si="1"/>
        <v>70</v>
      </c>
      <c r="J6" s="1945">
        <f t="shared" si="1"/>
        <v>65</v>
      </c>
      <c r="K6" s="1945">
        <f t="shared" si="1"/>
        <v>60</v>
      </c>
      <c r="L6" s="1945">
        <f t="shared" si="1"/>
        <v>55</v>
      </c>
      <c r="M6" s="1945">
        <f t="shared" si="1"/>
        <v>50</v>
      </c>
      <c r="N6" s="1945">
        <f t="shared" si="1"/>
        <v>45</v>
      </c>
      <c r="O6" s="1945">
        <f t="shared" si="1"/>
        <v>40</v>
      </c>
      <c r="P6" s="1945">
        <f t="shared" si="1"/>
        <v>35</v>
      </c>
      <c r="Q6" s="1945">
        <f t="shared" si="1"/>
        <v>30</v>
      </c>
      <c r="R6" s="1945">
        <f t="shared" si="1"/>
        <v>25</v>
      </c>
      <c r="S6" s="1945">
        <f t="shared" si="1"/>
        <v>20</v>
      </c>
      <c r="T6" s="1943"/>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48" customFormat="1" ht="14.25" thickTop="1">
      <c r="A7" s="2231"/>
      <c r="B7" s="3200" t="s">
        <v>3340</v>
      </c>
      <c r="C7" s="3195" t="s">
        <v>3332</v>
      </c>
      <c r="D7" s="698" t="s">
        <v>836</v>
      </c>
      <c r="E7" s="1938"/>
      <c r="F7" s="1938"/>
      <c r="G7" s="1938"/>
      <c r="H7" s="1938"/>
      <c r="I7" s="1938"/>
      <c r="J7" s="1938"/>
      <c r="K7" s="1938"/>
      <c r="L7" s="1938"/>
      <c r="M7" s="2240"/>
      <c r="N7" s="2241"/>
      <c r="O7" s="2242"/>
      <c r="P7" s="2243"/>
      <c r="Q7" s="2244"/>
      <c r="R7" s="2245"/>
      <c r="S7" s="2246"/>
      <c r="T7" s="938">
        <f>'不动产比较法-住宅'!K40</f>
        <v>12</v>
      </c>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48" customFormat="1" ht="13.5" thickBot="1">
      <c r="A8" s="2231"/>
      <c r="B8" s="1940"/>
      <c r="C8" s="1944">
        <v>100</v>
      </c>
      <c r="D8" s="1945">
        <f>C8-$T7</f>
        <v>88</v>
      </c>
      <c r="E8" s="1945">
        <f t="shared" ref="E8:S8" si="2">D8-$T7</f>
        <v>76</v>
      </c>
      <c r="F8" s="1945">
        <f t="shared" si="2"/>
        <v>64</v>
      </c>
      <c r="G8" s="1945">
        <f t="shared" si="2"/>
        <v>52</v>
      </c>
      <c r="H8" s="1945">
        <f t="shared" si="2"/>
        <v>40</v>
      </c>
      <c r="I8" s="1945">
        <f t="shared" si="2"/>
        <v>28</v>
      </c>
      <c r="J8" s="1945">
        <f t="shared" si="2"/>
        <v>16</v>
      </c>
      <c r="K8" s="1945">
        <f t="shared" si="2"/>
        <v>4</v>
      </c>
      <c r="L8" s="1945">
        <f t="shared" si="2"/>
        <v>-8</v>
      </c>
      <c r="M8" s="1945">
        <f t="shared" si="2"/>
        <v>-20</v>
      </c>
      <c r="N8" s="1945">
        <f t="shared" si="2"/>
        <v>-32</v>
      </c>
      <c r="O8" s="1945">
        <f t="shared" si="2"/>
        <v>-44</v>
      </c>
      <c r="P8" s="1945">
        <f t="shared" si="2"/>
        <v>-56</v>
      </c>
      <c r="Q8" s="1945">
        <f t="shared" si="2"/>
        <v>-68</v>
      </c>
      <c r="R8" s="1945">
        <f t="shared" si="2"/>
        <v>-80</v>
      </c>
      <c r="S8" s="1945">
        <f t="shared" si="2"/>
        <v>-92</v>
      </c>
      <c r="T8" s="1943"/>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48" customFormat="1" ht="27.75" thickTop="1">
      <c r="A9" s="2231"/>
      <c r="B9" s="3200" t="s">
        <v>3341</v>
      </c>
      <c r="C9" s="668" t="s">
        <v>827</v>
      </c>
      <c r="D9" s="668" t="s">
        <v>828</v>
      </c>
      <c r="E9" s="668" t="s">
        <v>829</v>
      </c>
      <c r="F9" s="698" t="s">
        <v>830</v>
      </c>
      <c r="G9" s="1938"/>
      <c r="H9" s="1938"/>
      <c r="I9" s="1938"/>
      <c r="J9" s="1938"/>
      <c r="K9" s="1938"/>
      <c r="L9" s="1939"/>
      <c r="M9" s="2240"/>
      <c r="N9" s="2241"/>
      <c r="O9" s="2242"/>
      <c r="P9" s="2243"/>
      <c r="Q9" s="2244"/>
      <c r="R9" s="2245"/>
      <c r="S9" s="2246"/>
      <c r="T9" s="938">
        <f>'不动产比较法-住宅'!K42</f>
        <v>2</v>
      </c>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48" customFormat="1" ht="13.5" thickBot="1">
      <c r="A10" s="2231"/>
      <c r="B10" s="2224"/>
      <c r="C10" s="2247">
        <v>100</v>
      </c>
      <c r="D10" s="2248">
        <f>C10-$T9</f>
        <v>98</v>
      </c>
      <c r="E10" s="2248">
        <f t="shared" ref="E10:S10" si="3">D10-$T9</f>
        <v>96</v>
      </c>
      <c r="F10" s="2248">
        <f t="shared" si="3"/>
        <v>94</v>
      </c>
      <c r="G10" s="2248">
        <f t="shared" si="3"/>
        <v>92</v>
      </c>
      <c r="H10" s="2248">
        <f t="shared" si="3"/>
        <v>90</v>
      </c>
      <c r="I10" s="2248">
        <f t="shared" si="3"/>
        <v>88</v>
      </c>
      <c r="J10" s="2248">
        <f t="shared" si="3"/>
        <v>86</v>
      </c>
      <c r="K10" s="2248">
        <f t="shared" si="3"/>
        <v>84</v>
      </c>
      <c r="L10" s="2248">
        <f t="shared" si="3"/>
        <v>82</v>
      </c>
      <c r="M10" s="2248">
        <f t="shared" si="3"/>
        <v>80</v>
      </c>
      <c r="N10" s="2248">
        <f t="shared" si="3"/>
        <v>78</v>
      </c>
      <c r="O10" s="2248">
        <f t="shared" si="3"/>
        <v>76</v>
      </c>
      <c r="P10" s="2248">
        <f t="shared" si="3"/>
        <v>74</v>
      </c>
      <c r="Q10" s="2248">
        <f t="shared" si="3"/>
        <v>72</v>
      </c>
      <c r="R10" s="2248">
        <f t="shared" si="3"/>
        <v>70</v>
      </c>
      <c r="S10" s="2248">
        <f t="shared" si="3"/>
        <v>68</v>
      </c>
      <c r="T10" s="2230"/>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48" customFormat="1">
      <c r="A11" s="2231"/>
      <c r="B11" s="2232" t="s">
        <v>2537</v>
      </c>
      <c r="C11" s="2233">
        <v>411</v>
      </c>
      <c r="D11" s="2234">
        <v>412</v>
      </c>
      <c r="E11" s="2234">
        <v>413</v>
      </c>
      <c r="F11" s="2234">
        <v>414</v>
      </c>
      <c r="G11" s="2234">
        <v>415</v>
      </c>
      <c r="H11" s="2234"/>
      <c r="I11" s="2234"/>
      <c r="J11" s="2234"/>
      <c r="K11" s="2234"/>
      <c r="L11" s="2234"/>
      <c r="M11" s="2236"/>
      <c r="N11" s="2249"/>
      <c r="O11" s="2250"/>
      <c r="P11" s="2251"/>
      <c r="Q11" s="2252"/>
      <c r="R11" s="2253"/>
      <c r="S11" s="2254"/>
      <c r="T11" s="2238">
        <v>0.5</v>
      </c>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48" customFormat="1" ht="13.5" thickBot="1">
      <c r="A12" s="2231"/>
      <c r="B12" s="1940"/>
      <c r="C12" s="1944">
        <v>100</v>
      </c>
      <c r="D12" s="1945">
        <f>C12-$T11</f>
        <v>99.5</v>
      </c>
      <c r="E12" s="1945">
        <f t="shared" ref="E12:S12" si="4">D12-$T11</f>
        <v>99</v>
      </c>
      <c r="F12" s="1945">
        <f t="shared" si="4"/>
        <v>98.5</v>
      </c>
      <c r="G12" s="1945">
        <f t="shared" si="4"/>
        <v>98</v>
      </c>
      <c r="H12" s="1945">
        <f t="shared" si="4"/>
        <v>97.5</v>
      </c>
      <c r="I12" s="1945">
        <f t="shared" si="4"/>
        <v>97</v>
      </c>
      <c r="J12" s="1945">
        <f t="shared" si="4"/>
        <v>96.5</v>
      </c>
      <c r="K12" s="1945">
        <f t="shared" si="4"/>
        <v>96</v>
      </c>
      <c r="L12" s="1945">
        <f t="shared" si="4"/>
        <v>95.5</v>
      </c>
      <c r="M12" s="1945">
        <f t="shared" si="4"/>
        <v>95</v>
      </c>
      <c r="N12" s="1945">
        <f t="shared" si="4"/>
        <v>94.5</v>
      </c>
      <c r="O12" s="1945">
        <f t="shared" si="4"/>
        <v>94</v>
      </c>
      <c r="P12" s="1945">
        <f t="shared" si="4"/>
        <v>93.5</v>
      </c>
      <c r="Q12" s="1945">
        <f t="shared" si="4"/>
        <v>93</v>
      </c>
      <c r="R12" s="1945">
        <f t="shared" si="4"/>
        <v>92.5</v>
      </c>
      <c r="S12" s="1945">
        <f t="shared" si="4"/>
        <v>92</v>
      </c>
      <c r="T12" s="1943"/>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48" customFormat="1">
      <c r="A13" s="2231"/>
      <c r="B13" s="2232" t="s">
        <v>2538</v>
      </c>
      <c r="C13" s="2233">
        <v>611</v>
      </c>
      <c r="D13" s="2234">
        <v>612</v>
      </c>
      <c r="E13" s="2234">
        <v>613</v>
      </c>
      <c r="F13" s="2234">
        <v>614</v>
      </c>
      <c r="G13" s="2234">
        <v>615</v>
      </c>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48" customFormat="1" ht="13.5" thickBot="1">
      <c r="A14" s="2231"/>
      <c r="B14" s="1940"/>
      <c r="C14" s="1941"/>
      <c r="D14" s="1942"/>
      <c r="E14" s="1942"/>
      <c r="F14" s="1942"/>
      <c r="G14" s="1942"/>
      <c r="H14" s="1942"/>
      <c r="I14" s="1942"/>
      <c r="J14" s="1942"/>
      <c r="K14" s="1942"/>
      <c r="L14" s="1942"/>
      <c r="M14" s="2256"/>
      <c r="N14" s="2256"/>
      <c r="O14" s="1942"/>
      <c r="P14" s="1942"/>
      <c r="Q14" s="1942"/>
      <c r="R14" s="1942"/>
      <c r="S14" s="2257"/>
      <c r="T14" s="1943"/>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48" customFormat="1">
      <c r="A15" s="2231"/>
      <c r="B15" s="2232" t="s">
        <v>2539</v>
      </c>
      <c r="C15" s="2233">
        <v>711</v>
      </c>
      <c r="D15" s="2234">
        <v>712</v>
      </c>
      <c r="E15" s="2234">
        <v>713</v>
      </c>
      <c r="F15" s="2234">
        <v>714</v>
      </c>
      <c r="G15" s="2234">
        <v>715</v>
      </c>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48"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46" customFormat="1">
      <c r="A17" s="2258" t="s">
        <v>2540</v>
      </c>
      <c r="B17" s="2259" t="s">
        <v>2541</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7"/>
      <c r="AS17" s="2217"/>
    </row>
    <row r="18" spans="1:45" s="1946"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7"/>
      <c r="AS18" s="2217"/>
    </row>
    <row r="19" spans="1:45">
      <c r="A19" s="291"/>
      <c r="B19" s="927"/>
      <c r="C19" s="1966"/>
      <c r="D19" s="1966"/>
      <c r="E19" s="1966"/>
      <c r="F19" s="1966"/>
      <c r="G19" s="1966"/>
      <c r="H19" s="1966"/>
      <c r="I19" s="1966"/>
      <c r="J19" s="1966"/>
      <c r="K19" s="1966"/>
      <c r="L19" s="1966"/>
      <c r="M19" s="1966"/>
      <c r="N19" s="1966"/>
      <c r="O19" s="1966"/>
      <c r="P19" s="1966"/>
      <c r="Q19" s="1966"/>
      <c r="R19" s="2205"/>
      <c r="S19" s="2004"/>
    </row>
    <row r="20" spans="1:45" ht="15.75">
      <c r="A20" s="939" t="s">
        <v>1017</v>
      </c>
      <c r="B20" s="755">
        <f>S22</f>
        <v>780097</v>
      </c>
      <c r="C20" s="1966"/>
      <c r="D20" s="1966"/>
      <c r="E20" s="1966"/>
      <c r="F20" s="1966"/>
      <c r="G20" s="1966"/>
      <c r="H20" s="1966"/>
      <c r="I20" s="1966"/>
      <c r="J20" s="1966"/>
      <c r="K20" s="1966"/>
      <c r="L20" s="1966"/>
      <c r="M20" s="1966"/>
      <c r="N20" s="1966"/>
      <c r="O20" s="1966"/>
      <c r="P20" s="1966"/>
      <c r="Q20" s="1966"/>
      <c r="R20" s="2205"/>
      <c r="S20" s="2004"/>
    </row>
    <row r="21" spans="1:45" ht="15.75">
      <c r="A21" s="939" t="s">
        <v>1018</v>
      </c>
      <c r="B21" s="755">
        <f>R22</f>
        <v>54859</v>
      </c>
      <c r="C21" s="1966"/>
      <c r="D21" s="1966"/>
      <c r="E21" s="1966"/>
      <c r="F21" s="1966"/>
      <c r="G21" s="1966"/>
      <c r="H21" s="1966"/>
      <c r="I21" s="1966"/>
      <c r="J21" s="1966"/>
      <c r="K21" s="1966"/>
      <c r="L21" s="1966"/>
      <c r="M21" s="1966"/>
      <c r="N21" s="1966"/>
      <c r="O21" s="1966"/>
      <c r="P21" s="1966"/>
      <c r="Q21" s="1966"/>
      <c r="R21" s="2205"/>
      <c r="S21" s="2004"/>
    </row>
    <row r="22" spans="1:45">
      <c r="A22" s="779" t="s">
        <v>1019</v>
      </c>
      <c r="B22" s="52">
        <f>SUM(B24:B10000)</f>
        <v>142200.38</v>
      </c>
      <c r="C22" s="3523" t="s">
        <v>32</v>
      </c>
      <c r="D22" s="3524"/>
      <c r="E22" s="3524"/>
      <c r="F22" s="3524"/>
      <c r="G22" s="3524"/>
      <c r="H22" s="3524"/>
      <c r="I22" s="3524"/>
      <c r="J22" s="3524"/>
      <c r="K22" s="3524"/>
      <c r="L22" s="3524"/>
      <c r="M22" s="3524"/>
      <c r="N22" s="3524"/>
      <c r="O22" s="3524"/>
      <c r="P22" s="3524"/>
      <c r="Q22" s="3525"/>
      <c r="R22" s="470">
        <f>ROUND(S22*10000/B22,0)</f>
        <v>54859</v>
      </c>
      <c r="S22" s="52">
        <f>SUM(S24:S10000)</f>
        <v>780097</v>
      </c>
    </row>
    <row r="23" spans="1:45" s="1595" customFormat="1" ht="24">
      <c r="A23" s="17" t="s">
        <v>1020</v>
      </c>
      <c r="B23" s="17" t="s">
        <v>1021</v>
      </c>
      <c r="C23" s="17" t="s">
        <v>1022</v>
      </c>
      <c r="D23" s="17" t="str">
        <f>B5</f>
        <v>类型</v>
      </c>
      <c r="E23" s="17" t="s">
        <v>1022</v>
      </c>
      <c r="F23" s="17" t="str">
        <f>B7</f>
        <v>户型</v>
      </c>
      <c r="G23" s="17" t="s">
        <v>1022</v>
      </c>
      <c r="H23" s="17" t="str">
        <f>B9</f>
        <v>内部装修</v>
      </c>
      <c r="I23" s="17" t="s">
        <v>1022</v>
      </c>
      <c r="J23" s="17" t="str">
        <f>B11</f>
        <v>修正项5</v>
      </c>
      <c r="K23" s="17" t="s">
        <v>1022</v>
      </c>
      <c r="L23" s="17" t="str">
        <f>B13</f>
        <v>修正项6</v>
      </c>
      <c r="M23" s="17" t="s">
        <v>1022</v>
      </c>
      <c r="N23" s="17" t="str">
        <f>B15</f>
        <v>修正项7</v>
      </c>
      <c r="O23" s="17" t="s">
        <v>1022</v>
      </c>
      <c r="P23" s="17" t="str">
        <f>B17</f>
        <v>楼层</v>
      </c>
      <c r="Q23" s="17" t="s">
        <v>1022</v>
      </c>
      <c r="R23" s="471" t="s">
        <v>1023</v>
      </c>
      <c r="S23" s="17" t="s">
        <v>1024</v>
      </c>
      <c r="T23" s="18"/>
      <c r="U23" s="18"/>
      <c r="V23" s="18"/>
      <c r="W23" s="18"/>
      <c r="X23" s="18"/>
      <c r="Y23" s="18"/>
      <c r="Z23" s="18"/>
      <c r="AA23" s="18"/>
      <c r="AB23" s="18"/>
      <c r="AC23" s="18"/>
      <c r="AD23" s="18"/>
      <c r="AE23" s="18"/>
      <c r="AF23" s="18"/>
      <c r="AG23" s="18"/>
      <c r="AH23" s="18"/>
      <c r="AI23" s="18"/>
    </row>
    <row r="24" spans="1:45" s="1596" customFormat="1">
      <c r="A24" s="3197" t="s">
        <v>3337</v>
      </c>
      <c r="B24" s="940">
        <f>'数据-汇总表'!F20</f>
        <v>46878.32</v>
      </c>
      <c r="C24" s="941">
        <v>1</v>
      </c>
      <c r="D24" s="942" t="s">
        <v>3316</v>
      </c>
      <c r="E24" s="941">
        <v>1</v>
      </c>
      <c r="F24" s="942" t="s">
        <v>3317</v>
      </c>
      <c r="G24" s="941">
        <v>1</v>
      </c>
      <c r="H24" s="942" t="s">
        <v>3318</v>
      </c>
      <c r="I24" s="941">
        <v>1</v>
      </c>
      <c r="J24" s="942"/>
      <c r="K24" s="941">
        <v>1</v>
      </c>
      <c r="L24" s="942"/>
      <c r="M24" s="941">
        <v>1</v>
      </c>
      <c r="N24" s="942"/>
      <c r="O24" s="941">
        <v>1</v>
      </c>
      <c r="P24" s="942"/>
      <c r="Q24" s="941">
        <v>1</v>
      </c>
      <c r="R24" s="943">
        <f>'不动产比较法-住宅'!B3</f>
        <v>63747</v>
      </c>
      <c r="S24" s="941">
        <f t="shared" ref="S24:S87" si="5">ROUND(R24*B24/10000,0)</f>
        <v>298835</v>
      </c>
      <c r="T24" s="1949"/>
      <c r="U24" s="1949"/>
      <c r="V24" s="1949"/>
      <c r="W24" s="1949"/>
      <c r="X24" s="1949"/>
      <c r="Y24" s="1949"/>
      <c r="Z24" s="1949"/>
      <c r="AA24" s="1949"/>
      <c r="AB24" s="1949"/>
      <c r="AC24" s="1949"/>
      <c r="AD24" s="1949"/>
      <c r="AE24" s="1949"/>
      <c r="AF24" s="1949"/>
      <c r="AG24" s="1949"/>
      <c r="AH24" s="1949"/>
      <c r="AI24" s="1949"/>
    </row>
    <row r="25" spans="1:45">
      <c r="A25" s="3198" t="s">
        <v>3338</v>
      </c>
      <c r="B25" s="131">
        <f>'数据-汇总表'!F19</f>
        <v>95322.06</v>
      </c>
      <c r="C25" s="52">
        <f>IF(B25="",1,(LOOKUP(B25,$3:$3,$4:$4)-LOOKUP($B$24,$3:$3,$4:$4)+100)/100)</f>
        <v>1</v>
      </c>
      <c r="D25" s="942" t="s">
        <v>3324</v>
      </c>
      <c r="E25" s="52">
        <f>(SUMIF($5:$5,D25,$6:$6)-SUMIF($5:$5,$D$24,$6:$6)+100)/100</f>
        <v>0.9</v>
      </c>
      <c r="F25" s="942" t="s">
        <v>3326</v>
      </c>
      <c r="G25" s="52">
        <f>(SUMIF($7:$7,F25,$8:$8)-SUMIF($7:$7,$F$24,$8:$8)+100)/100</f>
        <v>0.88</v>
      </c>
      <c r="H25" s="942" t="s">
        <v>3318</v>
      </c>
      <c r="I25" s="52">
        <f>(SUMIF($9:$9,H25,$10:$10)-SUMIF($9:$9,$H$24,$10:$10)+100)/100</f>
        <v>1</v>
      </c>
      <c r="J25" s="942"/>
      <c r="K25" s="52">
        <f>(SUMIF($11:$11,J25,$12:$12)-SUMIF($11:$11,$J$24,$12:$12)+100)/100</f>
        <v>1</v>
      </c>
      <c r="L25" s="942"/>
      <c r="M25" s="52">
        <f>(SUMIF($13:$13,L25,$14:$14)-SUMIF($13:$13,$L$24,$14:$14)+100)/100</f>
        <v>1</v>
      </c>
      <c r="N25" s="942"/>
      <c r="O25" s="52">
        <f>(SUMIF($15:$15,N25,$16:$16)-SUMIF($15:$15,$N$24,$16:$16)+100)/100</f>
        <v>1</v>
      </c>
      <c r="P25" s="942"/>
      <c r="Q25" s="52">
        <f>(SUMIF($17:$17,P25,$18:$18)-SUMIF($17:$17,$P$24,$18:$18)+100)/100</f>
        <v>1</v>
      </c>
      <c r="R25" s="470">
        <f>IF(B25="",0,ROUND($R$24*C25*E25*G25*I25*K25*M25*O25*Q25,0))</f>
        <v>50488</v>
      </c>
      <c r="S25" s="779">
        <f t="shared" si="5"/>
        <v>481262</v>
      </c>
    </row>
    <row r="26" spans="1:45">
      <c r="A26" s="944"/>
      <c r="B26" s="131"/>
      <c r="C26" s="52">
        <f t="shared" ref="C26:C89" si="6">IF(B26="",1,(LOOKUP(B26,$3:$3,$4:$4)-LOOKUP($B$24,$3:$3,$4:$4)+100)/100)</f>
        <v>1</v>
      </c>
      <c r="D26" s="942"/>
      <c r="E26" s="52">
        <f t="shared" ref="E26:E89" si="7">(SUMIF($5:$5,D26,$6:$6)-SUMIF($5:$5,$D$24,$6:$6)+100)/100</f>
        <v>0</v>
      </c>
      <c r="F26" s="942"/>
      <c r="G26" s="52">
        <f t="shared" ref="G26:G89" si="8">(SUMIF($7:$7,F26,$8:$8)-SUMIF($7:$7,$F$24,$8:$8)+100)/100</f>
        <v>0</v>
      </c>
      <c r="H26" s="942"/>
      <c r="I26" s="52">
        <f t="shared" ref="I26:I89" si="9">(SUMIF($9:$9,H26,$10:$10)-SUMIF($9:$9,$H$24,$10:$10)+100)/100</f>
        <v>0</v>
      </c>
      <c r="J26" s="942"/>
      <c r="K26" s="52">
        <f t="shared" ref="K26:K89" si="10">(SUMIF($11:$11,J26,$12:$12)-SUMIF($11:$11,$J$24,$12:$12)+100)/100</f>
        <v>1</v>
      </c>
      <c r="L26" s="942"/>
      <c r="M26" s="52">
        <f t="shared" ref="M26:M89" si="11">(SUMIF($13:$13,L26,$14:$14)-SUMIF($13:$13,$L$24,$14:$14)+100)/100</f>
        <v>1</v>
      </c>
      <c r="N26" s="942"/>
      <c r="O26" s="52">
        <f t="shared" ref="O26:O89" si="12">(SUMIF($15:$15,N26,$16:$16)-SUMIF($15:$15,$N$24,$16:$16)+100)/100</f>
        <v>1</v>
      </c>
      <c r="P26" s="942"/>
      <c r="Q26" s="52">
        <f t="shared" ref="Q26:Q89" si="13">(SUMIF($17:$17,P26,$18:$18)-SUMIF($17:$17,$P$24,$18:$18)+100)/100</f>
        <v>1</v>
      </c>
      <c r="R26" s="470">
        <f t="shared" ref="R26:R89" si="14">IF(B26="",0,ROUND($R$24*C26*E26*G26*I26*K26*M26*O26*Q26,0))</f>
        <v>0</v>
      </c>
      <c r="S26" s="779">
        <f t="shared" si="5"/>
        <v>0</v>
      </c>
    </row>
    <row r="27" spans="1:45">
      <c r="A27" s="944"/>
      <c r="B27" s="131"/>
      <c r="C27" s="52">
        <f t="shared" si="6"/>
        <v>1</v>
      </c>
      <c r="D27" s="942"/>
      <c r="E27" s="52">
        <f t="shared" si="7"/>
        <v>0</v>
      </c>
      <c r="F27" s="942"/>
      <c r="G27" s="52">
        <f t="shared" si="8"/>
        <v>0</v>
      </c>
      <c r="H27" s="942"/>
      <c r="I27" s="52">
        <f t="shared" si="9"/>
        <v>0</v>
      </c>
      <c r="J27" s="942"/>
      <c r="K27" s="52">
        <f t="shared" si="10"/>
        <v>1</v>
      </c>
      <c r="L27" s="942"/>
      <c r="M27" s="52">
        <f t="shared" si="11"/>
        <v>1</v>
      </c>
      <c r="N27" s="942"/>
      <c r="O27" s="52">
        <f t="shared" si="12"/>
        <v>1</v>
      </c>
      <c r="P27" s="942"/>
      <c r="Q27" s="52">
        <f t="shared" si="13"/>
        <v>1</v>
      </c>
      <c r="R27" s="470">
        <f t="shared" si="14"/>
        <v>0</v>
      </c>
      <c r="S27" s="779">
        <f t="shared" si="5"/>
        <v>0</v>
      </c>
    </row>
    <row r="28" spans="1:45">
      <c r="A28" s="944"/>
      <c r="B28" s="131"/>
      <c r="C28" s="52">
        <f t="shared" si="6"/>
        <v>1</v>
      </c>
      <c r="D28" s="942"/>
      <c r="E28" s="52">
        <f t="shared" si="7"/>
        <v>0</v>
      </c>
      <c r="F28" s="942"/>
      <c r="G28" s="52">
        <f t="shared" si="8"/>
        <v>0</v>
      </c>
      <c r="H28" s="942"/>
      <c r="I28" s="52">
        <f t="shared" si="9"/>
        <v>0</v>
      </c>
      <c r="J28" s="942"/>
      <c r="K28" s="52">
        <f t="shared" si="10"/>
        <v>1</v>
      </c>
      <c r="L28" s="942"/>
      <c r="M28" s="52">
        <f t="shared" si="11"/>
        <v>1</v>
      </c>
      <c r="N28" s="942"/>
      <c r="O28" s="52">
        <f t="shared" si="12"/>
        <v>1</v>
      </c>
      <c r="P28" s="942"/>
      <c r="Q28" s="52">
        <f t="shared" si="13"/>
        <v>1</v>
      </c>
      <c r="R28" s="470">
        <f t="shared" si="14"/>
        <v>0</v>
      </c>
      <c r="S28" s="779">
        <f t="shared" si="5"/>
        <v>0</v>
      </c>
    </row>
    <row r="29" spans="1:45">
      <c r="A29" s="944"/>
      <c r="B29" s="131"/>
      <c r="C29" s="52">
        <f t="shared" si="6"/>
        <v>1</v>
      </c>
      <c r="D29" s="942"/>
      <c r="E29" s="52">
        <f t="shared" si="7"/>
        <v>0</v>
      </c>
      <c r="F29" s="942"/>
      <c r="G29" s="52">
        <f t="shared" si="8"/>
        <v>0</v>
      </c>
      <c r="H29" s="942"/>
      <c r="I29" s="52">
        <f t="shared" si="9"/>
        <v>0</v>
      </c>
      <c r="J29" s="942"/>
      <c r="K29" s="52">
        <f t="shared" si="10"/>
        <v>1</v>
      </c>
      <c r="L29" s="942"/>
      <c r="M29" s="52">
        <f t="shared" si="11"/>
        <v>1</v>
      </c>
      <c r="N29" s="942"/>
      <c r="O29" s="52">
        <f t="shared" si="12"/>
        <v>1</v>
      </c>
      <c r="P29" s="942"/>
      <c r="Q29" s="52">
        <f t="shared" si="13"/>
        <v>1</v>
      </c>
      <c r="R29" s="470">
        <f t="shared" si="14"/>
        <v>0</v>
      </c>
      <c r="S29" s="779">
        <f t="shared" si="5"/>
        <v>0</v>
      </c>
    </row>
    <row r="30" spans="1:45">
      <c r="A30" s="944"/>
      <c r="B30" s="131"/>
      <c r="C30" s="52">
        <f t="shared" si="6"/>
        <v>1</v>
      </c>
      <c r="D30" s="942"/>
      <c r="E30" s="52">
        <f t="shared" si="7"/>
        <v>0</v>
      </c>
      <c r="F30" s="942"/>
      <c r="G30" s="52">
        <f t="shared" si="8"/>
        <v>0</v>
      </c>
      <c r="H30" s="942"/>
      <c r="I30" s="52">
        <f t="shared" si="9"/>
        <v>0</v>
      </c>
      <c r="J30" s="942"/>
      <c r="K30" s="52">
        <f t="shared" si="10"/>
        <v>1</v>
      </c>
      <c r="L30" s="942"/>
      <c r="M30" s="52">
        <f t="shared" si="11"/>
        <v>1</v>
      </c>
      <c r="N30" s="942"/>
      <c r="O30" s="52">
        <f t="shared" si="12"/>
        <v>1</v>
      </c>
      <c r="P30" s="942"/>
      <c r="Q30" s="52">
        <f t="shared" si="13"/>
        <v>1</v>
      </c>
      <c r="R30" s="470">
        <f t="shared" si="14"/>
        <v>0</v>
      </c>
      <c r="S30" s="779">
        <f t="shared" si="5"/>
        <v>0</v>
      </c>
    </row>
    <row r="31" spans="1:45">
      <c r="A31" s="944"/>
      <c r="B31" s="131"/>
      <c r="C31" s="52">
        <f t="shared" si="6"/>
        <v>1</v>
      </c>
      <c r="D31" s="942"/>
      <c r="E31" s="52">
        <f t="shared" si="7"/>
        <v>0</v>
      </c>
      <c r="F31" s="942"/>
      <c r="G31" s="52">
        <f t="shared" si="8"/>
        <v>0</v>
      </c>
      <c r="H31" s="942"/>
      <c r="I31" s="52">
        <f t="shared" si="9"/>
        <v>0</v>
      </c>
      <c r="J31" s="942"/>
      <c r="K31" s="52">
        <f t="shared" si="10"/>
        <v>1</v>
      </c>
      <c r="L31" s="942"/>
      <c r="M31" s="52">
        <f t="shared" si="11"/>
        <v>1</v>
      </c>
      <c r="N31" s="942"/>
      <c r="O31" s="52">
        <f t="shared" si="12"/>
        <v>1</v>
      </c>
      <c r="P31" s="942"/>
      <c r="Q31" s="52">
        <f t="shared" si="13"/>
        <v>1</v>
      </c>
      <c r="R31" s="470">
        <f t="shared" si="14"/>
        <v>0</v>
      </c>
      <c r="S31" s="779">
        <f t="shared" si="5"/>
        <v>0</v>
      </c>
    </row>
    <row r="32" spans="1:45">
      <c r="A32" s="944"/>
      <c r="B32" s="131"/>
      <c r="C32" s="52">
        <f t="shared" si="6"/>
        <v>1</v>
      </c>
      <c r="D32" s="942"/>
      <c r="E32" s="52">
        <f t="shared" si="7"/>
        <v>0</v>
      </c>
      <c r="F32" s="942"/>
      <c r="G32" s="52">
        <f t="shared" si="8"/>
        <v>0</v>
      </c>
      <c r="H32" s="942"/>
      <c r="I32" s="52">
        <f t="shared" si="9"/>
        <v>0</v>
      </c>
      <c r="J32" s="942"/>
      <c r="K32" s="52">
        <f t="shared" si="10"/>
        <v>1</v>
      </c>
      <c r="L32" s="942"/>
      <c r="M32" s="52">
        <f t="shared" si="11"/>
        <v>1</v>
      </c>
      <c r="N32" s="942"/>
      <c r="O32" s="52">
        <f t="shared" si="12"/>
        <v>1</v>
      </c>
      <c r="P32" s="942"/>
      <c r="Q32" s="52">
        <f t="shared" si="13"/>
        <v>1</v>
      </c>
      <c r="R32" s="470">
        <f t="shared" si="14"/>
        <v>0</v>
      </c>
      <c r="S32" s="779">
        <f t="shared" si="5"/>
        <v>0</v>
      </c>
    </row>
    <row r="33" spans="1:19">
      <c r="A33" s="944"/>
      <c r="B33" s="131"/>
      <c r="C33" s="52">
        <f t="shared" si="6"/>
        <v>1</v>
      </c>
      <c r="D33" s="942"/>
      <c r="E33" s="52">
        <f t="shared" si="7"/>
        <v>0</v>
      </c>
      <c r="F33" s="942"/>
      <c r="G33" s="52">
        <f t="shared" si="8"/>
        <v>0</v>
      </c>
      <c r="H33" s="942"/>
      <c r="I33" s="52">
        <f t="shared" si="9"/>
        <v>0</v>
      </c>
      <c r="J33" s="942"/>
      <c r="K33" s="52">
        <f t="shared" si="10"/>
        <v>1</v>
      </c>
      <c r="L33" s="942"/>
      <c r="M33" s="52">
        <f t="shared" si="11"/>
        <v>1</v>
      </c>
      <c r="N33" s="942"/>
      <c r="O33" s="52">
        <f t="shared" si="12"/>
        <v>1</v>
      </c>
      <c r="P33" s="942"/>
      <c r="Q33" s="52">
        <f t="shared" si="13"/>
        <v>1</v>
      </c>
      <c r="R33" s="470">
        <f t="shared" si="14"/>
        <v>0</v>
      </c>
      <c r="S33" s="779">
        <f t="shared" si="5"/>
        <v>0</v>
      </c>
    </row>
    <row r="34" spans="1:19">
      <c r="A34" s="944"/>
      <c r="B34" s="131"/>
      <c r="C34" s="52">
        <f t="shared" si="6"/>
        <v>1</v>
      </c>
      <c r="D34" s="942"/>
      <c r="E34" s="52">
        <f t="shared" si="7"/>
        <v>0</v>
      </c>
      <c r="F34" s="942"/>
      <c r="G34" s="52">
        <f t="shared" si="8"/>
        <v>0</v>
      </c>
      <c r="H34" s="942"/>
      <c r="I34" s="52">
        <f t="shared" si="9"/>
        <v>0</v>
      </c>
      <c r="J34" s="942"/>
      <c r="K34" s="52">
        <f t="shared" si="10"/>
        <v>1</v>
      </c>
      <c r="L34" s="942"/>
      <c r="M34" s="52">
        <f t="shared" si="11"/>
        <v>1</v>
      </c>
      <c r="N34" s="942"/>
      <c r="O34" s="52">
        <f t="shared" si="12"/>
        <v>1</v>
      </c>
      <c r="P34" s="942"/>
      <c r="Q34" s="52">
        <f t="shared" si="13"/>
        <v>1</v>
      </c>
      <c r="R34" s="470">
        <f t="shared" si="14"/>
        <v>0</v>
      </c>
      <c r="S34" s="779">
        <f t="shared" si="5"/>
        <v>0</v>
      </c>
    </row>
    <row r="35" spans="1:19">
      <c r="A35" s="944"/>
      <c r="B35" s="131"/>
      <c r="C35" s="52">
        <f t="shared" si="6"/>
        <v>1</v>
      </c>
      <c r="D35" s="942"/>
      <c r="E35" s="52">
        <f t="shared" si="7"/>
        <v>0</v>
      </c>
      <c r="F35" s="942"/>
      <c r="G35" s="52">
        <f t="shared" si="8"/>
        <v>0</v>
      </c>
      <c r="H35" s="942"/>
      <c r="I35" s="52">
        <f t="shared" si="9"/>
        <v>0</v>
      </c>
      <c r="J35" s="942"/>
      <c r="K35" s="52">
        <f t="shared" si="10"/>
        <v>1</v>
      </c>
      <c r="L35" s="942"/>
      <c r="M35" s="52">
        <f t="shared" si="11"/>
        <v>1</v>
      </c>
      <c r="N35" s="942"/>
      <c r="O35" s="52">
        <f t="shared" si="12"/>
        <v>1</v>
      </c>
      <c r="P35" s="942"/>
      <c r="Q35" s="52">
        <f t="shared" si="13"/>
        <v>1</v>
      </c>
      <c r="R35" s="470">
        <f t="shared" si="14"/>
        <v>0</v>
      </c>
      <c r="S35" s="779">
        <f t="shared" si="5"/>
        <v>0</v>
      </c>
    </row>
    <row r="36" spans="1:19">
      <c r="A36" s="944"/>
      <c r="B36" s="131"/>
      <c r="C36" s="52">
        <f t="shared" si="6"/>
        <v>1</v>
      </c>
      <c r="D36" s="942"/>
      <c r="E36" s="52">
        <f t="shared" si="7"/>
        <v>0</v>
      </c>
      <c r="F36" s="942"/>
      <c r="G36" s="52">
        <f t="shared" si="8"/>
        <v>0</v>
      </c>
      <c r="H36" s="942"/>
      <c r="I36" s="52">
        <f t="shared" si="9"/>
        <v>0</v>
      </c>
      <c r="J36" s="942"/>
      <c r="K36" s="52">
        <f t="shared" si="10"/>
        <v>1</v>
      </c>
      <c r="L36" s="942"/>
      <c r="M36" s="52">
        <f t="shared" si="11"/>
        <v>1</v>
      </c>
      <c r="N36" s="942"/>
      <c r="O36" s="52">
        <f t="shared" si="12"/>
        <v>1</v>
      </c>
      <c r="P36" s="942"/>
      <c r="Q36" s="52">
        <f t="shared" si="13"/>
        <v>1</v>
      </c>
      <c r="R36" s="470">
        <f t="shared" si="14"/>
        <v>0</v>
      </c>
      <c r="S36" s="779">
        <f t="shared" si="5"/>
        <v>0</v>
      </c>
    </row>
    <row r="37" spans="1:19">
      <c r="A37" s="944"/>
      <c r="B37" s="131"/>
      <c r="C37" s="52">
        <f t="shared" si="6"/>
        <v>1</v>
      </c>
      <c r="D37" s="942"/>
      <c r="E37" s="52">
        <f t="shared" si="7"/>
        <v>0</v>
      </c>
      <c r="F37" s="942"/>
      <c r="G37" s="52">
        <f t="shared" si="8"/>
        <v>0</v>
      </c>
      <c r="H37" s="942"/>
      <c r="I37" s="52">
        <f t="shared" si="9"/>
        <v>0</v>
      </c>
      <c r="J37" s="942"/>
      <c r="K37" s="52">
        <f t="shared" si="10"/>
        <v>1</v>
      </c>
      <c r="L37" s="942"/>
      <c r="M37" s="52">
        <f t="shared" si="11"/>
        <v>1</v>
      </c>
      <c r="N37" s="942"/>
      <c r="O37" s="52">
        <f t="shared" si="12"/>
        <v>1</v>
      </c>
      <c r="P37" s="942"/>
      <c r="Q37" s="52">
        <f t="shared" si="13"/>
        <v>1</v>
      </c>
      <c r="R37" s="470">
        <f t="shared" si="14"/>
        <v>0</v>
      </c>
      <c r="S37" s="779">
        <f t="shared" si="5"/>
        <v>0</v>
      </c>
    </row>
    <row r="38" spans="1:19">
      <c r="A38" s="944"/>
      <c r="B38" s="131"/>
      <c r="C38" s="52">
        <f t="shared" si="6"/>
        <v>1</v>
      </c>
      <c r="D38" s="942"/>
      <c r="E38" s="52">
        <f t="shared" si="7"/>
        <v>0</v>
      </c>
      <c r="F38" s="942"/>
      <c r="G38" s="52">
        <f t="shared" si="8"/>
        <v>0</v>
      </c>
      <c r="H38" s="942"/>
      <c r="I38" s="52">
        <f t="shared" si="9"/>
        <v>0</v>
      </c>
      <c r="J38" s="942"/>
      <c r="K38" s="52">
        <f t="shared" si="10"/>
        <v>1</v>
      </c>
      <c r="L38" s="942"/>
      <c r="M38" s="52">
        <f t="shared" si="11"/>
        <v>1</v>
      </c>
      <c r="N38" s="942"/>
      <c r="O38" s="52">
        <f t="shared" si="12"/>
        <v>1</v>
      </c>
      <c r="P38" s="942"/>
      <c r="Q38" s="52">
        <f t="shared" si="13"/>
        <v>1</v>
      </c>
      <c r="R38" s="470">
        <f t="shared" si="14"/>
        <v>0</v>
      </c>
      <c r="S38" s="779">
        <f t="shared" si="5"/>
        <v>0</v>
      </c>
    </row>
    <row r="39" spans="1:19">
      <c r="A39" s="944"/>
      <c r="B39" s="131"/>
      <c r="C39" s="52">
        <f t="shared" si="6"/>
        <v>1</v>
      </c>
      <c r="D39" s="942"/>
      <c r="E39" s="52">
        <f t="shared" si="7"/>
        <v>0</v>
      </c>
      <c r="F39" s="942"/>
      <c r="G39" s="52">
        <f t="shared" si="8"/>
        <v>0</v>
      </c>
      <c r="H39" s="942"/>
      <c r="I39" s="52">
        <f t="shared" si="9"/>
        <v>0</v>
      </c>
      <c r="J39" s="942"/>
      <c r="K39" s="52">
        <f t="shared" si="10"/>
        <v>1</v>
      </c>
      <c r="L39" s="942"/>
      <c r="M39" s="52">
        <f t="shared" si="11"/>
        <v>1</v>
      </c>
      <c r="N39" s="942"/>
      <c r="O39" s="52">
        <f t="shared" si="12"/>
        <v>1</v>
      </c>
      <c r="P39" s="942"/>
      <c r="Q39" s="52">
        <f t="shared" si="13"/>
        <v>1</v>
      </c>
      <c r="R39" s="470">
        <f t="shared" si="14"/>
        <v>0</v>
      </c>
      <c r="S39" s="779">
        <f t="shared" si="5"/>
        <v>0</v>
      </c>
    </row>
    <row r="40" spans="1:19">
      <c r="A40" s="944"/>
      <c r="B40" s="131"/>
      <c r="C40" s="52">
        <f t="shared" si="6"/>
        <v>1</v>
      </c>
      <c r="D40" s="942"/>
      <c r="E40" s="52">
        <f t="shared" si="7"/>
        <v>0</v>
      </c>
      <c r="F40" s="942"/>
      <c r="G40" s="52">
        <f t="shared" si="8"/>
        <v>0</v>
      </c>
      <c r="H40" s="942"/>
      <c r="I40" s="52">
        <f t="shared" si="9"/>
        <v>0</v>
      </c>
      <c r="J40" s="942"/>
      <c r="K40" s="52">
        <f t="shared" si="10"/>
        <v>1</v>
      </c>
      <c r="L40" s="942"/>
      <c r="M40" s="52">
        <f t="shared" si="11"/>
        <v>1</v>
      </c>
      <c r="N40" s="942"/>
      <c r="O40" s="52">
        <f t="shared" si="12"/>
        <v>1</v>
      </c>
      <c r="P40" s="942"/>
      <c r="Q40" s="52">
        <f t="shared" si="13"/>
        <v>1</v>
      </c>
      <c r="R40" s="470">
        <f t="shared" si="14"/>
        <v>0</v>
      </c>
      <c r="S40" s="779">
        <f t="shared" si="5"/>
        <v>0</v>
      </c>
    </row>
    <row r="41" spans="1:19">
      <c r="A41" s="944"/>
      <c r="B41" s="131"/>
      <c r="C41" s="52">
        <f t="shared" si="6"/>
        <v>1</v>
      </c>
      <c r="D41" s="942"/>
      <c r="E41" s="52">
        <f t="shared" si="7"/>
        <v>0</v>
      </c>
      <c r="F41" s="942"/>
      <c r="G41" s="52">
        <f t="shared" si="8"/>
        <v>0</v>
      </c>
      <c r="H41" s="942"/>
      <c r="I41" s="52">
        <f t="shared" si="9"/>
        <v>0</v>
      </c>
      <c r="J41" s="942"/>
      <c r="K41" s="52">
        <f t="shared" si="10"/>
        <v>1</v>
      </c>
      <c r="L41" s="942"/>
      <c r="M41" s="52">
        <f t="shared" si="11"/>
        <v>1</v>
      </c>
      <c r="N41" s="942"/>
      <c r="O41" s="52">
        <f t="shared" si="12"/>
        <v>1</v>
      </c>
      <c r="P41" s="942"/>
      <c r="Q41" s="52">
        <f t="shared" si="13"/>
        <v>1</v>
      </c>
      <c r="R41" s="470">
        <f t="shared" si="14"/>
        <v>0</v>
      </c>
      <c r="S41" s="779">
        <f t="shared" si="5"/>
        <v>0</v>
      </c>
    </row>
    <row r="42" spans="1:19">
      <c r="A42" s="944"/>
      <c r="B42" s="131"/>
      <c r="C42" s="52">
        <f t="shared" si="6"/>
        <v>1</v>
      </c>
      <c r="D42" s="942"/>
      <c r="E42" s="52">
        <f t="shared" si="7"/>
        <v>0</v>
      </c>
      <c r="F42" s="942"/>
      <c r="G42" s="52">
        <f t="shared" si="8"/>
        <v>0</v>
      </c>
      <c r="H42" s="942"/>
      <c r="I42" s="52">
        <f t="shared" si="9"/>
        <v>0</v>
      </c>
      <c r="J42" s="942"/>
      <c r="K42" s="52">
        <f t="shared" si="10"/>
        <v>1</v>
      </c>
      <c r="L42" s="942"/>
      <c r="M42" s="52">
        <f t="shared" si="11"/>
        <v>1</v>
      </c>
      <c r="N42" s="942"/>
      <c r="O42" s="52">
        <f t="shared" si="12"/>
        <v>1</v>
      </c>
      <c r="P42" s="942"/>
      <c r="Q42" s="52">
        <f t="shared" si="13"/>
        <v>1</v>
      </c>
      <c r="R42" s="470">
        <f t="shared" si="14"/>
        <v>0</v>
      </c>
      <c r="S42" s="779">
        <f t="shared" si="5"/>
        <v>0</v>
      </c>
    </row>
    <row r="43" spans="1:19">
      <c r="A43" s="944"/>
      <c r="B43" s="131"/>
      <c r="C43" s="52">
        <f t="shared" si="6"/>
        <v>1</v>
      </c>
      <c r="D43" s="942"/>
      <c r="E43" s="52">
        <f t="shared" si="7"/>
        <v>0</v>
      </c>
      <c r="F43" s="942"/>
      <c r="G43" s="52">
        <f t="shared" si="8"/>
        <v>0</v>
      </c>
      <c r="H43" s="942"/>
      <c r="I43" s="52">
        <f t="shared" si="9"/>
        <v>0</v>
      </c>
      <c r="J43" s="942"/>
      <c r="K43" s="52">
        <f t="shared" si="10"/>
        <v>1</v>
      </c>
      <c r="L43" s="942"/>
      <c r="M43" s="52">
        <f t="shared" si="11"/>
        <v>1</v>
      </c>
      <c r="N43" s="942"/>
      <c r="O43" s="52">
        <f t="shared" si="12"/>
        <v>1</v>
      </c>
      <c r="P43" s="942"/>
      <c r="Q43" s="52">
        <f t="shared" si="13"/>
        <v>1</v>
      </c>
      <c r="R43" s="470">
        <f t="shared" si="14"/>
        <v>0</v>
      </c>
      <c r="S43" s="779">
        <f t="shared" si="5"/>
        <v>0</v>
      </c>
    </row>
    <row r="44" spans="1:19">
      <c r="A44" s="944"/>
      <c r="B44" s="131"/>
      <c r="C44" s="52">
        <f t="shared" si="6"/>
        <v>1</v>
      </c>
      <c r="D44" s="942"/>
      <c r="E44" s="52">
        <f t="shared" si="7"/>
        <v>0</v>
      </c>
      <c r="F44" s="942"/>
      <c r="G44" s="52">
        <f t="shared" si="8"/>
        <v>0</v>
      </c>
      <c r="H44" s="942"/>
      <c r="I44" s="52">
        <f t="shared" si="9"/>
        <v>0</v>
      </c>
      <c r="J44" s="942"/>
      <c r="K44" s="52">
        <f t="shared" si="10"/>
        <v>1</v>
      </c>
      <c r="L44" s="942"/>
      <c r="M44" s="52">
        <f t="shared" si="11"/>
        <v>1</v>
      </c>
      <c r="N44" s="942"/>
      <c r="O44" s="52">
        <f t="shared" si="12"/>
        <v>1</v>
      </c>
      <c r="P44" s="942"/>
      <c r="Q44" s="52">
        <f t="shared" si="13"/>
        <v>1</v>
      </c>
      <c r="R44" s="470">
        <f t="shared" si="14"/>
        <v>0</v>
      </c>
      <c r="S44" s="779">
        <f t="shared" si="5"/>
        <v>0</v>
      </c>
    </row>
    <row r="45" spans="1:19">
      <c r="A45" s="944"/>
      <c r="B45" s="131"/>
      <c r="C45" s="52">
        <f t="shared" si="6"/>
        <v>1</v>
      </c>
      <c r="D45" s="942"/>
      <c r="E45" s="52">
        <f t="shared" si="7"/>
        <v>0</v>
      </c>
      <c r="F45" s="942"/>
      <c r="G45" s="52">
        <f t="shared" si="8"/>
        <v>0</v>
      </c>
      <c r="H45" s="942"/>
      <c r="I45" s="52">
        <f t="shared" si="9"/>
        <v>0</v>
      </c>
      <c r="J45" s="942"/>
      <c r="K45" s="52">
        <f t="shared" si="10"/>
        <v>1</v>
      </c>
      <c r="L45" s="942"/>
      <c r="M45" s="52">
        <f t="shared" si="11"/>
        <v>1</v>
      </c>
      <c r="N45" s="942"/>
      <c r="O45" s="52">
        <f t="shared" si="12"/>
        <v>1</v>
      </c>
      <c r="P45" s="942"/>
      <c r="Q45" s="52">
        <f t="shared" si="13"/>
        <v>1</v>
      </c>
      <c r="R45" s="470">
        <f t="shared" si="14"/>
        <v>0</v>
      </c>
      <c r="S45" s="779">
        <f t="shared" si="5"/>
        <v>0</v>
      </c>
    </row>
    <row r="46" spans="1:19">
      <c r="A46" s="944"/>
      <c r="B46" s="131"/>
      <c r="C46" s="52">
        <f t="shared" si="6"/>
        <v>1</v>
      </c>
      <c r="D46" s="942"/>
      <c r="E46" s="52">
        <f t="shared" si="7"/>
        <v>0</v>
      </c>
      <c r="F46" s="942"/>
      <c r="G46" s="52">
        <f t="shared" si="8"/>
        <v>0</v>
      </c>
      <c r="H46" s="942"/>
      <c r="I46" s="52">
        <f t="shared" si="9"/>
        <v>0</v>
      </c>
      <c r="J46" s="942"/>
      <c r="K46" s="52">
        <f t="shared" si="10"/>
        <v>1</v>
      </c>
      <c r="L46" s="942"/>
      <c r="M46" s="52">
        <f t="shared" si="11"/>
        <v>1</v>
      </c>
      <c r="N46" s="942"/>
      <c r="O46" s="52">
        <f t="shared" si="12"/>
        <v>1</v>
      </c>
      <c r="P46" s="942"/>
      <c r="Q46" s="52">
        <f t="shared" si="13"/>
        <v>1</v>
      </c>
      <c r="R46" s="470">
        <f t="shared" si="14"/>
        <v>0</v>
      </c>
      <c r="S46" s="779">
        <f t="shared" si="5"/>
        <v>0</v>
      </c>
    </row>
    <row r="47" spans="1:19">
      <c r="A47" s="944"/>
      <c r="B47" s="131"/>
      <c r="C47" s="52">
        <f t="shared" si="6"/>
        <v>1</v>
      </c>
      <c r="D47" s="942"/>
      <c r="E47" s="52">
        <f t="shared" si="7"/>
        <v>0</v>
      </c>
      <c r="F47" s="942"/>
      <c r="G47" s="52">
        <f t="shared" si="8"/>
        <v>0</v>
      </c>
      <c r="H47" s="942"/>
      <c r="I47" s="52">
        <f t="shared" si="9"/>
        <v>0</v>
      </c>
      <c r="J47" s="942"/>
      <c r="K47" s="52">
        <f t="shared" si="10"/>
        <v>1</v>
      </c>
      <c r="L47" s="942"/>
      <c r="M47" s="52">
        <f t="shared" si="11"/>
        <v>1</v>
      </c>
      <c r="N47" s="942"/>
      <c r="O47" s="52">
        <f t="shared" si="12"/>
        <v>1</v>
      </c>
      <c r="P47" s="942"/>
      <c r="Q47" s="52">
        <f t="shared" si="13"/>
        <v>1</v>
      </c>
      <c r="R47" s="470">
        <f t="shared" si="14"/>
        <v>0</v>
      </c>
      <c r="S47" s="779">
        <f t="shared" si="5"/>
        <v>0</v>
      </c>
    </row>
    <row r="48" spans="1:19">
      <c r="A48" s="944"/>
      <c r="B48" s="131"/>
      <c r="C48" s="52">
        <f t="shared" si="6"/>
        <v>1</v>
      </c>
      <c r="D48" s="942"/>
      <c r="E48" s="52">
        <f t="shared" si="7"/>
        <v>0</v>
      </c>
      <c r="F48" s="942"/>
      <c r="G48" s="52">
        <f t="shared" si="8"/>
        <v>0</v>
      </c>
      <c r="H48" s="942"/>
      <c r="I48" s="52">
        <f t="shared" si="9"/>
        <v>0</v>
      </c>
      <c r="J48" s="942"/>
      <c r="K48" s="52">
        <f t="shared" si="10"/>
        <v>1</v>
      </c>
      <c r="L48" s="942"/>
      <c r="M48" s="52">
        <f t="shared" si="11"/>
        <v>1</v>
      </c>
      <c r="N48" s="942"/>
      <c r="O48" s="52">
        <f t="shared" si="12"/>
        <v>1</v>
      </c>
      <c r="P48" s="942"/>
      <c r="Q48" s="52">
        <f t="shared" si="13"/>
        <v>1</v>
      </c>
      <c r="R48" s="470">
        <f t="shared" si="14"/>
        <v>0</v>
      </c>
      <c r="S48" s="779">
        <f t="shared" si="5"/>
        <v>0</v>
      </c>
    </row>
    <row r="49" spans="1:19">
      <c r="A49" s="944"/>
      <c r="B49" s="131"/>
      <c r="C49" s="52">
        <f t="shared" si="6"/>
        <v>1</v>
      </c>
      <c r="D49" s="942"/>
      <c r="E49" s="52">
        <f t="shared" si="7"/>
        <v>0</v>
      </c>
      <c r="F49" s="942"/>
      <c r="G49" s="52">
        <f t="shared" si="8"/>
        <v>0</v>
      </c>
      <c r="H49" s="942"/>
      <c r="I49" s="52">
        <f t="shared" si="9"/>
        <v>0</v>
      </c>
      <c r="J49" s="942"/>
      <c r="K49" s="52">
        <f t="shared" si="10"/>
        <v>1</v>
      </c>
      <c r="L49" s="942"/>
      <c r="M49" s="52">
        <f t="shared" si="11"/>
        <v>1</v>
      </c>
      <c r="N49" s="942"/>
      <c r="O49" s="52">
        <f t="shared" si="12"/>
        <v>1</v>
      </c>
      <c r="P49" s="942"/>
      <c r="Q49" s="52">
        <f t="shared" si="13"/>
        <v>1</v>
      </c>
      <c r="R49" s="470">
        <f t="shared" si="14"/>
        <v>0</v>
      </c>
      <c r="S49" s="779">
        <f t="shared" si="5"/>
        <v>0</v>
      </c>
    </row>
    <row r="50" spans="1:19">
      <c r="A50" s="944"/>
      <c r="B50" s="131"/>
      <c r="C50" s="52">
        <f t="shared" si="6"/>
        <v>1</v>
      </c>
      <c r="D50" s="942"/>
      <c r="E50" s="52">
        <f t="shared" si="7"/>
        <v>0</v>
      </c>
      <c r="F50" s="942"/>
      <c r="G50" s="52">
        <f t="shared" si="8"/>
        <v>0</v>
      </c>
      <c r="H50" s="942"/>
      <c r="I50" s="52">
        <f t="shared" si="9"/>
        <v>0</v>
      </c>
      <c r="J50" s="942"/>
      <c r="K50" s="52">
        <f t="shared" si="10"/>
        <v>1</v>
      </c>
      <c r="L50" s="942"/>
      <c r="M50" s="52">
        <f t="shared" si="11"/>
        <v>1</v>
      </c>
      <c r="N50" s="942"/>
      <c r="O50" s="52">
        <f t="shared" si="12"/>
        <v>1</v>
      </c>
      <c r="P50" s="942"/>
      <c r="Q50" s="52">
        <f t="shared" si="13"/>
        <v>1</v>
      </c>
      <c r="R50" s="470">
        <f t="shared" si="14"/>
        <v>0</v>
      </c>
      <c r="S50" s="779">
        <f t="shared" si="5"/>
        <v>0</v>
      </c>
    </row>
    <row r="51" spans="1:19">
      <c r="A51" s="944"/>
      <c r="B51" s="131"/>
      <c r="C51" s="52">
        <f t="shared" si="6"/>
        <v>1</v>
      </c>
      <c r="D51" s="942"/>
      <c r="E51" s="52">
        <f t="shared" si="7"/>
        <v>0</v>
      </c>
      <c r="F51" s="942"/>
      <c r="G51" s="52">
        <f t="shared" si="8"/>
        <v>0</v>
      </c>
      <c r="H51" s="942"/>
      <c r="I51" s="52">
        <f t="shared" si="9"/>
        <v>0</v>
      </c>
      <c r="J51" s="942"/>
      <c r="K51" s="52">
        <f t="shared" si="10"/>
        <v>1</v>
      </c>
      <c r="L51" s="942"/>
      <c r="M51" s="52">
        <f t="shared" si="11"/>
        <v>1</v>
      </c>
      <c r="N51" s="942"/>
      <c r="O51" s="52">
        <f t="shared" si="12"/>
        <v>1</v>
      </c>
      <c r="P51" s="942"/>
      <c r="Q51" s="52">
        <f t="shared" si="13"/>
        <v>1</v>
      </c>
      <c r="R51" s="470">
        <f t="shared" si="14"/>
        <v>0</v>
      </c>
      <c r="S51" s="779">
        <f t="shared" si="5"/>
        <v>0</v>
      </c>
    </row>
    <row r="52" spans="1:19">
      <c r="A52" s="944"/>
      <c r="B52" s="131"/>
      <c r="C52" s="52">
        <f t="shared" si="6"/>
        <v>1</v>
      </c>
      <c r="D52" s="942"/>
      <c r="E52" s="52">
        <f t="shared" si="7"/>
        <v>0</v>
      </c>
      <c r="F52" s="942"/>
      <c r="G52" s="52">
        <f t="shared" si="8"/>
        <v>0</v>
      </c>
      <c r="H52" s="942"/>
      <c r="I52" s="52">
        <f t="shared" si="9"/>
        <v>0</v>
      </c>
      <c r="J52" s="942"/>
      <c r="K52" s="52">
        <f t="shared" si="10"/>
        <v>1</v>
      </c>
      <c r="L52" s="942"/>
      <c r="M52" s="52">
        <f t="shared" si="11"/>
        <v>1</v>
      </c>
      <c r="N52" s="942"/>
      <c r="O52" s="52">
        <f t="shared" si="12"/>
        <v>1</v>
      </c>
      <c r="P52" s="942"/>
      <c r="Q52" s="52">
        <f t="shared" si="13"/>
        <v>1</v>
      </c>
      <c r="R52" s="470">
        <f t="shared" si="14"/>
        <v>0</v>
      </c>
      <c r="S52" s="779">
        <f t="shared" si="5"/>
        <v>0</v>
      </c>
    </row>
    <row r="53" spans="1:19">
      <c r="A53" s="944"/>
      <c r="B53" s="131"/>
      <c r="C53" s="52">
        <f t="shared" si="6"/>
        <v>1</v>
      </c>
      <c r="D53" s="942"/>
      <c r="E53" s="52">
        <f t="shared" si="7"/>
        <v>0</v>
      </c>
      <c r="F53" s="942"/>
      <c r="G53" s="52">
        <f t="shared" si="8"/>
        <v>0</v>
      </c>
      <c r="H53" s="942"/>
      <c r="I53" s="52">
        <f t="shared" si="9"/>
        <v>0</v>
      </c>
      <c r="J53" s="942"/>
      <c r="K53" s="52">
        <f t="shared" si="10"/>
        <v>1</v>
      </c>
      <c r="L53" s="942"/>
      <c r="M53" s="52">
        <f t="shared" si="11"/>
        <v>1</v>
      </c>
      <c r="N53" s="942"/>
      <c r="O53" s="52">
        <f t="shared" si="12"/>
        <v>1</v>
      </c>
      <c r="P53" s="942"/>
      <c r="Q53" s="52">
        <f t="shared" si="13"/>
        <v>1</v>
      </c>
      <c r="R53" s="470">
        <f t="shared" si="14"/>
        <v>0</v>
      </c>
      <c r="S53" s="779">
        <f t="shared" si="5"/>
        <v>0</v>
      </c>
    </row>
    <row r="54" spans="1:19">
      <c r="A54" s="944"/>
      <c r="B54" s="131"/>
      <c r="C54" s="52">
        <f t="shared" si="6"/>
        <v>1</v>
      </c>
      <c r="D54" s="942"/>
      <c r="E54" s="52">
        <f t="shared" si="7"/>
        <v>0</v>
      </c>
      <c r="F54" s="942"/>
      <c r="G54" s="52">
        <f t="shared" si="8"/>
        <v>0</v>
      </c>
      <c r="H54" s="942"/>
      <c r="I54" s="52">
        <f t="shared" si="9"/>
        <v>0</v>
      </c>
      <c r="J54" s="942"/>
      <c r="K54" s="52">
        <f t="shared" si="10"/>
        <v>1</v>
      </c>
      <c r="L54" s="942"/>
      <c r="M54" s="52">
        <f t="shared" si="11"/>
        <v>1</v>
      </c>
      <c r="N54" s="942"/>
      <c r="O54" s="52">
        <f t="shared" si="12"/>
        <v>1</v>
      </c>
      <c r="P54" s="942"/>
      <c r="Q54" s="52">
        <f t="shared" si="13"/>
        <v>1</v>
      </c>
      <c r="R54" s="470">
        <f t="shared" si="14"/>
        <v>0</v>
      </c>
      <c r="S54" s="779">
        <f t="shared" si="5"/>
        <v>0</v>
      </c>
    </row>
    <row r="55" spans="1:19">
      <c r="A55" s="944"/>
      <c r="B55" s="131"/>
      <c r="C55" s="52">
        <f t="shared" si="6"/>
        <v>1</v>
      </c>
      <c r="D55" s="942"/>
      <c r="E55" s="52">
        <f t="shared" si="7"/>
        <v>0</v>
      </c>
      <c r="F55" s="942"/>
      <c r="G55" s="52">
        <f t="shared" si="8"/>
        <v>0</v>
      </c>
      <c r="H55" s="942"/>
      <c r="I55" s="52">
        <f t="shared" si="9"/>
        <v>0</v>
      </c>
      <c r="J55" s="942"/>
      <c r="K55" s="52">
        <f t="shared" si="10"/>
        <v>1</v>
      </c>
      <c r="L55" s="942"/>
      <c r="M55" s="52">
        <f t="shared" si="11"/>
        <v>1</v>
      </c>
      <c r="N55" s="942"/>
      <c r="O55" s="52">
        <f t="shared" si="12"/>
        <v>1</v>
      </c>
      <c r="P55" s="942"/>
      <c r="Q55" s="52">
        <f t="shared" si="13"/>
        <v>1</v>
      </c>
      <c r="R55" s="470">
        <f t="shared" si="14"/>
        <v>0</v>
      </c>
      <c r="S55" s="779">
        <f t="shared" si="5"/>
        <v>0</v>
      </c>
    </row>
    <row r="56" spans="1:19">
      <c r="A56" s="944"/>
      <c r="B56" s="131"/>
      <c r="C56" s="52">
        <f t="shared" si="6"/>
        <v>1</v>
      </c>
      <c r="D56" s="942"/>
      <c r="E56" s="52">
        <f t="shared" si="7"/>
        <v>0</v>
      </c>
      <c r="F56" s="942"/>
      <c r="G56" s="52">
        <f t="shared" si="8"/>
        <v>0</v>
      </c>
      <c r="H56" s="942"/>
      <c r="I56" s="52">
        <f t="shared" si="9"/>
        <v>0</v>
      </c>
      <c r="J56" s="942"/>
      <c r="K56" s="52">
        <f t="shared" si="10"/>
        <v>1</v>
      </c>
      <c r="L56" s="942"/>
      <c r="M56" s="52">
        <f t="shared" si="11"/>
        <v>1</v>
      </c>
      <c r="N56" s="942"/>
      <c r="O56" s="52">
        <f t="shared" si="12"/>
        <v>1</v>
      </c>
      <c r="P56" s="942"/>
      <c r="Q56" s="52">
        <f t="shared" si="13"/>
        <v>1</v>
      </c>
      <c r="R56" s="470">
        <f t="shared" si="14"/>
        <v>0</v>
      </c>
      <c r="S56" s="779">
        <f t="shared" si="5"/>
        <v>0</v>
      </c>
    </row>
    <row r="57" spans="1:19">
      <c r="A57" s="944"/>
      <c r="B57" s="131"/>
      <c r="C57" s="52">
        <f t="shared" si="6"/>
        <v>1</v>
      </c>
      <c r="D57" s="942"/>
      <c r="E57" s="52">
        <f t="shared" si="7"/>
        <v>0</v>
      </c>
      <c r="F57" s="942"/>
      <c r="G57" s="52">
        <f t="shared" si="8"/>
        <v>0</v>
      </c>
      <c r="H57" s="942"/>
      <c r="I57" s="52">
        <f t="shared" si="9"/>
        <v>0</v>
      </c>
      <c r="J57" s="942"/>
      <c r="K57" s="52">
        <f t="shared" si="10"/>
        <v>1</v>
      </c>
      <c r="L57" s="942"/>
      <c r="M57" s="52">
        <f t="shared" si="11"/>
        <v>1</v>
      </c>
      <c r="N57" s="942"/>
      <c r="O57" s="52">
        <f t="shared" si="12"/>
        <v>1</v>
      </c>
      <c r="P57" s="942"/>
      <c r="Q57" s="52">
        <f t="shared" si="13"/>
        <v>1</v>
      </c>
      <c r="R57" s="470">
        <f t="shared" si="14"/>
        <v>0</v>
      </c>
      <c r="S57" s="779">
        <f t="shared" si="5"/>
        <v>0</v>
      </c>
    </row>
    <row r="58" spans="1:19">
      <c r="A58" s="944"/>
      <c r="B58" s="131"/>
      <c r="C58" s="52">
        <f t="shared" si="6"/>
        <v>1</v>
      </c>
      <c r="D58" s="942"/>
      <c r="E58" s="52">
        <f t="shared" si="7"/>
        <v>0</v>
      </c>
      <c r="F58" s="942"/>
      <c r="G58" s="52">
        <f t="shared" si="8"/>
        <v>0</v>
      </c>
      <c r="H58" s="942"/>
      <c r="I58" s="52">
        <f t="shared" si="9"/>
        <v>0</v>
      </c>
      <c r="J58" s="942"/>
      <c r="K58" s="52">
        <f t="shared" si="10"/>
        <v>1</v>
      </c>
      <c r="L58" s="942"/>
      <c r="M58" s="52">
        <f t="shared" si="11"/>
        <v>1</v>
      </c>
      <c r="N58" s="942"/>
      <c r="O58" s="52">
        <f t="shared" si="12"/>
        <v>1</v>
      </c>
      <c r="P58" s="942"/>
      <c r="Q58" s="52">
        <f t="shared" si="13"/>
        <v>1</v>
      </c>
      <c r="R58" s="470">
        <f t="shared" si="14"/>
        <v>0</v>
      </c>
      <c r="S58" s="779">
        <f t="shared" si="5"/>
        <v>0</v>
      </c>
    </row>
    <row r="59" spans="1:19">
      <c r="A59" s="944"/>
      <c r="B59" s="131"/>
      <c r="C59" s="52">
        <f t="shared" si="6"/>
        <v>1</v>
      </c>
      <c r="D59" s="942"/>
      <c r="E59" s="52">
        <f t="shared" si="7"/>
        <v>0</v>
      </c>
      <c r="F59" s="942"/>
      <c r="G59" s="52">
        <f t="shared" si="8"/>
        <v>0</v>
      </c>
      <c r="H59" s="942"/>
      <c r="I59" s="52">
        <f t="shared" si="9"/>
        <v>0</v>
      </c>
      <c r="J59" s="942"/>
      <c r="K59" s="52">
        <f t="shared" si="10"/>
        <v>1</v>
      </c>
      <c r="L59" s="942"/>
      <c r="M59" s="52">
        <f t="shared" si="11"/>
        <v>1</v>
      </c>
      <c r="N59" s="942"/>
      <c r="O59" s="52">
        <f t="shared" si="12"/>
        <v>1</v>
      </c>
      <c r="P59" s="942"/>
      <c r="Q59" s="52">
        <f t="shared" si="13"/>
        <v>1</v>
      </c>
      <c r="R59" s="470">
        <f t="shared" si="14"/>
        <v>0</v>
      </c>
      <c r="S59" s="779">
        <f t="shared" si="5"/>
        <v>0</v>
      </c>
    </row>
    <row r="60" spans="1:19">
      <c r="A60" s="944"/>
      <c r="B60" s="131"/>
      <c r="C60" s="52">
        <f t="shared" si="6"/>
        <v>1</v>
      </c>
      <c r="D60" s="942"/>
      <c r="E60" s="52">
        <f t="shared" si="7"/>
        <v>0</v>
      </c>
      <c r="F60" s="942"/>
      <c r="G60" s="52">
        <f t="shared" si="8"/>
        <v>0</v>
      </c>
      <c r="H60" s="942"/>
      <c r="I60" s="52">
        <f t="shared" si="9"/>
        <v>0</v>
      </c>
      <c r="J60" s="942"/>
      <c r="K60" s="52">
        <f t="shared" si="10"/>
        <v>1</v>
      </c>
      <c r="L60" s="942"/>
      <c r="M60" s="52">
        <f t="shared" si="11"/>
        <v>1</v>
      </c>
      <c r="N60" s="942"/>
      <c r="O60" s="52">
        <f t="shared" si="12"/>
        <v>1</v>
      </c>
      <c r="P60" s="942"/>
      <c r="Q60" s="52">
        <f t="shared" si="13"/>
        <v>1</v>
      </c>
      <c r="R60" s="470">
        <f t="shared" si="14"/>
        <v>0</v>
      </c>
      <c r="S60" s="779">
        <f t="shared" si="5"/>
        <v>0</v>
      </c>
    </row>
    <row r="61" spans="1:19">
      <c r="A61" s="944"/>
      <c r="B61" s="131"/>
      <c r="C61" s="52">
        <f t="shared" si="6"/>
        <v>1</v>
      </c>
      <c r="D61" s="942"/>
      <c r="E61" s="52">
        <f t="shared" si="7"/>
        <v>0</v>
      </c>
      <c r="F61" s="942"/>
      <c r="G61" s="52">
        <f t="shared" si="8"/>
        <v>0</v>
      </c>
      <c r="H61" s="942"/>
      <c r="I61" s="52">
        <f t="shared" si="9"/>
        <v>0</v>
      </c>
      <c r="J61" s="942"/>
      <c r="K61" s="52">
        <f t="shared" si="10"/>
        <v>1</v>
      </c>
      <c r="L61" s="942"/>
      <c r="M61" s="52">
        <f t="shared" si="11"/>
        <v>1</v>
      </c>
      <c r="N61" s="942"/>
      <c r="O61" s="52">
        <f t="shared" si="12"/>
        <v>1</v>
      </c>
      <c r="P61" s="942"/>
      <c r="Q61" s="52">
        <f t="shared" si="13"/>
        <v>1</v>
      </c>
      <c r="R61" s="470">
        <f t="shared" si="14"/>
        <v>0</v>
      </c>
      <c r="S61" s="779">
        <f t="shared" si="5"/>
        <v>0</v>
      </c>
    </row>
    <row r="62" spans="1:19">
      <c r="A62" s="944"/>
      <c r="B62" s="131"/>
      <c r="C62" s="52">
        <f t="shared" si="6"/>
        <v>1</v>
      </c>
      <c r="D62" s="942"/>
      <c r="E62" s="52">
        <f t="shared" si="7"/>
        <v>0</v>
      </c>
      <c r="F62" s="942"/>
      <c r="G62" s="52">
        <f t="shared" si="8"/>
        <v>0</v>
      </c>
      <c r="H62" s="942"/>
      <c r="I62" s="52">
        <f t="shared" si="9"/>
        <v>0</v>
      </c>
      <c r="J62" s="942"/>
      <c r="K62" s="52">
        <f t="shared" si="10"/>
        <v>1</v>
      </c>
      <c r="L62" s="942"/>
      <c r="M62" s="52">
        <f t="shared" si="11"/>
        <v>1</v>
      </c>
      <c r="N62" s="942"/>
      <c r="O62" s="52">
        <f t="shared" si="12"/>
        <v>1</v>
      </c>
      <c r="P62" s="942"/>
      <c r="Q62" s="52">
        <f t="shared" si="13"/>
        <v>1</v>
      </c>
      <c r="R62" s="470">
        <f t="shared" si="14"/>
        <v>0</v>
      </c>
      <c r="S62" s="779">
        <f t="shared" si="5"/>
        <v>0</v>
      </c>
    </row>
    <row r="63" spans="1:19">
      <c r="A63" s="944"/>
      <c r="B63" s="131"/>
      <c r="C63" s="52">
        <f t="shared" si="6"/>
        <v>1</v>
      </c>
      <c r="D63" s="942"/>
      <c r="E63" s="52">
        <f t="shared" si="7"/>
        <v>0</v>
      </c>
      <c r="F63" s="942"/>
      <c r="G63" s="52">
        <f t="shared" si="8"/>
        <v>0</v>
      </c>
      <c r="H63" s="942"/>
      <c r="I63" s="52">
        <f t="shared" si="9"/>
        <v>0</v>
      </c>
      <c r="J63" s="942"/>
      <c r="K63" s="52">
        <f t="shared" si="10"/>
        <v>1</v>
      </c>
      <c r="L63" s="942"/>
      <c r="M63" s="52">
        <f t="shared" si="11"/>
        <v>1</v>
      </c>
      <c r="N63" s="942"/>
      <c r="O63" s="52">
        <f t="shared" si="12"/>
        <v>1</v>
      </c>
      <c r="P63" s="942"/>
      <c r="Q63" s="52">
        <f t="shared" si="13"/>
        <v>1</v>
      </c>
      <c r="R63" s="470">
        <f t="shared" si="14"/>
        <v>0</v>
      </c>
      <c r="S63" s="779">
        <f t="shared" si="5"/>
        <v>0</v>
      </c>
    </row>
    <row r="64" spans="1:19">
      <c r="A64" s="944"/>
      <c r="B64" s="131"/>
      <c r="C64" s="52">
        <f t="shared" si="6"/>
        <v>1</v>
      </c>
      <c r="D64" s="942"/>
      <c r="E64" s="52">
        <f t="shared" si="7"/>
        <v>0</v>
      </c>
      <c r="F64" s="942"/>
      <c r="G64" s="52">
        <f t="shared" si="8"/>
        <v>0</v>
      </c>
      <c r="H64" s="942"/>
      <c r="I64" s="52">
        <f t="shared" si="9"/>
        <v>0</v>
      </c>
      <c r="J64" s="942"/>
      <c r="K64" s="52">
        <f t="shared" si="10"/>
        <v>1</v>
      </c>
      <c r="L64" s="942"/>
      <c r="M64" s="52">
        <f t="shared" si="11"/>
        <v>1</v>
      </c>
      <c r="N64" s="942"/>
      <c r="O64" s="52">
        <f t="shared" si="12"/>
        <v>1</v>
      </c>
      <c r="P64" s="942"/>
      <c r="Q64" s="52">
        <f t="shared" si="13"/>
        <v>1</v>
      </c>
      <c r="R64" s="470">
        <f t="shared" si="14"/>
        <v>0</v>
      </c>
      <c r="S64" s="779">
        <f t="shared" si="5"/>
        <v>0</v>
      </c>
    </row>
    <row r="65" spans="1:19">
      <c r="A65" s="944"/>
      <c r="B65" s="131"/>
      <c r="C65" s="52">
        <f t="shared" si="6"/>
        <v>1</v>
      </c>
      <c r="D65" s="942"/>
      <c r="E65" s="52">
        <f t="shared" si="7"/>
        <v>0</v>
      </c>
      <c r="F65" s="942"/>
      <c r="G65" s="52">
        <f t="shared" si="8"/>
        <v>0</v>
      </c>
      <c r="H65" s="942"/>
      <c r="I65" s="52">
        <f t="shared" si="9"/>
        <v>0</v>
      </c>
      <c r="J65" s="942"/>
      <c r="K65" s="52">
        <f t="shared" si="10"/>
        <v>1</v>
      </c>
      <c r="L65" s="942"/>
      <c r="M65" s="52">
        <f t="shared" si="11"/>
        <v>1</v>
      </c>
      <c r="N65" s="942"/>
      <c r="O65" s="52">
        <f t="shared" si="12"/>
        <v>1</v>
      </c>
      <c r="P65" s="942"/>
      <c r="Q65" s="52">
        <f t="shared" si="13"/>
        <v>1</v>
      </c>
      <c r="R65" s="470">
        <f t="shared" si="14"/>
        <v>0</v>
      </c>
      <c r="S65" s="779">
        <f t="shared" si="5"/>
        <v>0</v>
      </c>
    </row>
    <row r="66" spans="1:19">
      <c r="A66" s="944"/>
      <c r="B66" s="131"/>
      <c r="C66" s="52">
        <f t="shared" si="6"/>
        <v>1</v>
      </c>
      <c r="D66" s="942"/>
      <c r="E66" s="52">
        <f t="shared" si="7"/>
        <v>0</v>
      </c>
      <c r="F66" s="942"/>
      <c r="G66" s="52">
        <f t="shared" si="8"/>
        <v>0</v>
      </c>
      <c r="H66" s="942"/>
      <c r="I66" s="52">
        <f t="shared" si="9"/>
        <v>0</v>
      </c>
      <c r="J66" s="942"/>
      <c r="K66" s="52">
        <f t="shared" si="10"/>
        <v>1</v>
      </c>
      <c r="L66" s="942"/>
      <c r="M66" s="52">
        <f t="shared" si="11"/>
        <v>1</v>
      </c>
      <c r="N66" s="942"/>
      <c r="O66" s="52">
        <f t="shared" si="12"/>
        <v>1</v>
      </c>
      <c r="P66" s="942"/>
      <c r="Q66" s="52">
        <f t="shared" si="13"/>
        <v>1</v>
      </c>
      <c r="R66" s="470">
        <f t="shared" si="14"/>
        <v>0</v>
      </c>
      <c r="S66" s="779">
        <f t="shared" si="5"/>
        <v>0</v>
      </c>
    </row>
    <row r="67" spans="1:19">
      <c r="A67" s="944"/>
      <c r="B67" s="131"/>
      <c r="C67" s="52">
        <f t="shared" si="6"/>
        <v>1</v>
      </c>
      <c r="D67" s="942"/>
      <c r="E67" s="52">
        <f t="shared" si="7"/>
        <v>0</v>
      </c>
      <c r="F67" s="942"/>
      <c r="G67" s="52">
        <f t="shared" si="8"/>
        <v>0</v>
      </c>
      <c r="H67" s="942"/>
      <c r="I67" s="52">
        <f t="shared" si="9"/>
        <v>0</v>
      </c>
      <c r="J67" s="942"/>
      <c r="K67" s="52">
        <f t="shared" si="10"/>
        <v>1</v>
      </c>
      <c r="L67" s="942"/>
      <c r="M67" s="52">
        <f t="shared" si="11"/>
        <v>1</v>
      </c>
      <c r="N67" s="942"/>
      <c r="O67" s="52">
        <f t="shared" si="12"/>
        <v>1</v>
      </c>
      <c r="P67" s="942"/>
      <c r="Q67" s="52">
        <f t="shared" si="13"/>
        <v>1</v>
      </c>
      <c r="R67" s="470">
        <f t="shared" si="14"/>
        <v>0</v>
      </c>
      <c r="S67" s="779">
        <f t="shared" si="5"/>
        <v>0</v>
      </c>
    </row>
    <row r="68" spans="1:19">
      <c r="A68" s="944"/>
      <c r="B68" s="131"/>
      <c r="C68" s="52">
        <f t="shared" si="6"/>
        <v>1</v>
      </c>
      <c r="D68" s="942"/>
      <c r="E68" s="52">
        <f t="shared" si="7"/>
        <v>0</v>
      </c>
      <c r="F68" s="942"/>
      <c r="G68" s="52">
        <f t="shared" si="8"/>
        <v>0</v>
      </c>
      <c r="H68" s="942"/>
      <c r="I68" s="52">
        <f t="shared" si="9"/>
        <v>0</v>
      </c>
      <c r="J68" s="942"/>
      <c r="K68" s="52">
        <f t="shared" si="10"/>
        <v>1</v>
      </c>
      <c r="L68" s="942"/>
      <c r="M68" s="52">
        <f t="shared" si="11"/>
        <v>1</v>
      </c>
      <c r="N68" s="942"/>
      <c r="O68" s="52">
        <f t="shared" si="12"/>
        <v>1</v>
      </c>
      <c r="P68" s="942"/>
      <c r="Q68" s="52">
        <f t="shared" si="13"/>
        <v>1</v>
      </c>
      <c r="R68" s="470">
        <f t="shared" si="14"/>
        <v>0</v>
      </c>
      <c r="S68" s="779">
        <f t="shared" si="5"/>
        <v>0</v>
      </c>
    </row>
    <row r="69" spans="1:19">
      <c r="A69" s="944"/>
      <c r="B69" s="131"/>
      <c r="C69" s="52">
        <f t="shared" si="6"/>
        <v>1</v>
      </c>
      <c r="D69" s="942"/>
      <c r="E69" s="52">
        <f t="shared" si="7"/>
        <v>0</v>
      </c>
      <c r="F69" s="942"/>
      <c r="G69" s="52">
        <f t="shared" si="8"/>
        <v>0</v>
      </c>
      <c r="H69" s="942"/>
      <c r="I69" s="52">
        <f t="shared" si="9"/>
        <v>0</v>
      </c>
      <c r="J69" s="942"/>
      <c r="K69" s="52">
        <f t="shared" si="10"/>
        <v>1</v>
      </c>
      <c r="L69" s="942"/>
      <c r="M69" s="52">
        <f t="shared" si="11"/>
        <v>1</v>
      </c>
      <c r="N69" s="942"/>
      <c r="O69" s="52">
        <f t="shared" si="12"/>
        <v>1</v>
      </c>
      <c r="P69" s="942"/>
      <c r="Q69" s="52">
        <f t="shared" si="13"/>
        <v>1</v>
      </c>
      <c r="R69" s="470">
        <f t="shared" si="14"/>
        <v>0</v>
      </c>
      <c r="S69" s="779">
        <f t="shared" si="5"/>
        <v>0</v>
      </c>
    </row>
    <row r="70" spans="1:19">
      <c r="A70" s="944"/>
      <c r="B70" s="131"/>
      <c r="C70" s="52">
        <f t="shared" si="6"/>
        <v>1</v>
      </c>
      <c r="D70" s="942"/>
      <c r="E70" s="52">
        <f t="shared" si="7"/>
        <v>0</v>
      </c>
      <c r="F70" s="942"/>
      <c r="G70" s="52">
        <f t="shared" si="8"/>
        <v>0</v>
      </c>
      <c r="H70" s="942"/>
      <c r="I70" s="52">
        <f t="shared" si="9"/>
        <v>0</v>
      </c>
      <c r="J70" s="942"/>
      <c r="K70" s="52">
        <f t="shared" si="10"/>
        <v>1</v>
      </c>
      <c r="L70" s="942"/>
      <c r="M70" s="52">
        <f t="shared" si="11"/>
        <v>1</v>
      </c>
      <c r="N70" s="942"/>
      <c r="O70" s="52">
        <f t="shared" si="12"/>
        <v>1</v>
      </c>
      <c r="P70" s="942"/>
      <c r="Q70" s="52">
        <f t="shared" si="13"/>
        <v>1</v>
      </c>
      <c r="R70" s="470">
        <f t="shared" si="14"/>
        <v>0</v>
      </c>
      <c r="S70" s="779">
        <f t="shared" si="5"/>
        <v>0</v>
      </c>
    </row>
    <row r="71" spans="1:19">
      <c r="A71" s="944"/>
      <c r="B71" s="131"/>
      <c r="C71" s="52">
        <f t="shared" si="6"/>
        <v>1</v>
      </c>
      <c r="D71" s="942"/>
      <c r="E71" s="52">
        <f t="shared" si="7"/>
        <v>0</v>
      </c>
      <c r="F71" s="942"/>
      <c r="G71" s="52">
        <f t="shared" si="8"/>
        <v>0</v>
      </c>
      <c r="H71" s="942"/>
      <c r="I71" s="52">
        <f t="shared" si="9"/>
        <v>0</v>
      </c>
      <c r="J71" s="942"/>
      <c r="K71" s="52">
        <f t="shared" si="10"/>
        <v>1</v>
      </c>
      <c r="L71" s="942"/>
      <c r="M71" s="52">
        <f t="shared" si="11"/>
        <v>1</v>
      </c>
      <c r="N71" s="942"/>
      <c r="O71" s="52">
        <f t="shared" si="12"/>
        <v>1</v>
      </c>
      <c r="P71" s="942"/>
      <c r="Q71" s="52">
        <f t="shared" si="13"/>
        <v>1</v>
      </c>
      <c r="R71" s="470">
        <f t="shared" si="14"/>
        <v>0</v>
      </c>
      <c r="S71" s="779">
        <f t="shared" si="5"/>
        <v>0</v>
      </c>
    </row>
    <row r="72" spans="1:19">
      <c r="A72" s="944"/>
      <c r="B72" s="131"/>
      <c r="C72" s="52">
        <f t="shared" si="6"/>
        <v>1</v>
      </c>
      <c r="D72" s="942"/>
      <c r="E72" s="52">
        <f t="shared" si="7"/>
        <v>0</v>
      </c>
      <c r="F72" s="942"/>
      <c r="G72" s="52">
        <f t="shared" si="8"/>
        <v>0</v>
      </c>
      <c r="H72" s="942"/>
      <c r="I72" s="52">
        <f t="shared" si="9"/>
        <v>0</v>
      </c>
      <c r="J72" s="942"/>
      <c r="K72" s="52">
        <f t="shared" si="10"/>
        <v>1</v>
      </c>
      <c r="L72" s="942"/>
      <c r="M72" s="52">
        <f t="shared" si="11"/>
        <v>1</v>
      </c>
      <c r="N72" s="942"/>
      <c r="O72" s="52">
        <f t="shared" si="12"/>
        <v>1</v>
      </c>
      <c r="P72" s="942"/>
      <c r="Q72" s="52">
        <f t="shared" si="13"/>
        <v>1</v>
      </c>
      <c r="R72" s="470">
        <f t="shared" si="14"/>
        <v>0</v>
      </c>
      <c r="S72" s="779">
        <f t="shared" si="5"/>
        <v>0</v>
      </c>
    </row>
    <row r="73" spans="1:19">
      <c r="A73" s="944"/>
      <c r="B73" s="131"/>
      <c r="C73" s="52">
        <f t="shared" si="6"/>
        <v>1</v>
      </c>
      <c r="D73" s="942"/>
      <c r="E73" s="52">
        <f t="shared" si="7"/>
        <v>0</v>
      </c>
      <c r="F73" s="942"/>
      <c r="G73" s="52">
        <f t="shared" si="8"/>
        <v>0</v>
      </c>
      <c r="H73" s="942"/>
      <c r="I73" s="52">
        <f t="shared" si="9"/>
        <v>0</v>
      </c>
      <c r="J73" s="942"/>
      <c r="K73" s="52">
        <f t="shared" si="10"/>
        <v>1</v>
      </c>
      <c r="L73" s="942"/>
      <c r="M73" s="52">
        <f t="shared" si="11"/>
        <v>1</v>
      </c>
      <c r="N73" s="942"/>
      <c r="O73" s="52">
        <f t="shared" si="12"/>
        <v>1</v>
      </c>
      <c r="P73" s="942"/>
      <c r="Q73" s="52">
        <f t="shared" si="13"/>
        <v>1</v>
      </c>
      <c r="R73" s="470">
        <f t="shared" si="14"/>
        <v>0</v>
      </c>
      <c r="S73" s="779">
        <f t="shared" si="5"/>
        <v>0</v>
      </c>
    </row>
    <row r="74" spans="1:19">
      <c r="A74" s="944"/>
      <c r="B74" s="131"/>
      <c r="C74" s="52">
        <f t="shared" si="6"/>
        <v>1</v>
      </c>
      <c r="D74" s="942"/>
      <c r="E74" s="52">
        <f t="shared" si="7"/>
        <v>0</v>
      </c>
      <c r="F74" s="942"/>
      <c r="G74" s="52">
        <f t="shared" si="8"/>
        <v>0</v>
      </c>
      <c r="H74" s="942"/>
      <c r="I74" s="52">
        <f t="shared" si="9"/>
        <v>0</v>
      </c>
      <c r="J74" s="942"/>
      <c r="K74" s="52">
        <f t="shared" si="10"/>
        <v>1</v>
      </c>
      <c r="L74" s="942"/>
      <c r="M74" s="52">
        <f t="shared" si="11"/>
        <v>1</v>
      </c>
      <c r="N74" s="942"/>
      <c r="O74" s="52">
        <f t="shared" si="12"/>
        <v>1</v>
      </c>
      <c r="P74" s="942"/>
      <c r="Q74" s="52">
        <f t="shared" si="13"/>
        <v>1</v>
      </c>
      <c r="R74" s="470">
        <f t="shared" si="14"/>
        <v>0</v>
      </c>
      <c r="S74" s="779">
        <f t="shared" si="5"/>
        <v>0</v>
      </c>
    </row>
    <row r="75" spans="1:19">
      <c r="A75" s="944"/>
      <c r="B75" s="131"/>
      <c r="C75" s="52">
        <f t="shared" si="6"/>
        <v>1</v>
      </c>
      <c r="D75" s="942"/>
      <c r="E75" s="52">
        <f t="shared" si="7"/>
        <v>0</v>
      </c>
      <c r="F75" s="942"/>
      <c r="G75" s="52">
        <f t="shared" si="8"/>
        <v>0</v>
      </c>
      <c r="H75" s="942"/>
      <c r="I75" s="52">
        <f t="shared" si="9"/>
        <v>0</v>
      </c>
      <c r="J75" s="942"/>
      <c r="K75" s="52">
        <f t="shared" si="10"/>
        <v>1</v>
      </c>
      <c r="L75" s="942"/>
      <c r="M75" s="52">
        <f t="shared" si="11"/>
        <v>1</v>
      </c>
      <c r="N75" s="942"/>
      <c r="O75" s="52">
        <f t="shared" si="12"/>
        <v>1</v>
      </c>
      <c r="P75" s="942"/>
      <c r="Q75" s="52">
        <f t="shared" si="13"/>
        <v>1</v>
      </c>
      <c r="R75" s="470">
        <f t="shared" si="14"/>
        <v>0</v>
      </c>
      <c r="S75" s="779">
        <f t="shared" si="5"/>
        <v>0</v>
      </c>
    </row>
    <row r="76" spans="1:19">
      <c r="A76" s="944"/>
      <c r="B76" s="131"/>
      <c r="C76" s="52">
        <f t="shared" si="6"/>
        <v>1</v>
      </c>
      <c r="D76" s="942"/>
      <c r="E76" s="52">
        <f t="shared" si="7"/>
        <v>0</v>
      </c>
      <c r="F76" s="942"/>
      <c r="G76" s="52">
        <f t="shared" si="8"/>
        <v>0</v>
      </c>
      <c r="H76" s="942"/>
      <c r="I76" s="52">
        <f t="shared" si="9"/>
        <v>0</v>
      </c>
      <c r="J76" s="942"/>
      <c r="K76" s="52">
        <f t="shared" si="10"/>
        <v>1</v>
      </c>
      <c r="L76" s="942"/>
      <c r="M76" s="52">
        <f t="shared" si="11"/>
        <v>1</v>
      </c>
      <c r="N76" s="942"/>
      <c r="O76" s="52">
        <f t="shared" si="12"/>
        <v>1</v>
      </c>
      <c r="P76" s="942"/>
      <c r="Q76" s="52">
        <f t="shared" si="13"/>
        <v>1</v>
      </c>
      <c r="R76" s="470">
        <f t="shared" si="14"/>
        <v>0</v>
      </c>
      <c r="S76" s="779">
        <f t="shared" si="5"/>
        <v>0</v>
      </c>
    </row>
    <row r="77" spans="1:19">
      <c r="A77" s="944"/>
      <c r="B77" s="131"/>
      <c r="C77" s="52">
        <f t="shared" si="6"/>
        <v>1</v>
      </c>
      <c r="D77" s="942"/>
      <c r="E77" s="52">
        <f t="shared" si="7"/>
        <v>0</v>
      </c>
      <c r="F77" s="942"/>
      <c r="G77" s="52">
        <f t="shared" si="8"/>
        <v>0</v>
      </c>
      <c r="H77" s="942"/>
      <c r="I77" s="52">
        <f t="shared" si="9"/>
        <v>0</v>
      </c>
      <c r="J77" s="942"/>
      <c r="K77" s="52">
        <f t="shared" si="10"/>
        <v>1</v>
      </c>
      <c r="L77" s="942"/>
      <c r="M77" s="52">
        <f t="shared" si="11"/>
        <v>1</v>
      </c>
      <c r="N77" s="942"/>
      <c r="O77" s="52">
        <f t="shared" si="12"/>
        <v>1</v>
      </c>
      <c r="P77" s="942"/>
      <c r="Q77" s="52">
        <f t="shared" si="13"/>
        <v>1</v>
      </c>
      <c r="R77" s="470">
        <f t="shared" si="14"/>
        <v>0</v>
      </c>
      <c r="S77" s="779">
        <f t="shared" si="5"/>
        <v>0</v>
      </c>
    </row>
    <row r="78" spans="1:19">
      <c r="A78" s="944"/>
      <c r="B78" s="131"/>
      <c r="C78" s="52">
        <f t="shared" si="6"/>
        <v>1</v>
      </c>
      <c r="D78" s="942"/>
      <c r="E78" s="52">
        <f t="shared" si="7"/>
        <v>0</v>
      </c>
      <c r="F78" s="942"/>
      <c r="G78" s="52">
        <f t="shared" si="8"/>
        <v>0</v>
      </c>
      <c r="H78" s="942"/>
      <c r="I78" s="52">
        <f t="shared" si="9"/>
        <v>0</v>
      </c>
      <c r="J78" s="942"/>
      <c r="K78" s="52">
        <f t="shared" si="10"/>
        <v>1</v>
      </c>
      <c r="L78" s="942"/>
      <c r="M78" s="52">
        <f t="shared" si="11"/>
        <v>1</v>
      </c>
      <c r="N78" s="942"/>
      <c r="O78" s="52">
        <f t="shared" si="12"/>
        <v>1</v>
      </c>
      <c r="P78" s="942"/>
      <c r="Q78" s="52">
        <f t="shared" si="13"/>
        <v>1</v>
      </c>
      <c r="R78" s="470">
        <f t="shared" si="14"/>
        <v>0</v>
      </c>
      <c r="S78" s="779">
        <f t="shared" si="5"/>
        <v>0</v>
      </c>
    </row>
    <row r="79" spans="1:19">
      <c r="A79" s="944"/>
      <c r="B79" s="131"/>
      <c r="C79" s="52">
        <f t="shared" si="6"/>
        <v>1</v>
      </c>
      <c r="D79" s="942"/>
      <c r="E79" s="52">
        <f t="shared" si="7"/>
        <v>0</v>
      </c>
      <c r="F79" s="942"/>
      <c r="G79" s="52">
        <f t="shared" si="8"/>
        <v>0</v>
      </c>
      <c r="H79" s="942"/>
      <c r="I79" s="52">
        <f t="shared" si="9"/>
        <v>0</v>
      </c>
      <c r="J79" s="942"/>
      <c r="K79" s="52">
        <f t="shared" si="10"/>
        <v>1</v>
      </c>
      <c r="L79" s="942"/>
      <c r="M79" s="52">
        <f t="shared" si="11"/>
        <v>1</v>
      </c>
      <c r="N79" s="942"/>
      <c r="O79" s="52">
        <f t="shared" si="12"/>
        <v>1</v>
      </c>
      <c r="P79" s="942"/>
      <c r="Q79" s="52">
        <f t="shared" si="13"/>
        <v>1</v>
      </c>
      <c r="R79" s="470">
        <f t="shared" si="14"/>
        <v>0</v>
      </c>
      <c r="S79" s="779">
        <f t="shared" si="5"/>
        <v>0</v>
      </c>
    </row>
    <row r="80" spans="1:19">
      <c r="A80" s="944"/>
      <c r="B80" s="131"/>
      <c r="C80" s="52">
        <f t="shared" si="6"/>
        <v>1</v>
      </c>
      <c r="D80" s="942"/>
      <c r="E80" s="52">
        <f t="shared" si="7"/>
        <v>0</v>
      </c>
      <c r="F80" s="942"/>
      <c r="G80" s="52">
        <f t="shared" si="8"/>
        <v>0</v>
      </c>
      <c r="H80" s="942"/>
      <c r="I80" s="52">
        <f t="shared" si="9"/>
        <v>0</v>
      </c>
      <c r="J80" s="942"/>
      <c r="K80" s="52">
        <f t="shared" si="10"/>
        <v>1</v>
      </c>
      <c r="L80" s="942"/>
      <c r="M80" s="52">
        <f t="shared" si="11"/>
        <v>1</v>
      </c>
      <c r="N80" s="942"/>
      <c r="O80" s="52">
        <f t="shared" si="12"/>
        <v>1</v>
      </c>
      <c r="P80" s="942"/>
      <c r="Q80" s="52">
        <f t="shared" si="13"/>
        <v>1</v>
      </c>
      <c r="R80" s="470">
        <f t="shared" si="14"/>
        <v>0</v>
      </c>
      <c r="S80" s="779">
        <f t="shared" si="5"/>
        <v>0</v>
      </c>
    </row>
    <row r="81" spans="1:19">
      <c r="A81" s="944"/>
      <c r="B81" s="131"/>
      <c r="C81" s="52">
        <f t="shared" si="6"/>
        <v>1</v>
      </c>
      <c r="D81" s="942"/>
      <c r="E81" s="52">
        <f t="shared" si="7"/>
        <v>0</v>
      </c>
      <c r="F81" s="942"/>
      <c r="G81" s="52">
        <f t="shared" si="8"/>
        <v>0</v>
      </c>
      <c r="H81" s="942"/>
      <c r="I81" s="52">
        <f t="shared" si="9"/>
        <v>0</v>
      </c>
      <c r="J81" s="942"/>
      <c r="K81" s="52">
        <f t="shared" si="10"/>
        <v>1</v>
      </c>
      <c r="L81" s="942"/>
      <c r="M81" s="52">
        <f t="shared" si="11"/>
        <v>1</v>
      </c>
      <c r="N81" s="942"/>
      <c r="O81" s="52">
        <f t="shared" si="12"/>
        <v>1</v>
      </c>
      <c r="P81" s="942"/>
      <c r="Q81" s="52">
        <f t="shared" si="13"/>
        <v>1</v>
      </c>
      <c r="R81" s="470">
        <f t="shared" si="14"/>
        <v>0</v>
      </c>
      <c r="S81" s="779">
        <f t="shared" si="5"/>
        <v>0</v>
      </c>
    </row>
    <row r="82" spans="1:19">
      <c r="A82" s="944"/>
      <c r="B82" s="131"/>
      <c r="C82" s="52">
        <f t="shared" si="6"/>
        <v>1</v>
      </c>
      <c r="D82" s="942"/>
      <c r="E82" s="52">
        <f t="shared" si="7"/>
        <v>0</v>
      </c>
      <c r="F82" s="942"/>
      <c r="G82" s="52">
        <f t="shared" si="8"/>
        <v>0</v>
      </c>
      <c r="H82" s="942"/>
      <c r="I82" s="52">
        <f t="shared" si="9"/>
        <v>0</v>
      </c>
      <c r="J82" s="942"/>
      <c r="K82" s="52">
        <f t="shared" si="10"/>
        <v>1</v>
      </c>
      <c r="L82" s="942"/>
      <c r="M82" s="52">
        <f t="shared" si="11"/>
        <v>1</v>
      </c>
      <c r="N82" s="942"/>
      <c r="O82" s="52">
        <f t="shared" si="12"/>
        <v>1</v>
      </c>
      <c r="P82" s="942"/>
      <c r="Q82" s="52">
        <f t="shared" si="13"/>
        <v>1</v>
      </c>
      <c r="R82" s="470">
        <f t="shared" si="14"/>
        <v>0</v>
      </c>
      <c r="S82" s="779">
        <f t="shared" si="5"/>
        <v>0</v>
      </c>
    </row>
    <row r="83" spans="1:19">
      <c r="A83" s="944"/>
      <c r="B83" s="131"/>
      <c r="C83" s="52">
        <f t="shared" si="6"/>
        <v>1</v>
      </c>
      <c r="D83" s="942"/>
      <c r="E83" s="52">
        <f t="shared" si="7"/>
        <v>0</v>
      </c>
      <c r="F83" s="942"/>
      <c r="G83" s="52">
        <f t="shared" si="8"/>
        <v>0</v>
      </c>
      <c r="H83" s="942"/>
      <c r="I83" s="52">
        <f t="shared" si="9"/>
        <v>0</v>
      </c>
      <c r="J83" s="942"/>
      <c r="K83" s="52">
        <f t="shared" si="10"/>
        <v>1</v>
      </c>
      <c r="L83" s="942"/>
      <c r="M83" s="52">
        <f t="shared" si="11"/>
        <v>1</v>
      </c>
      <c r="N83" s="942"/>
      <c r="O83" s="52">
        <f t="shared" si="12"/>
        <v>1</v>
      </c>
      <c r="P83" s="942"/>
      <c r="Q83" s="52">
        <f t="shared" si="13"/>
        <v>1</v>
      </c>
      <c r="R83" s="470">
        <f t="shared" si="14"/>
        <v>0</v>
      </c>
      <c r="S83" s="779">
        <f t="shared" si="5"/>
        <v>0</v>
      </c>
    </row>
    <row r="84" spans="1:19">
      <c r="A84" s="944"/>
      <c r="B84" s="131"/>
      <c r="C84" s="52">
        <f t="shared" si="6"/>
        <v>1</v>
      </c>
      <c r="D84" s="942"/>
      <c r="E84" s="52">
        <f t="shared" si="7"/>
        <v>0</v>
      </c>
      <c r="F84" s="942"/>
      <c r="G84" s="52">
        <f t="shared" si="8"/>
        <v>0</v>
      </c>
      <c r="H84" s="942"/>
      <c r="I84" s="52">
        <f t="shared" si="9"/>
        <v>0</v>
      </c>
      <c r="J84" s="942"/>
      <c r="K84" s="52">
        <f t="shared" si="10"/>
        <v>1</v>
      </c>
      <c r="L84" s="942"/>
      <c r="M84" s="52">
        <f t="shared" si="11"/>
        <v>1</v>
      </c>
      <c r="N84" s="942"/>
      <c r="O84" s="52">
        <f t="shared" si="12"/>
        <v>1</v>
      </c>
      <c r="P84" s="942"/>
      <c r="Q84" s="52">
        <f t="shared" si="13"/>
        <v>1</v>
      </c>
      <c r="R84" s="470">
        <f t="shared" si="14"/>
        <v>0</v>
      </c>
      <c r="S84" s="779">
        <f t="shared" si="5"/>
        <v>0</v>
      </c>
    </row>
    <row r="85" spans="1:19">
      <c r="A85" s="944"/>
      <c r="B85" s="131"/>
      <c r="C85" s="52">
        <f t="shared" si="6"/>
        <v>1</v>
      </c>
      <c r="D85" s="942"/>
      <c r="E85" s="52">
        <f t="shared" si="7"/>
        <v>0</v>
      </c>
      <c r="F85" s="942"/>
      <c r="G85" s="52">
        <f t="shared" si="8"/>
        <v>0</v>
      </c>
      <c r="H85" s="942"/>
      <c r="I85" s="52">
        <f t="shared" si="9"/>
        <v>0</v>
      </c>
      <c r="J85" s="942"/>
      <c r="K85" s="52">
        <f t="shared" si="10"/>
        <v>1</v>
      </c>
      <c r="L85" s="942"/>
      <c r="M85" s="52">
        <f t="shared" si="11"/>
        <v>1</v>
      </c>
      <c r="N85" s="942"/>
      <c r="O85" s="52">
        <f t="shared" si="12"/>
        <v>1</v>
      </c>
      <c r="P85" s="942"/>
      <c r="Q85" s="52">
        <f t="shared" si="13"/>
        <v>1</v>
      </c>
      <c r="R85" s="470">
        <f t="shared" si="14"/>
        <v>0</v>
      </c>
      <c r="S85" s="779">
        <f t="shared" si="5"/>
        <v>0</v>
      </c>
    </row>
    <row r="86" spans="1:19">
      <c r="A86" s="944"/>
      <c r="B86" s="131"/>
      <c r="C86" s="52">
        <f t="shared" si="6"/>
        <v>1</v>
      </c>
      <c r="D86" s="942"/>
      <c r="E86" s="52">
        <f t="shared" si="7"/>
        <v>0</v>
      </c>
      <c r="F86" s="942"/>
      <c r="G86" s="52">
        <f t="shared" si="8"/>
        <v>0</v>
      </c>
      <c r="H86" s="942"/>
      <c r="I86" s="52">
        <f t="shared" si="9"/>
        <v>0</v>
      </c>
      <c r="J86" s="942"/>
      <c r="K86" s="52">
        <f t="shared" si="10"/>
        <v>1</v>
      </c>
      <c r="L86" s="942"/>
      <c r="M86" s="52">
        <f t="shared" si="11"/>
        <v>1</v>
      </c>
      <c r="N86" s="942"/>
      <c r="O86" s="52">
        <f t="shared" si="12"/>
        <v>1</v>
      </c>
      <c r="P86" s="942"/>
      <c r="Q86" s="52">
        <f t="shared" si="13"/>
        <v>1</v>
      </c>
      <c r="R86" s="470">
        <f t="shared" si="14"/>
        <v>0</v>
      </c>
      <c r="S86" s="779">
        <f t="shared" si="5"/>
        <v>0</v>
      </c>
    </row>
    <row r="87" spans="1:19">
      <c r="A87" s="944"/>
      <c r="B87" s="131"/>
      <c r="C87" s="52">
        <f t="shared" si="6"/>
        <v>1</v>
      </c>
      <c r="D87" s="942"/>
      <c r="E87" s="52">
        <f t="shared" si="7"/>
        <v>0</v>
      </c>
      <c r="F87" s="942"/>
      <c r="G87" s="52">
        <f t="shared" si="8"/>
        <v>0</v>
      </c>
      <c r="H87" s="942"/>
      <c r="I87" s="52">
        <f t="shared" si="9"/>
        <v>0</v>
      </c>
      <c r="J87" s="942"/>
      <c r="K87" s="52">
        <f t="shared" si="10"/>
        <v>1</v>
      </c>
      <c r="L87" s="942"/>
      <c r="M87" s="52">
        <f t="shared" si="11"/>
        <v>1</v>
      </c>
      <c r="N87" s="942"/>
      <c r="O87" s="52">
        <f t="shared" si="12"/>
        <v>1</v>
      </c>
      <c r="P87" s="942"/>
      <c r="Q87" s="52">
        <f t="shared" si="13"/>
        <v>1</v>
      </c>
      <c r="R87" s="470">
        <f t="shared" si="14"/>
        <v>0</v>
      </c>
      <c r="S87" s="779">
        <f t="shared" si="5"/>
        <v>0</v>
      </c>
    </row>
    <row r="88" spans="1:19">
      <c r="A88" s="944"/>
      <c r="B88" s="131"/>
      <c r="C88" s="52">
        <f t="shared" si="6"/>
        <v>1</v>
      </c>
      <c r="D88" s="942"/>
      <c r="E88" s="52">
        <f t="shared" si="7"/>
        <v>0</v>
      </c>
      <c r="F88" s="942"/>
      <c r="G88" s="52">
        <f t="shared" si="8"/>
        <v>0</v>
      </c>
      <c r="H88" s="942"/>
      <c r="I88" s="52">
        <f t="shared" si="9"/>
        <v>0</v>
      </c>
      <c r="J88" s="942"/>
      <c r="K88" s="52">
        <f t="shared" si="10"/>
        <v>1</v>
      </c>
      <c r="L88" s="942"/>
      <c r="M88" s="52">
        <f t="shared" si="11"/>
        <v>1</v>
      </c>
      <c r="N88" s="942"/>
      <c r="O88" s="52">
        <f t="shared" si="12"/>
        <v>1</v>
      </c>
      <c r="P88" s="942"/>
      <c r="Q88" s="52">
        <f t="shared" si="13"/>
        <v>1</v>
      </c>
      <c r="R88" s="470">
        <f t="shared" si="14"/>
        <v>0</v>
      </c>
      <c r="S88" s="779">
        <f t="shared" ref="S88:S151" si="15">ROUND(R88*B88/10000,0)</f>
        <v>0</v>
      </c>
    </row>
    <row r="89" spans="1:19">
      <c r="A89" s="944"/>
      <c r="B89" s="131"/>
      <c r="C89" s="52">
        <f t="shared" si="6"/>
        <v>1</v>
      </c>
      <c r="D89" s="942"/>
      <c r="E89" s="52">
        <f t="shared" si="7"/>
        <v>0</v>
      </c>
      <c r="F89" s="942"/>
      <c r="G89" s="52">
        <f t="shared" si="8"/>
        <v>0</v>
      </c>
      <c r="H89" s="942"/>
      <c r="I89" s="52">
        <f t="shared" si="9"/>
        <v>0</v>
      </c>
      <c r="J89" s="942"/>
      <c r="K89" s="52">
        <f t="shared" si="10"/>
        <v>1</v>
      </c>
      <c r="L89" s="942"/>
      <c r="M89" s="52">
        <f t="shared" si="11"/>
        <v>1</v>
      </c>
      <c r="N89" s="942"/>
      <c r="O89" s="52">
        <f t="shared" si="12"/>
        <v>1</v>
      </c>
      <c r="P89" s="942"/>
      <c r="Q89" s="52">
        <f t="shared" si="13"/>
        <v>1</v>
      </c>
      <c r="R89" s="470">
        <f t="shared" si="14"/>
        <v>0</v>
      </c>
      <c r="S89" s="779">
        <f t="shared" si="15"/>
        <v>0</v>
      </c>
    </row>
    <row r="90" spans="1:19">
      <c r="A90" s="944"/>
      <c r="B90" s="131"/>
      <c r="C90" s="52">
        <f t="shared" ref="C90:C153" si="16">IF(B90="",1,(LOOKUP(B90,$3:$3,$4:$4)-LOOKUP($B$24,$3:$3,$4:$4)+100)/100)</f>
        <v>1</v>
      </c>
      <c r="D90" s="942"/>
      <c r="E90" s="52">
        <f t="shared" ref="E90:E153" si="17">(SUMIF($5:$5,D90,$6:$6)-SUMIF($5:$5,$D$24,$6:$6)+100)/100</f>
        <v>0</v>
      </c>
      <c r="F90" s="942"/>
      <c r="G90" s="52">
        <f t="shared" ref="G90:G153" si="18">(SUMIF($7:$7,F90,$8:$8)-SUMIF($7:$7,$F$24,$8:$8)+100)/100</f>
        <v>0</v>
      </c>
      <c r="H90" s="942"/>
      <c r="I90" s="52">
        <f t="shared" ref="I90:I153" si="19">(SUMIF($9:$9,H90,$10:$10)-SUMIF($9:$9,$H$24,$10:$10)+100)/100</f>
        <v>0</v>
      </c>
      <c r="J90" s="942"/>
      <c r="K90" s="52">
        <f t="shared" ref="K90:K153" si="20">(SUMIF($11:$11,J90,$12:$12)-SUMIF($11:$11,$J$24,$12:$12)+100)/100</f>
        <v>1</v>
      </c>
      <c r="L90" s="942"/>
      <c r="M90" s="52">
        <f t="shared" ref="M90:M153" si="21">(SUMIF($13:$13,L90,$14:$14)-SUMIF($13:$13,$L$24,$14:$14)+100)/100</f>
        <v>1</v>
      </c>
      <c r="N90" s="942"/>
      <c r="O90" s="52">
        <f t="shared" ref="O90:O153" si="22">(SUMIF($15:$15,N90,$16:$16)-SUMIF($15:$15,$N$24,$16:$16)+100)/100</f>
        <v>1</v>
      </c>
      <c r="P90" s="942"/>
      <c r="Q90" s="52">
        <f t="shared" ref="Q90:Q153" si="23">(SUMIF($17:$17,P90,$18:$18)-SUMIF($17:$17,$P$24,$18:$18)+100)/100</f>
        <v>1</v>
      </c>
      <c r="R90" s="470">
        <f t="shared" ref="R90:R153" si="24">IF(B90="",0,ROUND($R$24*C90*E90*G90*I90*K90*M90*O90*Q90,0))</f>
        <v>0</v>
      </c>
      <c r="S90" s="779">
        <f t="shared" si="15"/>
        <v>0</v>
      </c>
    </row>
    <row r="91" spans="1:19">
      <c r="A91" s="944"/>
      <c r="B91" s="131"/>
      <c r="C91" s="52">
        <f t="shared" si="16"/>
        <v>1</v>
      </c>
      <c r="D91" s="942"/>
      <c r="E91" s="52">
        <f t="shared" si="17"/>
        <v>0</v>
      </c>
      <c r="F91" s="942"/>
      <c r="G91" s="52">
        <f t="shared" si="18"/>
        <v>0</v>
      </c>
      <c r="H91" s="942"/>
      <c r="I91" s="52">
        <f t="shared" si="19"/>
        <v>0</v>
      </c>
      <c r="J91" s="942"/>
      <c r="K91" s="52">
        <f t="shared" si="20"/>
        <v>1</v>
      </c>
      <c r="L91" s="942"/>
      <c r="M91" s="52">
        <f t="shared" si="21"/>
        <v>1</v>
      </c>
      <c r="N91" s="942"/>
      <c r="O91" s="52">
        <f t="shared" si="22"/>
        <v>1</v>
      </c>
      <c r="P91" s="942"/>
      <c r="Q91" s="52">
        <f t="shared" si="23"/>
        <v>1</v>
      </c>
      <c r="R91" s="470">
        <f t="shared" si="24"/>
        <v>0</v>
      </c>
      <c r="S91" s="779">
        <f t="shared" si="15"/>
        <v>0</v>
      </c>
    </row>
    <row r="92" spans="1:19">
      <c r="A92" s="944"/>
      <c r="B92" s="131"/>
      <c r="C92" s="52">
        <f t="shared" si="16"/>
        <v>1</v>
      </c>
      <c r="D92" s="942"/>
      <c r="E92" s="52">
        <f t="shared" si="17"/>
        <v>0</v>
      </c>
      <c r="F92" s="942"/>
      <c r="G92" s="52">
        <f t="shared" si="18"/>
        <v>0</v>
      </c>
      <c r="H92" s="942"/>
      <c r="I92" s="52">
        <f t="shared" si="19"/>
        <v>0</v>
      </c>
      <c r="J92" s="942"/>
      <c r="K92" s="52">
        <f t="shared" si="20"/>
        <v>1</v>
      </c>
      <c r="L92" s="942"/>
      <c r="M92" s="52">
        <f t="shared" si="21"/>
        <v>1</v>
      </c>
      <c r="N92" s="942"/>
      <c r="O92" s="52">
        <f t="shared" si="22"/>
        <v>1</v>
      </c>
      <c r="P92" s="942"/>
      <c r="Q92" s="52">
        <f t="shared" si="23"/>
        <v>1</v>
      </c>
      <c r="R92" s="470">
        <f t="shared" si="24"/>
        <v>0</v>
      </c>
      <c r="S92" s="779">
        <f t="shared" si="15"/>
        <v>0</v>
      </c>
    </row>
    <row r="93" spans="1:19">
      <c r="A93" s="944"/>
      <c r="B93" s="131"/>
      <c r="C93" s="52">
        <f t="shared" si="16"/>
        <v>1</v>
      </c>
      <c r="D93" s="942"/>
      <c r="E93" s="52">
        <f t="shared" si="17"/>
        <v>0</v>
      </c>
      <c r="F93" s="942"/>
      <c r="G93" s="52">
        <f t="shared" si="18"/>
        <v>0</v>
      </c>
      <c r="H93" s="942"/>
      <c r="I93" s="52">
        <f t="shared" si="19"/>
        <v>0</v>
      </c>
      <c r="J93" s="942"/>
      <c r="K93" s="52">
        <f t="shared" si="20"/>
        <v>1</v>
      </c>
      <c r="L93" s="942"/>
      <c r="M93" s="52">
        <f t="shared" si="21"/>
        <v>1</v>
      </c>
      <c r="N93" s="942"/>
      <c r="O93" s="52">
        <f t="shared" si="22"/>
        <v>1</v>
      </c>
      <c r="P93" s="942"/>
      <c r="Q93" s="52">
        <f t="shared" si="23"/>
        <v>1</v>
      </c>
      <c r="R93" s="470">
        <f t="shared" si="24"/>
        <v>0</v>
      </c>
      <c r="S93" s="779">
        <f t="shared" si="15"/>
        <v>0</v>
      </c>
    </row>
    <row r="94" spans="1:19">
      <c r="A94" s="944"/>
      <c r="B94" s="131"/>
      <c r="C94" s="52">
        <f t="shared" si="16"/>
        <v>1</v>
      </c>
      <c r="D94" s="942"/>
      <c r="E94" s="52">
        <f t="shared" si="17"/>
        <v>0</v>
      </c>
      <c r="F94" s="942"/>
      <c r="G94" s="52">
        <f t="shared" si="18"/>
        <v>0</v>
      </c>
      <c r="H94" s="942"/>
      <c r="I94" s="52">
        <f t="shared" si="19"/>
        <v>0</v>
      </c>
      <c r="J94" s="942"/>
      <c r="K94" s="52">
        <f t="shared" si="20"/>
        <v>1</v>
      </c>
      <c r="L94" s="942"/>
      <c r="M94" s="52">
        <f t="shared" si="21"/>
        <v>1</v>
      </c>
      <c r="N94" s="942"/>
      <c r="O94" s="52">
        <f t="shared" si="22"/>
        <v>1</v>
      </c>
      <c r="P94" s="942"/>
      <c r="Q94" s="52">
        <f t="shared" si="23"/>
        <v>1</v>
      </c>
      <c r="R94" s="470">
        <f t="shared" si="24"/>
        <v>0</v>
      </c>
      <c r="S94" s="779">
        <f t="shared" si="15"/>
        <v>0</v>
      </c>
    </row>
    <row r="95" spans="1:19">
      <c r="A95" s="944"/>
      <c r="B95" s="131"/>
      <c r="C95" s="52">
        <f t="shared" si="16"/>
        <v>1</v>
      </c>
      <c r="D95" s="942"/>
      <c r="E95" s="52">
        <f t="shared" si="17"/>
        <v>0</v>
      </c>
      <c r="F95" s="942"/>
      <c r="G95" s="52">
        <f t="shared" si="18"/>
        <v>0</v>
      </c>
      <c r="H95" s="942"/>
      <c r="I95" s="52">
        <f t="shared" si="19"/>
        <v>0</v>
      </c>
      <c r="J95" s="942"/>
      <c r="K95" s="52">
        <f t="shared" si="20"/>
        <v>1</v>
      </c>
      <c r="L95" s="942"/>
      <c r="M95" s="52">
        <f t="shared" si="21"/>
        <v>1</v>
      </c>
      <c r="N95" s="942"/>
      <c r="O95" s="52">
        <f t="shared" si="22"/>
        <v>1</v>
      </c>
      <c r="P95" s="942"/>
      <c r="Q95" s="52">
        <f t="shared" si="23"/>
        <v>1</v>
      </c>
      <c r="R95" s="470">
        <f t="shared" si="24"/>
        <v>0</v>
      </c>
      <c r="S95" s="779">
        <f t="shared" si="15"/>
        <v>0</v>
      </c>
    </row>
    <row r="96" spans="1:19">
      <c r="A96" s="944"/>
      <c r="B96" s="131"/>
      <c r="C96" s="52">
        <f t="shared" si="16"/>
        <v>1</v>
      </c>
      <c r="D96" s="942"/>
      <c r="E96" s="52">
        <f t="shared" si="17"/>
        <v>0</v>
      </c>
      <c r="F96" s="942"/>
      <c r="G96" s="52">
        <f t="shared" si="18"/>
        <v>0</v>
      </c>
      <c r="H96" s="942"/>
      <c r="I96" s="52">
        <f t="shared" si="19"/>
        <v>0</v>
      </c>
      <c r="J96" s="942"/>
      <c r="K96" s="52">
        <f t="shared" si="20"/>
        <v>1</v>
      </c>
      <c r="L96" s="942"/>
      <c r="M96" s="52">
        <f t="shared" si="21"/>
        <v>1</v>
      </c>
      <c r="N96" s="942"/>
      <c r="O96" s="52">
        <f t="shared" si="22"/>
        <v>1</v>
      </c>
      <c r="P96" s="942"/>
      <c r="Q96" s="52">
        <f t="shared" si="23"/>
        <v>1</v>
      </c>
      <c r="R96" s="470">
        <f t="shared" si="24"/>
        <v>0</v>
      </c>
      <c r="S96" s="779">
        <f t="shared" si="15"/>
        <v>0</v>
      </c>
    </row>
    <row r="97" spans="1:19">
      <c r="A97" s="944"/>
      <c r="B97" s="131"/>
      <c r="C97" s="52">
        <f t="shared" si="16"/>
        <v>1</v>
      </c>
      <c r="D97" s="942"/>
      <c r="E97" s="52">
        <f t="shared" si="17"/>
        <v>0</v>
      </c>
      <c r="F97" s="942"/>
      <c r="G97" s="52">
        <f t="shared" si="18"/>
        <v>0</v>
      </c>
      <c r="H97" s="942"/>
      <c r="I97" s="52">
        <f t="shared" si="19"/>
        <v>0</v>
      </c>
      <c r="J97" s="942"/>
      <c r="K97" s="52">
        <f t="shared" si="20"/>
        <v>1</v>
      </c>
      <c r="L97" s="942"/>
      <c r="M97" s="52">
        <f t="shared" si="21"/>
        <v>1</v>
      </c>
      <c r="N97" s="942"/>
      <c r="O97" s="52">
        <f t="shared" si="22"/>
        <v>1</v>
      </c>
      <c r="P97" s="942"/>
      <c r="Q97" s="52">
        <f t="shared" si="23"/>
        <v>1</v>
      </c>
      <c r="R97" s="470">
        <f t="shared" si="24"/>
        <v>0</v>
      </c>
      <c r="S97" s="779">
        <f t="shared" si="15"/>
        <v>0</v>
      </c>
    </row>
    <row r="98" spans="1:19">
      <c r="A98" s="944"/>
      <c r="B98" s="131"/>
      <c r="C98" s="52">
        <f t="shared" si="16"/>
        <v>1</v>
      </c>
      <c r="D98" s="942"/>
      <c r="E98" s="52">
        <f t="shared" si="17"/>
        <v>0</v>
      </c>
      <c r="F98" s="942"/>
      <c r="G98" s="52">
        <f t="shared" si="18"/>
        <v>0</v>
      </c>
      <c r="H98" s="942"/>
      <c r="I98" s="52">
        <f t="shared" si="19"/>
        <v>0</v>
      </c>
      <c r="J98" s="942"/>
      <c r="K98" s="52">
        <f t="shared" si="20"/>
        <v>1</v>
      </c>
      <c r="L98" s="942"/>
      <c r="M98" s="52">
        <f t="shared" si="21"/>
        <v>1</v>
      </c>
      <c r="N98" s="942"/>
      <c r="O98" s="52">
        <f t="shared" si="22"/>
        <v>1</v>
      </c>
      <c r="P98" s="942"/>
      <c r="Q98" s="52">
        <f t="shared" si="23"/>
        <v>1</v>
      </c>
      <c r="R98" s="470">
        <f t="shared" si="24"/>
        <v>0</v>
      </c>
      <c r="S98" s="779">
        <f t="shared" si="15"/>
        <v>0</v>
      </c>
    </row>
    <row r="99" spans="1:19">
      <c r="A99" s="944"/>
      <c r="B99" s="131"/>
      <c r="C99" s="52">
        <f t="shared" si="16"/>
        <v>1</v>
      </c>
      <c r="D99" s="942"/>
      <c r="E99" s="52">
        <f t="shared" si="17"/>
        <v>0</v>
      </c>
      <c r="F99" s="942"/>
      <c r="G99" s="52">
        <f t="shared" si="18"/>
        <v>0</v>
      </c>
      <c r="H99" s="942"/>
      <c r="I99" s="52">
        <f t="shared" si="19"/>
        <v>0</v>
      </c>
      <c r="J99" s="942"/>
      <c r="K99" s="52">
        <f t="shared" si="20"/>
        <v>1</v>
      </c>
      <c r="L99" s="942"/>
      <c r="M99" s="52">
        <f t="shared" si="21"/>
        <v>1</v>
      </c>
      <c r="N99" s="942"/>
      <c r="O99" s="52">
        <f t="shared" si="22"/>
        <v>1</v>
      </c>
      <c r="P99" s="942"/>
      <c r="Q99" s="52">
        <f t="shared" si="23"/>
        <v>1</v>
      </c>
      <c r="R99" s="470">
        <f t="shared" si="24"/>
        <v>0</v>
      </c>
      <c r="S99" s="779">
        <f t="shared" si="15"/>
        <v>0</v>
      </c>
    </row>
    <row r="100" spans="1:19">
      <c r="A100" s="944"/>
      <c r="B100" s="131"/>
      <c r="C100" s="52">
        <f t="shared" si="16"/>
        <v>1</v>
      </c>
      <c r="D100" s="942"/>
      <c r="E100" s="52">
        <f t="shared" si="17"/>
        <v>0</v>
      </c>
      <c r="F100" s="942"/>
      <c r="G100" s="52">
        <f t="shared" si="18"/>
        <v>0</v>
      </c>
      <c r="H100" s="942"/>
      <c r="I100" s="52">
        <f t="shared" si="19"/>
        <v>0</v>
      </c>
      <c r="J100" s="942"/>
      <c r="K100" s="52">
        <f t="shared" si="20"/>
        <v>1</v>
      </c>
      <c r="L100" s="942"/>
      <c r="M100" s="52">
        <f t="shared" si="21"/>
        <v>1</v>
      </c>
      <c r="N100" s="942"/>
      <c r="O100" s="52">
        <f t="shared" si="22"/>
        <v>1</v>
      </c>
      <c r="P100" s="942"/>
      <c r="Q100" s="52">
        <f t="shared" si="23"/>
        <v>1</v>
      </c>
      <c r="R100" s="470">
        <f t="shared" si="24"/>
        <v>0</v>
      </c>
      <c r="S100" s="779">
        <f t="shared" si="15"/>
        <v>0</v>
      </c>
    </row>
    <row r="101" spans="1:19">
      <c r="A101" s="944"/>
      <c r="B101" s="131"/>
      <c r="C101" s="52">
        <f t="shared" si="16"/>
        <v>1</v>
      </c>
      <c r="D101" s="942"/>
      <c r="E101" s="52">
        <f t="shared" si="17"/>
        <v>0</v>
      </c>
      <c r="F101" s="942"/>
      <c r="G101" s="52">
        <f t="shared" si="18"/>
        <v>0</v>
      </c>
      <c r="H101" s="942"/>
      <c r="I101" s="52">
        <f t="shared" si="19"/>
        <v>0</v>
      </c>
      <c r="J101" s="942"/>
      <c r="K101" s="52">
        <f t="shared" si="20"/>
        <v>1</v>
      </c>
      <c r="L101" s="942"/>
      <c r="M101" s="52">
        <f t="shared" si="21"/>
        <v>1</v>
      </c>
      <c r="N101" s="942"/>
      <c r="O101" s="52">
        <f t="shared" si="22"/>
        <v>1</v>
      </c>
      <c r="P101" s="942"/>
      <c r="Q101" s="52">
        <f t="shared" si="23"/>
        <v>1</v>
      </c>
      <c r="R101" s="470">
        <f t="shared" si="24"/>
        <v>0</v>
      </c>
      <c r="S101" s="779">
        <f t="shared" si="15"/>
        <v>0</v>
      </c>
    </row>
    <row r="102" spans="1:19">
      <c r="A102" s="944"/>
      <c r="B102" s="131"/>
      <c r="C102" s="52">
        <f t="shared" si="16"/>
        <v>1</v>
      </c>
      <c r="D102" s="942"/>
      <c r="E102" s="52">
        <f t="shared" si="17"/>
        <v>0</v>
      </c>
      <c r="F102" s="942"/>
      <c r="G102" s="52">
        <f t="shared" si="18"/>
        <v>0</v>
      </c>
      <c r="H102" s="942"/>
      <c r="I102" s="52">
        <f t="shared" si="19"/>
        <v>0</v>
      </c>
      <c r="J102" s="942"/>
      <c r="K102" s="52">
        <f t="shared" si="20"/>
        <v>1</v>
      </c>
      <c r="L102" s="942"/>
      <c r="M102" s="52">
        <f t="shared" si="21"/>
        <v>1</v>
      </c>
      <c r="N102" s="942"/>
      <c r="O102" s="52">
        <f t="shared" si="22"/>
        <v>1</v>
      </c>
      <c r="P102" s="942"/>
      <c r="Q102" s="52">
        <f t="shared" si="23"/>
        <v>1</v>
      </c>
      <c r="R102" s="470">
        <f t="shared" si="24"/>
        <v>0</v>
      </c>
      <c r="S102" s="779">
        <f t="shared" si="15"/>
        <v>0</v>
      </c>
    </row>
    <row r="103" spans="1:19">
      <c r="A103" s="944"/>
      <c r="B103" s="131"/>
      <c r="C103" s="52">
        <f t="shared" si="16"/>
        <v>1</v>
      </c>
      <c r="D103" s="942"/>
      <c r="E103" s="52">
        <f t="shared" si="17"/>
        <v>0</v>
      </c>
      <c r="F103" s="942"/>
      <c r="G103" s="52">
        <f t="shared" si="18"/>
        <v>0</v>
      </c>
      <c r="H103" s="942"/>
      <c r="I103" s="52">
        <f t="shared" si="19"/>
        <v>0</v>
      </c>
      <c r="J103" s="942"/>
      <c r="K103" s="52">
        <f t="shared" si="20"/>
        <v>1</v>
      </c>
      <c r="L103" s="942"/>
      <c r="M103" s="52">
        <f t="shared" si="21"/>
        <v>1</v>
      </c>
      <c r="N103" s="942"/>
      <c r="O103" s="52">
        <f t="shared" si="22"/>
        <v>1</v>
      </c>
      <c r="P103" s="942"/>
      <c r="Q103" s="52">
        <f t="shared" si="23"/>
        <v>1</v>
      </c>
      <c r="R103" s="470">
        <f t="shared" si="24"/>
        <v>0</v>
      </c>
      <c r="S103" s="779">
        <f t="shared" si="15"/>
        <v>0</v>
      </c>
    </row>
    <row r="104" spans="1:19">
      <c r="A104" s="944"/>
      <c r="B104" s="131"/>
      <c r="C104" s="52">
        <f t="shared" si="16"/>
        <v>1</v>
      </c>
      <c r="D104" s="942"/>
      <c r="E104" s="52">
        <f t="shared" si="17"/>
        <v>0</v>
      </c>
      <c r="F104" s="942"/>
      <c r="G104" s="52">
        <f t="shared" si="18"/>
        <v>0</v>
      </c>
      <c r="H104" s="942"/>
      <c r="I104" s="52">
        <f t="shared" si="19"/>
        <v>0</v>
      </c>
      <c r="J104" s="942"/>
      <c r="K104" s="52">
        <f t="shared" si="20"/>
        <v>1</v>
      </c>
      <c r="L104" s="942"/>
      <c r="M104" s="52">
        <f t="shared" si="21"/>
        <v>1</v>
      </c>
      <c r="N104" s="942"/>
      <c r="O104" s="52">
        <f t="shared" si="22"/>
        <v>1</v>
      </c>
      <c r="P104" s="942"/>
      <c r="Q104" s="52">
        <f t="shared" si="23"/>
        <v>1</v>
      </c>
      <c r="R104" s="470">
        <f t="shared" si="24"/>
        <v>0</v>
      </c>
      <c r="S104" s="779">
        <f t="shared" si="15"/>
        <v>0</v>
      </c>
    </row>
    <row r="105" spans="1:19">
      <c r="A105" s="944"/>
      <c r="B105" s="131"/>
      <c r="C105" s="52">
        <f t="shared" si="16"/>
        <v>1</v>
      </c>
      <c r="D105" s="942"/>
      <c r="E105" s="52">
        <f t="shared" si="17"/>
        <v>0</v>
      </c>
      <c r="F105" s="942"/>
      <c r="G105" s="52">
        <f t="shared" si="18"/>
        <v>0</v>
      </c>
      <c r="H105" s="942"/>
      <c r="I105" s="52">
        <f t="shared" si="19"/>
        <v>0</v>
      </c>
      <c r="J105" s="942"/>
      <c r="K105" s="52">
        <f t="shared" si="20"/>
        <v>1</v>
      </c>
      <c r="L105" s="942"/>
      <c r="M105" s="52">
        <f t="shared" si="21"/>
        <v>1</v>
      </c>
      <c r="N105" s="942"/>
      <c r="O105" s="52">
        <f t="shared" si="22"/>
        <v>1</v>
      </c>
      <c r="P105" s="942"/>
      <c r="Q105" s="52">
        <f t="shared" si="23"/>
        <v>1</v>
      </c>
      <c r="R105" s="470">
        <f t="shared" si="24"/>
        <v>0</v>
      </c>
      <c r="S105" s="779">
        <f t="shared" si="15"/>
        <v>0</v>
      </c>
    </row>
    <row r="106" spans="1:19">
      <c r="A106" s="944"/>
      <c r="B106" s="131"/>
      <c r="C106" s="52">
        <f t="shared" si="16"/>
        <v>1</v>
      </c>
      <c r="D106" s="942"/>
      <c r="E106" s="52">
        <f t="shared" si="17"/>
        <v>0</v>
      </c>
      <c r="F106" s="942"/>
      <c r="G106" s="52">
        <f t="shared" si="18"/>
        <v>0</v>
      </c>
      <c r="H106" s="942"/>
      <c r="I106" s="52">
        <f t="shared" si="19"/>
        <v>0</v>
      </c>
      <c r="J106" s="942"/>
      <c r="K106" s="52">
        <f t="shared" si="20"/>
        <v>1</v>
      </c>
      <c r="L106" s="942"/>
      <c r="M106" s="52">
        <f t="shared" si="21"/>
        <v>1</v>
      </c>
      <c r="N106" s="942"/>
      <c r="O106" s="52">
        <f t="shared" si="22"/>
        <v>1</v>
      </c>
      <c r="P106" s="942"/>
      <c r="Q106" s="52">
        <f t="shared" si="23"/>
        <v>1</v>
      </c>
      <c r="R106" s="470">
        <f t="shared" si="24"/>
        <v>0</v>
      </c>
      <c r="S106" s="779">
        <f t="shared" si="15"/>
        <v>0</v>
      </c>
    </row>
    <row r="107" spans="1:19">
      <c r="A107" s="944"/>
      <c r="B107" s="131"/>
      <c r="C107" s="52">
        <f t="shared" si="16"/>
        <v>1</v>
      </c>
      <c r="D107" s="942"/>
      <c r="E107" s="52">
        <f t="shared" si="17"/>
        <v>0</v>
      </c>
      <c r="F107" s="942"/>
      <c r="G107" s="52">
        <f t="shared" si="18"/>
        <v>0</v>
      </c>
      <c r="H107" s="942"/>
      <c r="I107" s="52">
        <f t="shared" si="19"/>
        <v>0</v>
      </c>
      <c r="J107" s="942"/>
      <c r="K107" s="52">
        <f t="shared" si="20"/>
        <v>1</v>
      </c>
      <c r="L107" s="942"/>
      <c r="M107" s="52">
        <f t="shared" si="21"/>
        <v>1</v>
      </c>
      <c r="N107" s="942"/>
      <c r="O107" s="52">
        <f t="shared" si="22"/>
        <v>1</v>
      </c>
      <c r="P107" s="942"/>
      <c r="Q107" s="52">
        <f t="shared" si="23"/>
        <v>1</v>
      </c>
      <c r="R107" s="470">
        <f t="shared" si="24"/>
        <v>0</v>
      </c>
      <c r="S107" s="779">
        <f t="shared" si="15"/>
        <v>0</v>
      </c>
    </row>
    <row r="108" spans="1:19">
      <c r="A108" s="944"/>
      <c r="B108" s="131"/>
      <c r="C108" s="52">
        <f t="shared" si="16"/>
        <v>1</v>
      </c>
      <c r="D108" s="942"/>
      <c r="E108" s="52">
        <f t="shared" si="17"/>
        <v>0</v>
      </c>
      <c r="F108" s="942"/>
      <c r="G108" s="52">
        <f t="shared" si="18"/>
        <v>0</v>
      </c>
      <c r="H108" s="942"/>
      <c r="I108" s="52">
        <f t="shared" si="19"/>
        <v>0</v>
      </c>
      <c r="J108" s="942"/>
      <c r="K108" s="52">
        <f t="shared" si="20"/>
        <v>1</v>
      </c>
      <c r="L108" s="942"/>
      <c r="M108" s="52">
        <f t="shared" si="21"/>
        <v>1</v>
      </c>
      <c r="N108" s="942"/>
      <c r="O108" s="52">
        <f t="shared" si="22"/>
        <v>1</v>
      </c>
      <c r="P108" s="942"/>
      <c r="Q108" s="52">
        <f t="shared" si="23"/>
        <v>1</v>
      </c>
      <c r="R108" s="470">
        <f t="shared" si="24"/>
        <v>0</v>
      </c>
      <c r="S108" s="779">
        <f t="shared" si="15"/>
        <v>0</v>
      </c>
    </row>
    <row r="109" spans="1:19">
      <c r="A109" s="944"/>
      <c r="B109" s="131"/>
      <c r="C109" s="52">
        <f t="shared" si="16"/>
        <v>1</v>
      </c>
      <c r="D109" s="942"/>
      <c r="E109" s="52">
        <f t="shared" si="17"/>
        <v>0</v>
      </c>
      <c r="F109" s="942"/>
      <c r="G109" s="52">
        <f t="shared" si="18"/>
        <v>0</v>
      </c>
      <c r="H109" s="942"/>
      <c r="I109" s="52">
        <f t="shared" si="19"/>
        <v>0</v>
      </c>
      <c r="J109" s="942"/>
      <c r="K109" s="52">
        <f t="shared" si="20"/>
        <v>1</v>
      </c>
      <c r="L109" s="942"/>
      <c r="M109" s="52">
        <f t="shared" si="21"/>
        <v>1</v>
      </c>
      <c r="N109" s="942"/>
      <c r="O109" s="52">
        <f t="shared" si="22"/>
        <v>1</v>
      </c>
      <c r="P109" s="942"/>
      <c r="Q109" s="52">
        <f t="shared" si="23"/>
        <v>1</v>
      </c>
      <c r="R109" s="470">
        <f t="shared" si="24"/>
        <v>0</v>
      </c>
      <c r="S109" s="779">
        <f t="shared" si="15"/>
        <v>0</v>
      </c>
    </row>
    <row r="110" spans="1:19">
      <c r="A110" s="944"/>
      <c r="B110" s="131"/>
      <c r="C110" s="52">
        <f t="shared" si="16"/>
        <v>1</v>
      </c>
      <c r="D110" s="942"/>
      <c r="E110" s="52">
        <f t="shared" si="17"/>
        <v>0</v>
      </c>
      <c r="F110" s="942"/>
      <c r="G110" s="52">
        <f t="shared" si="18"/>
        <v>0</v>
      </c>
      <c r="H110" s="942"/>
      <c r="I110" s="52">
        <f t="shared" si="19"/>
        <v>0</v>
      </c>
      <c r="J110" s="942"/>
      <c r="K110" s="52">
        <f t="shared" si="20"/>
        <v>1</v>
      </c>
      <c r="L110" s="942"/>
      <c r="M110" s="52">
        <f t="shared" si="21"/>
        <v>1</v>
      </c>
      <c r="N110" s="942"/>
      <c r="O110" s="52">
        <f t="shared" si="22"/>
        <v>1</v>
      </c>
      <c r="P110" s="942"/>
      <c r="Q110" s="52">
        <f t="shared" si="23"/>
        <v>1</v>
      </c>
      <c r="R110" s="470">
        <f t="shared" si="24"/>
        <v>0</v>
      </c>
      <c r="S110" s="779">
        <f t="shared" si="15"/>
        <v>0</v>
      </c>
    </row>
    <row r="111" spans="1:19">
      <c r="A111" s="944"/>
      <c r="B111" s="131"/>
      <c r="C111" s="52">
        <f t="shared" si="16"/>
        <v>1</v>
      </c>
      <c r="D111" s="942"/>
      <c r="E111" s="52">
        <f t="shared" si="17"/>
        <v>0</v>
      </c>
      <c r="F111" s="942"/>
      <c r="G111" s="52">
        <f t="shared" si="18"/>
        <v>0</v>
      </c>
      <c r="H111" s="942"/>
      <c r="I111" s="52">
        <f t="shared" si="19"/>
        <v>0</v>
      </c>
      <c r="J111" s="942"/>
      <c r="K111" s="52">
        <f t="shared" si="20"/>
        <v>1</v>
      </c>
      <c r="L111" s="942"/>
      <c r="M111" s="52">
        <f t="shared" si="21"/>
        <v>1</v>
      </c>
      <c r="N111" s="942"/>
      <c r="O111" s="52">
        <f t="shared" si="22"/>
        <v>1</v>
      </c>
      <c r="P111" s="942"/>
      <c r="Q111" s="52">
        <f t="shared" si="23"/>
        <v>1</v>
      </c>
      <c r="R111" s="470">
        <f t="shared" si="24"/>
        <v>0</v>
      </c>
      <c r="S111" s="779">
        <f t="shared" si="15"/>
        <v>0</v>
      </c>
    </row>
    <row r="112" spans="1:19">
      <c r="A112" s="944"/>
      <c r="B112" s="131"/>
      <c r="C112" s="52">
        <f t="shared" si="16"/>
        <v>1</v>
      </c>
      <c r="D112" s="942"/>
      <c r="E112" s="52">
        <f t="shared" si="17"/>
        <v>0</v>
      </c>
      <c r="F112" s="942"/>
      <c r="G112" s="52">
        <f t="shared" si="18"/>
        <v>0</v>
      </c>
      <c r="H112" s="942"/>
      <c r="I112" s="52">
        <f t="shared" si="19"/>
        <v>0</v>
      </c>
      <c r="J112" s="942"/>
      <c r="K112" s="52">
        <f t="shared" si="20"/>
        <v>1</v>
      </c>
      <c r="L112" s="942"/>
      <c r="M112" s="52">
        <f t="shared" si="21"/>
        <v>1</v>
      </c>
      <c r="N112" s="942"/>
      <c r="O112" s="52">
        <f t="shared" si="22"/>
        <v>1</v>
      </c>
      <c r="P112" s="942"/>
      <c r="Q112" s="52">
        <f t="shared" si="23"/>
        <v>1</v>
      </c>
      <c r="R112" s="470">
        <f t="shared" si="24"/>
        <v>0</v>
      </c>
      <c r="S112" s="779">
        <f t="shared" si="15"/>
        <v>0</v>
      </c>
    </row>
    <row r="113" spans="1:19">
      <c r="A113" s="944"/>
      <c r="B113" s="131"/>
      <c r="C113" s="52">
        <f t="shared" si="16"/>
        <v>1</v>
      </c>
      <c r="D113" s="942"/>
      <c r="E113" s="52">
        <f t="shared" si="17"/>
        <v>0</v>
      </c>
      <c r="F113" s="942"/>
      <c r="G113" s="52">
        <f t="shared" si="18"/>
        <v>0</v>
      </c>
      <c r="H113" s="942"/>
      <c r="I113" s="52">
        <f t="shared" si="19"/>
        <v>0</v>
      </c>
      <c r="J113" s="942"/>
      <c r="K113" s="52">
        <f t="shared" si="20"/>
        <v>1</v>
      </c>
      <c r="L113" s="942"/>
      <c r="M113" s="52">
        <f t="shared" si="21"/>
        <v>1</v>
      </c>
      <c r="N113" s="942"/>
      <c r="O113" s="52">
        <f t="shared" si="22"/>
        <v>1</v>
      </c>
      <c r="P113" s="942"/>
      <c r="Q113" s="52">
        <f t="shared" si="23"/>
        <v>1</v>
      </c>
      <c r="R113" s="470">
        <f t="shared" si="24"/>
        <v>0</v>
      </c>
      <c r="S113" s="779">
        <f t="shared" si="15"/>
        <v>0</v>
      </c>
    </row>
    <row r="114" spans="1:19">
      <c r="A114" s="944"/>
      <c r="B114" s="131"/>
      <c r="C114" s="52">
        <f t="shared" si="16"/>
        <v>1</v>
      </c>
      <c r="D114" s="942"/>
      <c r="E114" s="52">
        <f t="shared" si="17"/>
        <v>0</v>
      </c>
      <c r="F114" s="942"/>
      <c r="G114" s="52">
        <f t="shared" si="18"/>
        <v>0</v>
      </c>
      <c r="H114" s="942"/>
      <c r="I114" s="52">
        <f t="shared" si="19"/>
        <v>0</v>
      </c>
      <c r="J114" s="942"/>
      <c r="K114" s="52">
        <f t="shared" si="20"/>
        <v>1</v>
      </c>
      <c r="L114" s="942"/>
      <c r="M114" s="52">
        <f t="shared" si="21"/>
        <v>1</v>
      </c>
      <c r="N114" s="942"/>
      <c r="O114" s="52">
        <f t="shared" si="22"/>
        <v>1</v>
      </c>
      <c r="P114" s="942"/>
      <c r="Q114" s="52">
        <f t="shared" si="23"/>
        <v>1</v>
      </c>
      <c r="R114" s="470">
        <f t="shared" si="24"/>
        <v>0</v>
      </c>
      <c r="S114" s="779">
        <f t="shared" si="15"/>
        <v>0</v>
      </c>
    </row>
    <row r="115" spans="1:19">
      <c r="A115" s="944"/>
      <c r="B115" s="131"/>
      <c r="C115" s="52">
        <f t="shared" si="16"/>
        <v>1</v>
      </c>
      <c r="D115" s="942"/>
      <c r="E115" s="52">
        <f t="shared" si="17"/>
        <v>0</v>
      </c>
      <c r="F115" s="942"/>
      <c r="G115" s="52">
        <f t="shared" si="18"/>
        <v>0</v>
      </c>
      <c r="H115" s="942"/>
      <c r="I115" s="52">
        <f t="shared" si="19"/>
        <v>0</v>
      </c>
      <c r="J115" s="942"/>
      <c r="K115" s="52">
        <f t="shared" si="20"/>
        <v>1</v>
      </c>
      <c r="L115" s="942"/>
      <c r="M115" s="52">
        <f t="shared" si="21"/>
        <v>1</v>
      </c>
      <c r="N115" s="942"/>
      <c r="O115" s="52">
        <f t="shared" si="22"/>
        <v>1</v>
      </c>
      <c r="P115" s="942"/>
      <c r="Q115" s="52">
        <f t="shared" si="23"/>
        <v>1</v>
      </c>
      <c r="R115" s="470">
        <f t="shared" si="24"/>
        <v>0</v>
      </c>
      <c r="S115" s="779">
        <f t="shared" si="15"/>
        <v>0</v>
      </c>
    </row>
    <row r="116" spans="1:19">
      <c r="A116" s="944"/>
      <c r="B116" s="131"/>
      <c r="C116" s="52">
        <f t="shared" si="16"/>
        <v>1</v>
      </c>
      <c r="D116" s="942"/>
      <c r="E116" s="52">
        <f t="shared" si="17"/>
        <v>0</v>
      </c>
      <c r="F116" s="942"/>
      <c r="G116" s="52">
        <f t="shared" si="18"/>
        <v>0</v>
      </c>
      <c r="H116" s="942"/>
      <c r="I116" s="52">
        <f t="shared" si="19"/>
        <v>0</v>
      </c>
      <c r="J116" s="942"/>
      <c r="K116" s="52">
        <f t="shared" si="20"/>
        <v>1</v>
      </c>
      <c r="L116" s="942"/>
      <c r="M116" s="52">
        <f t="shared" si="21"/>
        <v>1</v>
      </c>
      <c r="N116" s="942"/>
      <c r="O116" s="52">
        <f t="shared" si="22"/>
        <v>1</v>
      </c>
      <c r="P116" s="942"/>
      <c r="Q116" s="52">
        <f t="shared" si="23"/>
        <v>1</v>
      </c>
      <c r="R116" s="470">
        <f t="shared" si="24"/>
        <v>0</v>
      </c>
      <c r="S116" s="779">
        <f t="shared" si="15"/>
        <v>0</v>
      </c>
    </row>
    <row r="117" spans="1:19">
      <c r="A117" s="944"/>
      <c r="B117" s="131"/>
      <c r="C117" s="52">
        <f t="shared" si="16"/>
        <v>1</v>
      </c>
      <c r="D117" s="942"/>
      <c r="E117" s="52">
        <f t="shared" si="17"/>
        <v>0</v>
      </c>
      <c r="F117" s="942"/>
      <c r="G117" s="52">
        <f t="shared" si="18"/>
        <v>0</v>
      </c>
      <c r="H117" s="942"/>
      <c r="I117" s="52">
        <f t="shared" si="19"/>
        <v>0</v>
      </c>
      <c r="J117" s="942"/>
      <c r="K117" s="52">
        <f t="shared" si="20"/>
        <v>1</v>
      </c>
      <c r="L117" s="942"/>
      <c r="M117" s="52">
        <f t="shared" si="21"/>
        <v>1</v>
      </c>
      <c r="N117" s="942"/>
      <c r="O117" s="52">
        <f t="shared" si="22"/>
        <v>1</v>
      </c>
      <c r="P117" s="942"/>
      <c r="Q117" s="52">
        <f t="shared" si="23"/>
        <v>1</v>
      </c>
      <c r="R117" s="470">
        <f t="shared" si="24"/>
        <v>0</v>
      </c>
      <c r="S117" s="779">
        <f t="shared" si="15"/>
        <v>0</v>
      </c>
    </row>
    <row r="118" spans="1:19">
      <c r="A118" s="944"/>
      <c r="B118" s="131"/>
      <c r="C118" s="52">
        <f t="shared" si="16"/>
        <v>1</v>
      </c>
      <c r="D118" s="942"/>
      <c r="E118" s="52">
        <f t="shared" si="17"/>
        <v>0</v>
      </c>
      <c r="F118" s="942"/>
      <c r="G118" s="52">
        <f t="shared" si="18"/>
        <v>0</v>
      </c>
      <c r="H118" s="942"/>
      <c r="I118" s="52">
        <f t="shared" si="19"/>
        <v>0</v>
      </c>
      <c r="J118" s="942"/>
      <c r="K118" s="52">
        <f t="shared" si="20"/>
        <v>1</v>
      </c>
      <c r="L118" s="942"/>
      <c r="M118" s="52">
        <f t="shared" si="21"/>
        <v>1</v>
      </c>
      <c r="N118" s="942"/>
      <c r="O118" s="52">
        <f t="shared" si="22"/>
        <v>1</v>
      </c>
      <c r="P118" s="942"/>
      <c r="Q118" s="52">
        <f t="shared" si="23"/>
        <v>1</v>
      </c>
      <c r="R118" s="470">
        <f t="shared" si="24"/>
        <v>0</v>
      </c>
      <c r="S118" s="779">
        <f t="shared" si="15"/>
        <v>0</v>
      </c>
    </row>
    <row r="119" spans="1:19">
      <c r="A119" s="944"/>
      <c r="B119" s="131"/>
      <c r="C119" s="52">
        <f t="shared" si="16"/>
        <v>1</v>
      </c>
      <c r="D119" s="942"/>
      <c r="E119" s="52">
        <f t="shared" si="17"/>
        <v>0</v>
      </c>
      <c r="F119" s="942"/>
      <c r="G119" s="52">
        <f t="shared" si="18"/>
        <v>0</v>
      </c>
      <c r="H119" s="942"/>
      <c r="I119" s="52">
        <f t="shared" si="19"/>
        <v>0</v>
      </c>
      <c r="J119" s="942"/>
      <c r="K119" s="52">
        <f t="shared" si="20"/>
        <v>1</v>
      </c>
      <c r="L119" s="942"/>
      <c r="M119" s="52">
        <f t="shared" si="21"/>
        <v>1</v>
      </c>
      <c r="N119" s="942"/>
      <c r="O119" s="52">
        <f t="shared" si="22"/>
        <v>1</v>
      </c>
      <c r="P119" s="942"/>
      <c r="Q119" s="52">
        <f t="shared" si="23"/>
        <v>1</v>
      </c>
      <c r="R119" s="470">
        <f t="shared" si="24"/>
        <v>0</v>
      </c>
      <c r="S119" s="779">
        <f t="shared" si="15"/>
        <v>0</v>
      </c>
    </row>
    <row r="120" spans="1:19">
      <c r="A120" s="944"/>
      <c r="B120" s="131"/>
      <c r="C120" s="52">
        <f t="shared" si="16"/>
        <v>1</v>
      </c>
      <c r="D120" s="942"/>
      <c r="E120" s="52">
        <f t="shared" si="17"/>
        <v>0</v>
      </c>
      <c r="F120" s="942"/>
      <c r="G120" s="52">
        <f t="shared" si="18"/>
        <v>0</v>
      </c>
      <c r="H120" s="942"/>
      <c r="I120" s="52">
        <f t="shared" si="19"/>
        <v>0</v>
      </c>
      <c r="J120" s="942"/>
      <c r="K120" s="52">
        <f t="shared" si="20"/>
        <v>1</v>
      </c>
      <c r="L120" s="942"/>
      <c r="M120" s="52">
        <f t="shared" si="21"/>
        <v>1</v>
      </c>
      <c r="N120" s="942"/>
      <c r="O120" s="52">
        <f t="shared" si="22"/>
        <v>1</v>
      </c>
      <c r="P120" s="942"/>
      <c r="Q120" s="52">
        <f t="shared" si="23"/>
        <v>1</v>
      </c>
      <c r="R120" s="470">
        <f t="shared" si="24"/>
        <v>0</v>
      </c>
      <c r="S120" s="779">
        <f t="shared" si="15"/>
        <v>0</v>
      </c>
    </row>
    <row r="121" spans="1:19">
      <c r="A121" s="944"/>
      <c r="B121" s="131"/>
      <c r="C121" s="52">
        <f t="shared" si="16"/>
        <v>1</v>
      </c>
      <c r="D121" s="942"/>
      <c r="E121" s="52">
        <f t="shared" si="17"/>
        <v>0</v>
      </c>
      <c r="F121" s="942"/>
      <c r="G121" s="52">
        <f t="shared" si="18"/>
        <v>0</v>
      </c>
      <c r="H121" s="942"/>
      <c r="I121" s="52">
        <f t="shared" si="19"/>
        <v>0</v>
      </c>
      <c r="J121" s="942"/>
      <c r="K121" s="52">
        <f t="shared" si="20"/>
        <v>1</v>
      </c>
      <c r="L121" s="942"/>
      <c r="M121" s="52">
        <f t="shared" si="21"/>
        <v>1</v>
      </c>
      <c r="N121" s="942"/>
      <c r="O121" s="52">
        <f t="shared" si="22"/>
        <v>1</v>
      </c>
      <c r="P121" s="942"/>
      <c r="Q121" s="52">
        <f t="shared" si="23"/>
        <v>1</v>
      </c>
      <c r="R121" s="470">
        <f t="shared" si="24"/>
        <v>0</v>
      </c>
      <c r="S121" s="779">
        <f t="shared" si="15"/>
        <v>0</v>
      </c>
    </row>
    <row r="122" spans="1:19">
      <c r="A122" s="944"/>
      <c r="B122" s="131"/>
      <c r="C122" s="52">
        <f t="shared" si="16"/>
        <v>1</v>
      </c>
      <c r="D122" s="942"/>
      <c r="E122" s="52">
        <f t="shared" si="17"/>
        <v>0</v>
      </c>
      <c r="F122" s="942"/>
      <c r="G122" s="52">
        <f t="shared" si="18"/>
        <v>0</v>
      </c>
      <c r="H122" s="942"/>
      <c r="I122" s="52">
        <f t="shared" si="19"/>
        <v>0</v>
      </c>
      <c r="J122" s="942"/>
      <c r="K122" s="52">
        <f t="shared" si="20"/>
        <v>1</v>
      </c>
      <c r="L122" s="942"/>
      <c r="M122" s="52">
        <f t="shared" si="21"/>
        <v>1</v>
      </c>
      <c r="N122" s="942"/>
      <c r="O122" s="52">
        <f t="shared" si="22"/>
        <v>1</v>
      </c>
      <c r="P122" s="942"/>
      <c r="Q122" s="52">
        <f t="shared" si="23"/>
        <v>1</v>
      </c>
      <c r="R122" s="470">
        <f t="shared" si="24"/>
        <v>0</v>
      </c>
      <c r="S122" s="779">
        <f t="shared" si="15"/>
        <v>0</v>
      </c>
    </row>
    <row r="123" spans="1:19">
      <c r="A123" s="944"/>
      <c r="B123" s="131"/>
      <c r="C123" s="52">
        <f t="shared" si="16"/>
        <v>1</v>
      </c>
      <c r="D123" s="942"/>
      <c r="E123" s="52">
        <f t="shared" si="17"/>
        <v>0</v>
      </c>
      <c r="F123" s="942"/>
      <c r="G123" s="52">
        <f t="shared" si="18"/>
        <v>0</v>
      </c>
      <c r="H123" s="942"/>
      <c r="I123" s="52">
        <f t="shared" si="19"/>
        <v>0</v>
      </c>
      <c r="J123" s="942"/>
      <c r="K123" s="52">
        <f t="shared" si="20"/>
        <v>1</v>
      </c>
      <c r="L123" s="942"/>
      <c r="M123" s="52">
        <f t="shared" si="21"/>
        <v>1</v>
      </c>
      <c r="N123" s="942"/>
      <c r="O123" s="52">
        <f t="shared" si="22"/>
        <v>1</v>
      </c>
      <c r="P123" s="942"/>
      <c r="Q123" s="52">
        <f t="shared" si="23"/>
        <v>1</v>
      </c>
      <c r="R123" s="470">
        <f t="shared" si="24"/>
        <v>0</v>
      </c>
      <c r="S123" s="779">
        <f t="shared" si="15"/>
        <v>0</v>
      </c>
    </row>
    <row r="124" spans="1:19">
      <c r="A124" s="944"/>
      <c r="B124" s="131"/>
      <c r="C124" s="52">
        <f t="shared" si="16"/>
        <v>1</v>
      </c>
      <c r="D124" s="942"/>
      <c r="E124" s="52">
        <f t="shared" si="17"/>
        <v>0</v>
      </c>
      <c r="F124" s="942"/>
      <c r="G124" s="52">
        <f t="shared" si="18"/>
        <v>0</v>
      </c>
      <c r="H124" s="942"/>
      <c r="I124" s="52">
        <f t="shared" si="19"/>
        <v>0</v>
      </c>
      <c r="J124" s="942"/>
      <c r="K124" s="52">
        <f t="shared" si="20"/>
        <v>1</v>
      </c>
      <c r="L124" s="942"/>
      <c r="M124" s="52">
        <f t="shared" si="21"/>
        <v>1</v>
      </c>
      <c r="N124" s="942"/>
      <c r="O124" s="52">
        <f t="shared" si="22"/>
        <v>1</v>
      </c>
      <c r="P124" s="942"/>
      <c r="Q124" s="52">
        <f t="shared" si="23"/>
        <v>1</v>
      </c>
      <c r="R124" s="470">
        <f t="shared" si="24"/>
        <v>0</v>
      </c>
      <c r="S124" s="779">
        <f t="shared" si="15"/>
        <v>0</v>
      </c>
    </row>
    <row r="125" spans="1:19">
      <c r="A125" s="944"/>
      <c r="B125" s="131"/>
      <c r="C125" s="52">
        <f t="shared" si="16"/>
        <v>1</v>
      </c>
      <c r="D125" s="942"/>
      <c r="E125" s="52">
        <f t="shared" si="17"/>
        <v>0</v>
      </c>
      <c r="F125" s="942"/>
      <c r="G125" s="52">
        <f t="shared" si="18"/>
        <v>0</v>
      </c>
      <c r="H125" s="942"/>
      <c r="I125" s="52">
        <f t="shared" si="19"/>
        <v>0</v>
      </c>
      <c r="J125" s="942"/>
      <c r="K125" s="52">
        <f t="shared" si="20"/>
        <v>1</v>
      </c>
      <c r="L125" s="942"/>
      <c r="M125" s="52">
        <f t="shared" si="21"/>
        <v>1</v>
      </c>
      <c r="N125" s="942"/>
      <c r="O125" s="52">
        <f t="shared" si="22"/>
        <v>1</v>
      </c>
      <c r="P125" s="942"/>
      <c r="Q125" s="52">
        <f t="shared" si="23"/>
        <v>1</v>
      </c>
      <c r="R125" s="470">
        <f t="shared" si="24"/>
        <v>0</v>
      </c>
      <c r="S125" s="779">
        <f t="shared" si="15"/>
        <v>0</v>
      </c>
    </row>
    <row r="126" spans="1:19">
      <c r="A126" s="944"/>
      <c r="B126" s="131"/>
      <c r="C126" s="52">
        <f t="shared" si="16"/>
        <v>1</v>
      </c>
      <c r="D126" s="942"/>
      <c r="E126" s="52">
        <f t="shared" si="17"/>
        <v>0</v>
      </c>
      <c r="F126" s="942"/>
      <c r="G126" s="52">
        <f t="shared" si="18"/>
        <v>0</v>
      </c>
      <c r="H126" s="942"/>
      <c r="I126" s="52">
        <f t="shared" si="19"/>
        <v>0</v>
      </c>
      <c r="J126" s="942"/>
      <c r="K126" s="52">
        <f t="shared" si="20"/>
        <v>1</v>
      </c>
      <c r="L126" s="942"/>
      <c r="M126" s="52">
        <f t="shared" si="21"/>
        <v>1</v>
      </c>
      <c r="N126" s="942"/>
      <c r="O126" s="52">
        <f t="shared" si="22"/>
        <v>1</v>
      </c>
      <c r="P126" s="942"/>
      <c r="Q126" s="52">
        <f t="shared" si="23"/>
        <v>1</v>
      </c>
      <c r="R126" s="470">
        <f t="shared" si="24"/>
        <v>0</v>
      </c>
      <c r="S126" s="779">
        <f t="shared" si="15"/>
        <v>0</v>
      </c>
    </row>
    <row r="127" spans="1:19">
      <c r="A127" s="944"/>
      <c r="B127" s="131"/>
      <c r="C127" s="52">
        <f t="shared" si="16"/>
        <v>1</v>
      </c>
      <c r="D127" s="942"/>
      <c r="E127" s="52">
        <f t="shared" si="17"/>
        <v>0</v>
      </c>
      <c r="F127" s="942"/>
      <c r="G127" s="52">
        <f t="shared" si="18"/>
        <v>0</v>
      </c>
      <c r="H127" s="942"/>
      <c r="I127" s="52">
        <f t="shared" si="19"/>
        <v>0</v>
      </c>
      <c r="J127" s="942"/>
      <c r="K127" s="52">
        <f t="shared" si="20"/>
        <v>1</v>
      </c>
      <c r="L127" s="942"/>
      <c r="M127" s="52">
        <f t="shared" si="21"/>
        <v>1</v>
      </c>
      <c r="N127" s="942"/>
      <c r="O127" s="52">
        <f t="shared" si="22"/>
        <v>1</v>
      </c>
      <c r="P127" s="942"/>
      <c r="Q127" s="52">
        <f t="shared" si="23"/>
        <v>1</v>
      </c>
      <c r="R127" s="470">
        <f t="shared" si="24"/>
        <v>0</v>
      </c>
      <c r="S127" s="779">
        <f t="shared" si="15"/>
        <v>0</v>
      </c>
    </row>
    <row r="128" spans="1:19">
      <c r="A128" s="944"/>
      <c r="B128" s="131"/>
      <c r="C128" s="52">
        <f t="shared" si="16"/>
        <v>1</v>
      </c>
      <c r="D128" s="942"/>
      <c r="E128" s="52">
        <f t="shared" si="17"/>
        <v>0</v>
      </c>
      <c r="F128" s="942"/>
      <c r="G128" s="52">
        <f t="shared" si="18"/>
        <v>0</v>
      </c>
      <c r="H128" s="942"/>
      <c r="I128" s="52">
        <f t="shared" si="19"/>
        <v>0</v>
      </c>
      <c r="J128" s="942"/>
      <c r="K128" s="52">
        <f t="shared" si="20"/>
        <v>1</v>
      </c>
      <c r="L128" s="942"/>
      <c r="M128" s="52">
        <f t="shared" si="21"/>
        <v>1</v>
      </c>
      <c r="N128" s="942"/>
      <c r="O128" s="52">
        <f t="shared" si="22"/>
        <v>1</v>
      </c>
      <c r="P128" s="942"/>
      <c r="Q128" s="52">
        <f t="shared" si="23"/>
        <v>1</v>
      </c>
      <c r="R128" s="470">
        <f t="shared" si="24"/>
        <v>0</v>
      </c>
      <c r="S128" s="779">
        <f t="shared" si="15"/>
        <v>0</v>
      </c>
    </row>
    <row r="129" spans="1:19">
      <c r="A129" s="944"/>
      <c r="B129" s="131"/>
      <c r="C129" s="52">
        <f t="shared" si="16"/>
        <v>1</v>
      </c>
      <c r="D129" s="942"/>
      <c r="E129" s="52">
        <f t="shared" si="17"/>
        <v>0</v>
      </c>
      <c r="F129" s="942"/>
      <c r="G129" s="52">
        <f t="shared" si="18"/>
        <v>0</v>
      </c>
      <c r="H129" s="942"/>
      <c r="I129" s="52">
        <f t="shared" si="19"/>
        <v>0</v>
      </c>
      <c r="J129" s="942"/>
      <c r="K129" s="52">
        <f t="shared" si="20"/>
        <v>1</v>
      </c>
      <c r="L129" s="942"/>
      <c r="M129" s="52">
        <f t="shared" si="21"/>
        <v>1</v>
      </c>
      <c r="N129" s="942"/>
      <c r="O129" s="52">
        <f t="shared" si="22"/>
        <v>1</v>
      </c>
      <c r="P129" s="942"/>
      <c r="Q129" s="52">
        <f t="shared" si="23"/>
        <v>1</v>
      </c>
      <c r="R129" s="470">
        <f t="shared" si="24"/>
        <v>0</v>
      </c>
      <c r="S129" s="779">
        <f t="shared" si="15"/>
        <v>0</v>
      </c>
    </row>
    <row r="130" spans="1:19">
      <c r="A130" s="944"/>
      <c r="B130" s="131"/>
      <c r="C130" s="52">
        <f t="shared" si="16"/>
        <v>1</v>
      </c>
      <c r="D130" s="942"/>
      <c r="E130" s="52">
        <f t="shared" si="17"/>
        <v>0</v>
      </c>
      <c r="F130" s="942"/>
      <c r="G130" s="52">
        <f t="shared" si="18"/>
        <v>0</v>
      </c>
      <c r="H130" s="942"/>
      <c r="I130" s="52">
        <f t="shared" si="19"/>
        <v>0</v>
      </c>
      <c r="J130" s="942"/>
      <c r="K130" s="52">
        <f t="shared" si="20"/>
        <v>1</v>
      </c>
      <c r="L130" s="942"/>
      <c r="M130" s="52">
        <f t="shared" si="21"/>
        <v>1</v>
      </c>
      <c r="N130" s="942"/>
      <c r="O130" s="52">
        <f t="shared" si="22"/>
        <v>1</v>
      </c>
      <c r="P130" s="942"/>
      <c r="Q130" s="52">
        <f t="shared" si="23"/>
        <v>1</v>
      </c>
      <c r="R130" s="470">
        <f t="shared" si="24"/>
        <v>0</v>
      </c>
      <c r="S130" s="779">
        <f t="shared" si="15"/>
        <v>0</v>
      </c>
    </row>
    <row r="131" spans="1:19">
      <c r="A131" s="944"/>
      <c r="B131" s="131"/>
      <c r="C131" s="52">
        <f t="shared" si="16"/>
        <v>1</v>
      </c>
      <c r="D131" s="942"/>
      <c r="E131" s="52">
        <f t="shared" si="17"/>
        <v>0</v>
      </c>
      <c r="F131" s="942"/>
      <c r="G131" s="52">
        <f t="shared" si="18"/>
        <v>0</v>
      </c>
      <c r="H131" s="942"/>
      <c r="I131" s="52">
        <f t="shared" si="19"/>
        <v>0</v>
      </c>
      <c r="J131" s="942"/>
      <c r="K131" s="52">
        <f t="shared" si="20"/>
        <v>1</v>
      </c>
      <c r="L131" s="942"/>
      <c r="M131" s="52">
        <f t="shared" si="21"/>
        <v>1</v>
      </c>
      <c r="N131" s="942"/>
      <c r="O131" s="52">
        <f t="shared" si="22"/>
        <v>1</v>
      </c>
      <c r="P131" s="942"/>
      <c r="Q131" s="52">
        <f t="shared" si="23"/>
        <v>1</v>
      </c>
      <c r="R131" s="470">
        <f t="shared" si="24"/>
        <v>0</v>
      </c>
      <c r="S131" s="779">
        <f t="shared" si="15"/>
        <v>0</v>
      </c>
    </row>
    <row r="132" spans="1:19">
      <c r="A132" s="944"/>
      <c r="B132" s="131"/>
      <c r="C132" s="52">
        <f t="shared" si="16"/>
        <v>1</v>
      </c>
      <c r="D132" s="942"/>
      <c r="E132" s="52">
        <f t="shared" si="17"/>
        <v>0</v>
      </c>
      <c r="F132" s="942"/>
      <c r="G132" s="52">
        <f t="shared" si="18"/>
        <v>0</v>
      </c>
      <c r="H132" s="942"/>
      <c r="I132" s="52">
        <f t="shared" si="19"/>
        <v>0</v>
      </c>
      <c r="J132" s="942"/>
      <c r="K132" s="52">
        <f t="shared" si="20"/>
        <v>1</v>
      </c>
      <c r="L132" s="942"/>
      <c r="M132" s="52">
        <f t="shared" si="21"/>
        <v>1</v>
      </c>
      <c r="N132" s="942"/>
      <c r="O132" s="52">
        <f t="shared" si="22"/>
        <v>1</v>
      </c>
      <c r="P132" s="942"/>
      <c r="Q132" s="52">
        <f t="shared" si="23"/>
        <v>1</v>
      </c>
      <c r="R132" s="470">
        <f t="shared" si="24"/>
        <v>0</v>
      </c>
      <c r="S132" s="779">
        <f t="shared" si="15"/>
        <v>0</v>
      </c>
    </row>
    <row r="133" spans="1:19">
      <c r="A133" s="944"/>
      <c r="B133" s="131"/>
      <c r="C133" s="52">
        <f t="shared" si="16"/>
        <v>1</v>
      </c>
      <c r="D133" s="942"/>
      <c r="E133" s="52">
        <f t="shared" si="17"/>
        <v>0</v>
      </c>
      <c r="F133" s="942"/>
      <c r="G133" s="52">
        <f t="shared" si="18"/>
        <v>0</v>
      </c>
      <c r="H133" s="942"/>
      <c r="I133" s="52">
        <f t="shared" si="19"/>
        <v>0</v>
      </c>
      <c r="J133" s="942"/>
      <c r="K133" s="52">
        <f t="shared" si="20"/>
        <v>1</v>
      </c>
      <c r="L133" s="942"/>
      <c r="M133" s="52">
        <f t="shared" si="21"/>
        <v>1</v>
      </c>
      <c r="N133" s="942"/>
      <c r="O133" s="52">
        <f t="shared" si="22"/>
        <v>1</v>
      </c>
      <c r="P133" s="942"/>
      <c r="Q133" s="52">
        <f t="shared" si="23"/>
        <v>1</v>
      </c>
      <c r="R133" s="470">
        <f t="shared" si="24"/>
        <v>0</v>
      </c>
      <c r="S133" s="779">
        <f t="shared" si="15"/>
        <v>0</v>
      </c>
    </row>
    <row r="134" spans="1:19">
      <c r="A134" s="944"/>
      <c r="B134" s="131"/>
      <c r="C134" s="52">
        <f t="shared" si="16"/>
        <v>1</v>
      </c>
      <c r="D134" s="942"/>
      <c r="E134" s="52">
        <f t="shared" si="17"/>
        <v>0</v>
      </c>
      <c r="F134" s="942"/>
      <c r="G134" s="52">
        <f t="shared" si="18"/>
        <v>0</v>
      </c>
      <c r="H134" s="942"/>
      <c r="I134" s="52">
        <f t="shared" si="19"/>
        <v>0</v>
      </c>
      <c r="J134" s="942"/>
      <c r="K134" s="52">
        <f t="shared" si="20"/>
        <v>1</v>
      </c>
      <c r="L134" s="942"/>
      <c r="M134" s="52">
        <f t="shared" si="21"/>
        <v>1</v>
      </c>
      <c r="N134" s="942"/>
      <c r="O134" s="52">
        <f t="shared" si="22"/>
        <v>1</v>
      </c>
      <c r="P134" s="942"/>
      <c r="Q134" s="52">
        <f t="shared" si="23"/>
        <v>1</v>
      </c>
      <c r="R134" s="470">
        <f t="shared" si="24"/>
        <v>0</v>
      </c>
      <c r="S134" s="779">
        <f t="shared" si="15"/>
        <v>0</v>
      </c>
    </row>
    <row r="135" spans="1:19">
      <c r="A135" s="944"/>
      <c r="B135" s="131"/>
      <c r="C135" s="52">
        <f t="shared" si="16"/>
        <v>1</v>
      </c>
      <c r="D135" s="942"/>
      <c r="E135" s="52">
        <f t="shared" si="17"/>
        <v>0</v>
      </c>
      <c r="F135" s="942"/>
      <c r="G135" s="52">
        <f t="shared" si="18"/>
        <v>0</v>
      </c>
      <c r="H135" s="942"/>
      <c r="I135" s="52">
        <f t="shared" si="19"/>
        <v>0</v>
      </c>
      <c r="J135" s="942"/>
      <c r="K135" s="52">
        <f t="shared" si="20"/>
        <v>1</v>
      </c>
      <c r="L135" s="942"/>
      <c r="M135" s="52">
        <f t="shared" si="21"/>
        <v>1</v>
      </c>
      <c r="N135" s="942"/>
      <c r="O135" s="52">
        <f t="shared" si="22"/>
        <v>1</v>
      </c>
      <c r="P135" s="942"/>
      <c r="Q135" s="52">
        <f t="shared" si="23"/>
        <v>1</v>
      </c>
      <c r="R135" s="470">
        <f t="shared" si="24"/>
        <v>0</v>
      </c>
      <c r="S135" s="779">
        <f t="shared" si="15"/>
        <v>0</v>
      </c>
    </row>
    <row r="136" spans="1:19">
      <c r="A136" s="944"/>
      <c r="B136" s="131"/>
      <c r="C136" s="52">
        <f t="shared" si="16"/>
        <v>1</v>
      </c>
      <c r="D136" s="942"/>
      <c r="E136" s="52">
        <f t="shared" si="17"/>
        <v>0</v>
      </c>
      <c r="F136" s="942"/>
      <c r="G136" s="52">
        <f t="shared" si="18"/>
        <v>0</v>
      </c>
      <c r="H136" s="942"/>
      <c r="I136" s="52">
        <f t="shared" si="19"/>
        <v>0</v>
      </c>
      <c r="J136" s="942"/>
      <c r="K136" s="52">
        <f t="shared" si="20"/>
        <v>1</v>
      </c>
      <c r="L136" s="942"/>
      <c r="M136" s="52">
        <f t="shared" si="21"/>
        <v>1</v>
      </c>
      <c r="N136" s="942"/>
      <c r="O136" s="52">
        <f t="shared" si="22"/>
        <v>1</v>
      </c>
      <c r="P136" s="942"/>
      <c r="Q136" s="52">
        <f t="shared" si="23"/>
        <v>1</v>
      </c>
      <c r="R136" s="470">
        <f t="shared" si="24"/>
        <v>0</v>
      </c>
      <c r="S136" s="779">
        <f t="shared" si="15"/>
        <v>0</v>
      </c>
    </row>
    <row r="137" spans="1:19">
      <c r="A137" s="944"/>
      <c r="B137" s="131"/>
      <c r="C137" s="52">
        <f t="shared" si="16"/>
        <v>1</v>
      </c>
      <c r="D137" s="942"/>
      <c r="E137" s="52">
        <f t="shared" si="17"/>
        <v>0</v>
      </c>
      <c r="F137" s="942"/>
      <c r="G137" s="52">
        <f t="shared" si="18"/>
        <v>0</v>
      </c>
      <c r="H137" s="942"/>
      <c r="I137" s="52">
        <f t="shared" si="19"/>
        <v>0</v>
      </c>
      <c r="J137" s="942"/>
      <c r="K137" s="52">
        <f t="shared" si="20"/>
        <v>1</v>
      </c>
      <c r="L137" s="942"/>
      <c r="M137" s="52">
        <f t="shared" si="21"/>
        <v>1</v>
      </c>
      <c r="N137" s="942"/>
      <c r="O137" s="52">
        <f t="shared" si="22"/>
        <v>1</v>
      </c>
      <c r="P137" s="942"/>
      <c r="Q137" s="52">
        <f t="shared" si="23"/>
        <v>1</v>
      </c>
      <c r="R137" s="470">
        <f t="shared" si="24"/>
        <v>0</v>
      </c>
      <c r="S137" s="779">
        <f t="shared" si="15"/>
        <v>0</v>
      </c>
    </row>
    <row r="138" spans="1:19">
      <c r="A138" s="944"/>
      <c r="B138" s="131"/>
      <c r="C138" s="52">
        <f t="shared" si="16"/>
        <v>1</v>
      </c>
      <c r="D138" s="942"/>
      <c r="E138" s="52">
        <f t="shared" si="17"/>
        <v>0</v>
      </c>
      <c r="F138" s="942"/>
      <c r="G138" s="52">
        <f t="shared" si="18"/>
        <v>0</v>
      </c>
      <c r="H138" s="942"/>
      <c r="I138" s="52">
        <f t="shared" si="19"/>
        <v>0</v>
      </c>
      <c r="J138" s="942"/>
      <c r="K138" s="52">
        <f t="shared" si="20"/>
        <v>1</v>
      </c>
      <c r="L138" s="942"/>
      <c r="M138" s="52">
        <f t="shared" si="21"/>
        <v>1</v>
      </c>
      <c r="N138" s="942"/>
      <c r="O138" s="52">
        <f t="shared" si="22"/>
        <v>1</v>
      </c>
      <c r="P138" s="942"/>
      <c r="Q138" s="52">
        <f t="shared" si="23"/>
        <v>1</v>
      </c>
      <c r="R138" s="470">
        <f t="shared" si="24"/>
        <v>0</v>
      </c>
      <c r="S138" s="779">
        <f t="shared" si="15"/>
        <v>0</v>
      </c>
    </row>
    <row r="139" spans="1:19">
      <c r="A139" s="944"/>
      <c r="B139" s="131"/>
      <c r="C139" s="52">
        <f t="shared" si="16"/>
        <v>1</v>
      </c>
      <c r="D139" s="942"/>
      <c r="E139" s="52">
        <f t="shared" si="17"/>
        <v>0</v>
      </c>
      <c r="F139" s="942"/>
      <c r="G139" s="52">
        <f t="shared" si="18"/>
        <v>0</v>
      </c>
      <c r="H139" s="942"/>
      <c r="I139" s="52">
        <f t="shared" si="19"/>
        <v>0</v>
      </c>
      <c r="J139" s="942"/>
      <c r="K139" s="52">
        <f t="shared" si="20"/>
        <v>1</v>
      </c>
      <c r="L139" s="942"/>
      <c r="M139" s="52">
        <f t="shared" si="21"/>
        <v>1</v>
      </c>
      <c r="N139" s="942"/>
      <c r="O139" s="52">
        <f t="shared" si="22"/>
        <v>1</v>
      </c>
      <c r="P139" s="942"/>
      <c r="Q139" s="52">
        <f t="shared" si="23"/>
        <v>1</v>
      </c>
      <c r="R139" s="470">
        <f t="shared" si="24"/>
        <v>0</v>
      </c>
      <c r="S139" s="779">
        <f t="shared" si="15"/>
        <v>0</v>
      </c>
    </row>
    <row r="140" spans="1:19">
      <c r="A140" s="944"/>
      <c r="B140" s="131"/>
      <c r="C140" s="52">
        <f t="shared" si="16"/>
        <v>1</v>
      </c>
      <c r="D140" s="942"/>
      <c r="E140" s="52">
        <f t="shared" si="17"/>
        <v>0</v>
      </c>
      <c r="F140" s="942"/>
      <c r="G140" s="52">
        <f t="shared" si="18"/>
        <v>0</v>
      </c>
      <c r="H140" s="942"/>
      <c r="I140" s="52">
        <f t="shared" si="19"/>
        <v>0</v>
      </c>
      <c r="J140" s="942"/>
      <c r="K140" s="52">
        <f t="shared" si="20"/>
        <v>1</v>
      </c>
      <c r="L140" s="942"/>
      <c r="M140" s="52">
        <f t="shared" si="21"/>
        <v>1</v>
      </c>
      <c r="N140" s="942"/>
      <c r="O140" s="52">
        <f t="shared" si="22"/>
        <v>1</v>
      </c>
      <c r="P140" s="942"/>
      <c r="Q140" s="52">
        <f t="shared" si="23"/>
        <v>1</v>
      </c>
      <c r="R140" s="470">
        <f t="shared" si="24"/>
        <v>0</v>
      </c>
      <c r="S140" s="779">
        <f t="shared" si="15"/>
        <v>0</v>
      </c>
    </row>
    <row r="141" spans="1:19">
      <c r="A141" s="944"/>
      <c r="B141" s="131"/>
      <c r="C141" s="52">
        <f t="shared" si="16"/>
        <v>1</v>
      </c>
      <c r="D141" s="942"/>
      <c r="E141" s="52">
        <f t="shared" si="17"/>
        <v>0</v>
      </c>
      <c r="F141" s="942"/>
      <c r="G141" s="52">
        <f t="shared" si="18"/>
        <v>0</v>
      </c>
      <c r="H141" s="942"/>
      <c r="I141" s="52">
        <f t="shared" si="19"/>
        <v>0</v>
      </c>
      <c r="J141" s="942"/>
      <c r="K141" s="52">
        <f t="shared" si="20"/>
        <v>1</v>
      </c>
      <c r="L141" s="942"/>
      <c r="M141" s="52">
        <f t="shared" si="21"/>
        <v>1</v>
      </c>
      <c r="N141" s="942"/>
      <c r="O141" s="52">
        <f t="shared" si="22"/>
        <v>1</v>
      </c>
      <c r="P141" s="942"/>
      <c r="Q141" s="52">
        <f t="shared" si="23"/>
        <v>1</v>
      </c>
      <c r="R141" s="470">
        <f t="shared" si="24"/>
        <v>0</v>
      </c>
      <c r="S141" s="779">
        <f t="shared" si="15"/>
        <v>0</v>
      </c>
    </row>
    <row r="142" spans="1:19">
      <c r="A142" s="944"/>
      <c r="B142" s="131"/>
      <c r="C142" s="52">
        <f t="shared" si="16"/>
        <v>1</v>
      </c>
      <c r="D142" s="942"/>
      <c r="E142" s="52">
        <f t="shared" si="17"/>
        <v>0</v>
      </c>
      <c r="F142" s="942"/>
      <c r="G142" s="52">
        <f t="shared" si="18"/>
        <v>0</v>
      </c>
      <c r="H142" s="942"/>
      <c r="I142" s="52">
        <f t="shared" si="19"/>
        <v>0</v>
      </c>
      <c r="J142" s="942"/>
      <c r="K142" s="52">
        <f t="shared" si="20"/>
        <v>1</v>
      </c>
      <c r="L142" s="942"/>
      <c r="M142" s="52">
        <f t="shared" si="21"/>
        <v>1</v>
      </c>
      <c r="N142" s="942"/>
      <c r="O142" s="52">
        <f t="shared" si="22"/>
        <v>1</v>
      </c>
      <c r="P142" s="942"/>
      <c r="Q142" s="52">
        <f t="shared" si="23"/>
        <v>1</v>
      </c>
      <c r="R142" s="470">
        <f t="shared" si="24"/>
        <v>0</v>
      </c>
      <c r="S142" s="779">
        <f t="shared" si="15"/>
        <v>0</v>
      </c>
    </row>
    <row r="143" spans="1:19">
      <c r="A143" s="944"/>
      <c r="B143" s="131"/>
      <c r="C143" s="52">
        <f t="shared" si="16"/>
        <v>1</v>
      </c>
      <c r="D143" s="942"/>
      <c r="E143" s="52">
        <f t="shared" si="17"/>
        <v>0</v>
      </c>
      <c r="F143" s="942"/>
      <c r="G143" s="52">
        <f t="shared" si="18"/>
        <v>0</v>
      </c>
      <c r="H143" s="942"/>
      <c r="I143" s="52">
        <f t="shared" si="19"/>
        <v>0</v>
      </c>
      <c r="J143" s="942"/>
      <c r="K143" s="52">
        <f t="shared" si="20"/>
        <v>1</v>
      </c>
      <c r="L143" s="942"/>
      <c r="M143" s="52">
        <f t="shared" si="21"/>
        <v>1</v>
      </c>
      <c r="N143" s="942"/>
      <c r="O143" s="52">
        <f t="shared" si="22"/>
        <v>1</v>
      </c>
      <c r="P143" s="942"/>
      <c r="Q143" s="52">
        <f t="shared" si="23"/>
        <v>1</v>
      </c>
      <c r="R143" s="470">
        <f t="shared" si="24"/>
        <v>0</v>
      </c>
      <c r="S143" s="779">
        <f t="shared" si="15"/>
        <v>0</v>
      </c>
    </row>
    <row r="144" spans="1:19">
      <c r="A144" s="944"/>
      <c r="B144" s="131"/>
      <c r="C144" s="52">
        <f t="shared" si="16"/>
        <v>1</v>
      </c>
      <c r="D144" s="942"/>
      <c r="E144" s="52">
        <f t="shared" si="17"/>
        <v>0</v>
      </c>
      <c r="F144" s="942"/>
      <c r="G144" s="52">
        <f t="shared" si="18"/>
        <v>0</v>
      </c>
      <c r="H144" s="942"/>
      <c r="I144" s="52">
        <f t="shared" si="19"/>
        <v>0</v>
      </c>
      <c r="J144" s="942"/>
      <c r="K144" s="52">
        <f t="shared" si="20"/>
        <v>1</v>
      </c>
      <c r="L144" s="942"/>
      <c r="M144" s="52">
        <f t="shared" si="21"/>
        <v>1</v>
      </c>
      <c r="N144" s="942"/>
      <c r="O144" s="52">
        <f t="shared" si="22"/>
        <v>1</v>
      </c>
      <c r="P144" s="942"/>
      <c r="Q144" s="52">
        <f t="shared" si="23"/>
        <v>1</v>
      </c>
      <c r="R144" s="470">
        <f t="shared" si="24"/>
        <v>0</v>
      </c>
      <c r="S144" s="779">
        <f t="shared" si="15"/>
        <v>0</v>
      </c>
    </row>
    <row r="145" spans="1:19">
      <c r="A145" s="944"/>
      <c r="B145" s="131"/>
      <c r="C145" s="52">
        <f t="shared" si="16"/>
        <v>1</v>
      </c>
      <c r="D145" s="942"/>
      <c r="E145" s="52">
        <f t="shared" si="17"/>
        <v>0</v>
      </c>
      <c r="F145" s="942"/>
      <c r="G145" s="52">
        <f t="shared" si="18"/>
        <v>0</v>
      </c>
      <c r="H145" s="942"/>
      <c r="I145" s="52">
        <f t="shared" si="19"/>
        <v>0</v>
      </c>
      <c r="J145" s="942"/>
      <c r="K145" s="52">
        <f t="shared" si="20"/>
        <v>1</v>
      </c>
      <c r="L145" s="942"/>
      <c r="M145" s="52">
        <f t="shared" si="21"/>
        <v>1</v>
      </c>
      <c r="N145" s="942"/>
      <c r="O145" s="52">
        <f t="shared" si="22"/>
        <v>1</v>
      </c>
      <c r="P145" s="942"/>
      <c r="Q145" s="52">
        <f t="shared" si="23"/>
        <v>1</v>
      </c>
      <c r="R145" s="470">
        <f t="shared" si="24"/>
        <v>0</v>
      </c>
      <c r="S145" s="779">
        <f t="shared" si="15"/>
        <v>0</v>
      </c>
    </row>
    <row r="146" spans="1:19">
      <c r="A146" s="944"/>
      <c r="B146" s="131"/>
      <c r="C146" s="52">
        <f t="shared" si="16"/>
        <v>1</v>
      </c>
      <c r="D146" s="942"/>
      <c r="E146" s="52">
        <f t="shared" si="17"/>
        <v>0</v>
      </c>
      <c r="F146" s="942"/>
      <c r="G146" s="52">
        <f t="shared" si="18"/>
        <v>0</v>
      </c>
      <c r="H146" s="942"/>
      <c r="I146" s="52">
        <f t="shared" si="19"/>
        <v>0</v>
      </c>
      <c r="J146" s="942"/>
      <c r="K146" s="52">
        <f t="shared" si="20"/>
        <v>1</v>
      </c>
      <c r="L146" s="942"/>
      <c r="M146" s="52">
        <f t="shared" si="21"/>
        <v>1</v>
      </c>
      <c r="N146" s="942"/>
      <c r="O146" s="52">
        <f t="shared" si="22"/>
        <v>1</v>
      </c>
      <c r="P146" s="942"/>
      <c r="Q146" s="52">
        <f t="shared" si="23"/>
        <v>1</v>
      </c>
      <c r="R146" s="470">
        <f t="shared" si="24"/>
        <v>0</v>
      </c>
      <c r="S146" s="779">
        <f t="shared" si="15"/>
        <v>0</v>
      </c>
    </row>
    <row r="147" spans="1:19">
      <c r="A147" s="944"/>
      <c r="B147" s="131"/>
      <c r="C147" s="52">
        <f t="shared" si="16"/>
        <v>1</v>
      </c>
      <c r="D147" s="942"/>
      <c r="E147" s="52">
        <f t="shared" si="17"/>
        <v>0</v>
      </c>
      <c r="F147" s="942"/>
      <c r="G147" s="52">
        <f t="shared" si="18"/>
        <v>0</v>
      </c>
      <c r="H147" s="942"/>
      <c r="I147" s="52">
        <f t="shared" si="19"/>
        <v>0</v>
      </c>
      <c r="J147" s="942"/>
      <c r="K147" s="52">
        <f t="shared" si="20"/>
        <v>1</v>
      </c>
      <c r="L147" s="942"/>
      <c r="M147" s="52">
        <f t="shared" si="21"/>
        <v>1</v>
      </c>
      <c r="N147" s="942"/>
      <c r="O147" s="52">
        <f t="shared" si="22"/>
        <v>1</v>
      </c>
      <c r="P147" s="942"/>
      <c r="Q147" s="52">
        <f t="shared" si="23"/>
        <v>1</v>
      </c>
      <c r="R147" s="470">
        <f t="shared" si="24"/>
        <v>0</v>
      </c>
      <c r="S147" s="779">
        <f t="shared" si="15"/>
        <v>0</v>
      </c>
    </row>
    <row r="148" spans="1:19">
      <c r="A148" s="944"/>
      <c r="B148" s="131"/>
      <c r="C148" s="52">
        <f t="shared" si="16"/>
        <v>1</v>
      </c>
      <c r="D148" s="942"/>
      <c r="E148" s="52">
        <f t="shared" si="17"/>
        <v>0</v>
      </c>
      <c r="F148" s="942"/>
      <c r="G148" s="52">
        <f t="shared" si="18"/>
        <v>0</v>
      </c>
      <c r="H148" s="942"/>
      <c r="I148" s="52">
        <f t="shared" si="19"/>
        <v>0</v>
      </c>
      <c r="J148" s="942"/>
      <c r="K148" s="52">
        <f t="shared" si="20"/>
        <v>1</v>
      </c>
      <c r="L148" s="942"/>
      <c r="M148" s="52">
        <f t="shared" si="21"/>
        <v>1</v>
      </c>
      <c r="N148" s="942"/>
      <c r="O148" s="52">
        <f t="shared" si="22"/>
        <v>1</v>
      </c>
      <c r="P148" s="942"/>
      <c r="Q148" s="52">
        <f t="shared" si="23"/>
        <v>1</v>
      </c>
      <c r="R148" s="470">
        <f t="shared" si="24"/>
        <v>0</v>
      </c>
      <c r="S148" s="779">
        <f t="shared" si="15"/>
        <v>0</v>
      </c>
    </row>
    <row r="149" spans="1:19">
      <c r="A149" s="944"/>
      <c r="B149" s="131"/>
      <c r="C149" s="52">
        <f t="shared" si="16"/>
        <v>1</v>
      </c>
      <c r="D149" s="942"/>
      <c r="E149" s="52">
        <f t="shared" si="17"/>
        <v>0</v>
      </c>
      <c r="F149" s="942"/>
      <c r="G149" s="52">
        <f t="shared" si="18"/>
        <v>0</v>
      </c>
      <c r="H149" s="942"/>
      <c r="I149" s="52">
        <f t="shared" si="19"/>
        <v>0</v>
      </c>
      <c r="J149" s="942"/>
      <c r="K149" s="52">
        <f t="shared" si="20"/>
        <v>1</v>
      </c>
      <c r="L149" s="942"/>
      <c r="M149" s="52">
        <f t="shared" si="21"/>
        <v>1</v>
      </c>
      <c r="N149" s="942"/>
      <c r="O149" s="52">
        <f t="shared" si="22"/>
        <v>1</v>
      </c>
      <c r="P149" s="942"/>
      <c r="Q149" s="52">
        <f t="shared" si="23"/>
        <v>1</v>
      </c>
      <c r="R149" s="470">
        <f t="shared" si="24"/>
        <v>0</v>
      </c>
      <c r="S149" s="779">
        <f t="shared" si="15"/>
        <v>0</v>
      </c>
    </row>
    <row r="150" spans="1:19">
      <c r="A150" s="944"/>
      <c r="B150" s="131"/>
      <c r="C150" s="52">
        <f t="shared" si="16"/>
        <v>1</v>
      </c>
      <c r="D150" s="942"/>
      <c r="E150" s="52">
        <f t="shared" si="17"/>
        <v>0</v>
      </c>
      <c r="F150" s="942"/>
      <c r="G150" s="52">
        <f t="shared" si="18"/>
        <v>0</v>
      </c>
      <c r="H150" s="942"/>
      <c r="I150" s="52">
        <f t="shared" si="19"/>
        <v>0</v>
      </c>
      <c r="J150" s="942"/>
      <c r="K150" s="52">
        <f t="shared" si="20"/>
        <v>1</v>
      </c>
      <c r="L150" s="942"/>
      <c r="M150" s="52">
        <f t="shared" si="21"/>
        <v>1</v>
      </c>
      <c r="N150" s="942"/>
      <c r="O150" s="52">
        <f t="shared" si="22"/>
        <v>1</v>
      </c>
      <c r="P150" s="942"/>
      <c r="Q150" s="52">
        <f t="shared" si="23"/>
        <v>1</v>
      </c>
      <c r="R150" s="470">
        <f t="shared" si="24"/>
        <v>0</v>
      </c>
      <c r="S150" s="779">
        <f t="shared" si="15"/>
        <v>0</v>
      </c>
    </row>
    <row r="151" spans="1:19">
      <c r="A151" s="944"/>
      <c r="B151" s="131"/>
      <c r="C151" s="52">
        <f t="shared" si="16"/>
        <v>1</v>
      </c>
      <c r="D151" s="942"/>
      <c r="E151" s="52">
        <f t="shared" si="17"/>
        <v>0</v>
      </c>
      <c r="F151" s="942"/>
      <c r="G151" s="52">
        <f t="shared" si="18"/>
        <v>0</v>
      </c>
      <c r="H151" s="942"/>
      <c r="I151" s="52">
        <f t="shared" si="19"/>
        <v>0</v>
      </c>
      <c r="J151" s="942"/>
      <c r="K151" s="52">
        <f t="shared" si="20"/>
        <v>1</v>
      </c>
      <c r="L151" s="942"/>
      <c r="M151" s="52">
        <f t="shared" si="21"/>
        <v>1</v>
      </c>
      <c r="N151" s="942"/>
      <c r="O151" s="52">
        <f t="shared" si="22"/>
        <v>1</v>
      </c>
      <c r="P151" s="942"/>
      <c r="Q151" s="52">
        <f t="shared" si="23"/>
        <v>1</v>
      </c>
      <c r="R151" s="470">
        <f t="shared" si="24"/>
        <v>0</v>
      </c>
      <c r="S151" s="779">
        <f t="shared" si="15"/>
        <v>0</v>
      </c>
    </row>
    <row r="152" spans="1:19">
      <c r="A152" s="944"/>
      <c r="B152" s="131"/>
      <c r="C152" s="52">
        <f t="shared" si="16"/>
        <v>1</v>
      </c>
      <c r="D152" s="942"/>
      <c r="E152" s="52">
        <f t="shared" si="17"/>
        <v>0</v>
      </c>
      <c r="F152" s="942"/>
      <c r="G152" s="52">
        <f t="shared" si="18"/>
        <v>0</v>
      </c>
      <c r="H152" s="942"/>
      <c r="I152" s="52">
        <f t="shared" si="19"/>
        <v>0</v>
      </c>
      <c r="J152" s="942"/>
      <c r="K152" s="52">
        <f t="shared" si="20"/>
        <v>1</v>
      </c>
      <c r="L152" s="942"/>
      <c r="M152" s="52">
        <f t="shared" si="21"/>
        <v>1</v>
      </c>
      <c r="N152" s="942"/>
      <c r="O152" s="52">
        <f t="shared" si="22"/>
        <v>1</v>
      </c>
      <c r="P152" s="942"/>
      <c r="Q152" s="52">
        <f t="shared" si="23"/>
        <v>1</v>
      </c>
      <c r="R152" s="470">
        <f t="shared" si="24"/>
        <v>0</v>
      </c>
      <c r="S152" s="779">
        <f t="shared" ref="S152:S215" si="25">ROUND(R152*B152/10000,0)</f>
        <v>0</v>
      </c>
    </row>
    <row r="153" spans="1:19">
      <c r="A153" s="944"/>
      <c r="B153" s="131"/>
      <c r="C153" s="52">
        <f t="shared" si="16"/>
        <v>1</v>
      </c>
      <c r="D153" s="942"/>
      <c r="E153" s="52">
        <f t="shared" si="17"/>
        <v>0</v>
      </c>
      <c r="F153" s="942"/>
      <c r="G153" s="52">
        <f t="shared" si="18"/>
        <v>0</v>
      </c>
      <c r="H153" s="942"/>
      <c r="I153" s="52">
        <f t="shared" si="19"/>
        <v>0</v>
      </c>
      <c r="J153" s="942"/>
      <c r="K153" s="52">
        <f t="shared" si="20"/>
        <v>1</v>
      </c>
      <c r="L153" s="942"/>
      <c r="M153" s="52">
        <f t="shared" si="21"/>
        <v>1</v>
      </c>
      <c r="N153" s="942"/>
      <c r="O153" s="52">
        <f t="shared" si="22"/>
        <v>1</v>
      </c>
      <c r="P153" s="942"/>
      <c r="Q153" s="52">
        <f t="shared" si="23"/>
        <v>1</v>
      </c>
      <c r="R153" s="470">
        <f t="shared" si="24"/>
        <v>0</v>
      </c>
      <c r="S153" s="779">
        <f t="shared" si="25"/>
        <v>0</v>
      </c>
    </row>
    <row r="154" spans="1:19">
      <c r="A154" s="944"/>
      <c r="B154" s="131"/>
      <c r="C154" s="52">
        <f t="shared" ref="C154:C217" si="26">IF(B154="",1,(LOOKUP(B154,$3:$3,$4:$4)-LOOKUP($B$24,$3:$3,$4:$4)+100)/100)</f>
        <v>1</v>
      </c>
      <c r="D154" s="942"/>
      <c r="E154" s="52">
        <f t="shared" ref="E154:E217" si="27">(SUMIF($5:$5,D154,$6:$6)-SUMIF($5:$5,$D$24,$6:$6)+100)/100</f>
        <v>0</v>
      </c>
      <c r="F154" s="942"/>
      <c r="G154" s="52">
        <f t="shared" ref="G154:G217" si="28">(SUMIF($7:$7,F154,$8:$8)-SUMIF($7:$7,$F$24,$8:$8)+100)/100</f>
        <v>0</v>
      </c>
      <c r="H154" s="942"/>
      <c r="I154" s="52">
        <f t="shared" ref="I154:I217" si="29">(SUMIF($9:$9,H154,$10:$10)-SUMIF($9:$9,$H$24,$10:$10)+100)/100</f>
        <v>0</v>
      </c>
      <c r="J154" s="942"/>
      <c r="K154" s="52">
        <f t="shared" ref="K154:K217" si="30">(SUMIF($11:$11,J154,$12:$12)-SUMIF($11:$11,$J$24,$12:$12)+100)/100</f>
        <v>1</v>
      </c>
      <c r="L154" s="942"/>
      <c r="M154" s="52">
        <f t="shared" ref="M154:M217" si="31">(SUMIF($13:$13,L154,$14:$14)-SUMIF($13:$13,$L$24,$14:$14)+100)/100</f>
        <v>1</v>
      </c>
      <c r="N154" s="942"/>
      <c r="O154" s="52">
        <f t="shared" ref="O154:O217" si="32">(SUMIF($15:$15,N154,$16:$16)-SUMIF($15:$15,$N$24,$16:$16)+100)/100</f>
        <v>1</v>
      </c>
      <c r="P154" s="942"/>
      <c r="Q154" s="52">
        <f t="shared" ref="Q154:Q217" si="33">(SUMIF($17:$17,P154,$18:$18)-SUMIF($17:$17,$P$24,$18:$18)+100)/100</f>
        <v>1</v>
      </c>
      <c r="R154" s="470">
        <f t="shared" ref="R154:R217" si="34">IF(B154="",0,ROUND($R$24*C154*E154*G154*I154*K154*M154*O154*Q154,0))</f>
        <v>0</v>
      </c>
      <c r="S154" s="779">
        <f t="shared" si="25"/>
        <v>0</v>
      </c>
    </row>
    <row r="155" spans="1:19">
      <c r="A155" s="944"/>
      <c r="B155" s="131"/>
      <c r="C155" s="52">
        <f t="shared" si="26"/>
        <v>1</v>
      </c>
      <c r="D155" s="942"/>
      <c r="E155" s="52">
        <f t="shared" si="27"/>
        <v>0</v>
      </c>
      <c r="F155" s="942"/>
      <c r="G155" s="52">
        <f t="shared" si="28"/>
        <v>0</v>
      </c>
      <c r="H155" s="942"/>
      <c r="I155" s="52">
        <f t="shared" si="29"/>
        <v>0</v>
      </c>
      <c r="J155" s="942"/>
      <c r="K155" s="52">
        <f t="shared" si="30"/>
        <v>1</v>
      </c>
      <c r="L155" s="942"/>
      <c r="M155" s="52">
        <f t="shared" si="31"/>
        <v>1</v>
      </c>
      <c r="N155" s="942"/>
      <c r="O155" s="52">
        <f t="shared" si="32"/>
        <v>1</v>
      </c>
      <c r="P155" s="942"/>
      <c r="Q155" s="52">
        <f t="shared" si="33"/>
        <v>1</v>
      </c>
      <c r="R155" s="470">
        <f t="shared" si="34"/>
        <v>0</v>
      </c>
      <c r="S155" s="779">
        <f t="shared" si="25"/>
        <v>0</v>
      </c>
    </row>
    <row r="156" spans="1:19">
      <c r="A156" s="944"/>
      <c r="B156" s="131"/>
      <c r="C156" s="52">
        <f t="shared" si="26"/>
        <v>1</v>
      </c>
      <c r="D156" s="942"/>
      <c r="E156" s="52">
        <f t="shared" si="27"/>
        <v>0</v>
      </c>
      <c r="F156" s="942"/>
      <c r="G156" s="52">
        <f t="shared" si="28"/>
        <v>0</v>
      </c>
      <c r="H156" s="942"/>
      <c r="I156" s="52">
        <f t="shared" si="29"/>
        <v>0</v>
      </c>
      <c r="J156" s="942"/>
      <c r="K156" s="52">
        <f t="shared" si="30"/>
        <v>1</v>
      </c>
      <c r="L156" s="942"/>
      <c r="M156" s="52">
        <f t="shared" si="31"/>
        <v>1</v>
      </c>
      <c r="N156" s="942"/>
      <c r="O156" s="52">
        <f t="shared" si="32"/>
        <v>1</v>
      </c>
      <c r="P156" s="942"/>
      <c r="Q156" s="52">
        <f t="shared" si="33"/>
        <v>1</v>
      </c>
      <c r="R156" s="470">
        <f t="shared" si="34"/>
        <v>0</v>
      </c>
      <c r="S156" s="779">
        <f t="shared" si="25"/>
        <v>0</v>
      </c>
    </row>
    <row r="157" spans="1:19">
      <c r="A157" s="944"/>
      <c r="B157" s="131"/>
      <c r="C157" s="52">
        <f t="shared" si="26"/>
        <v>1</v>
      </c>
      <c r="D157" s="942"/>
      <c r="E157" s="52">
        <f t="shared" si="27"/>
        <v>0</v>
      </c>
      <c r="F157" s="942"/>
      <c r="G157" s="52">
        <f t="shared" si="28"/>
        <v>0</v>
      </c>
      <c r="H157" s="942"/>
      <c r="I157" s="52">
        <f t="shared" si="29"/>
        <v>0</v>
      </c>
      <c r="J157" s="942"/>
      <c r="K157" s="52">
        <f t="shared" si="30"/>
        <v>1</v>
      </c>
      <c r="L157" s="942"/>
      <c r="M157" s="52">
        <f t="shared" si="31"/>
        <v>1</v>
      </c>
      <c r="N157" s="942"/>
      <c r="O157" s="52">
        <f t="shared" si="32"/>
        <v>1</v>
      </c>
      <c r="P157" s="942"/>
      <c r="Q157" s="52">
        <f t="shared" si="33"/>
        <v>1</v>
      </c>
      <c r="R157" s="470">
        <f t="shared" si="34"/>
        <v>0</v>
      </c>
      <c r="S157" s="779">
        <f t="shared" si="25"/>
        <v>0</v>
      </c>
    </row>
    <row r="158" spans="1:19">
      <c r="A158" s="944"/>
      <c r="B158" s="131"/>
      <c r="C158" s="52">
        <f t="shared" si="26"/>
        <v>1</v>
      </c>
      <c r="D158" s="942"/>
      <c r="E158" s="52">
        <f t="shared" si="27"/>
        <v>0</v>
      </c>
      <c r="F158" s="942"/>
      <c r="G158" s="52">
        <f t="shared" si="28"/>
        <v>0</v>
      </c>
      <c r="H158" s="942"/>
      <c r="I158" s="52">
        <f t="shared" si="29"/>
        <v>0</v>
      </c>
      <c r="J158" s="942"/>
      <c r="K158" s="52">
        <f t="shared" si="30"/>
        <v>1</v>
      </c>
      <c r="L158" s="942"/>
      <c r="M158" s="52">
        <f t="shared" si="31"/>
        <v>1</v>
      </c>
      <c r="N158" s="942"/>
      <c r="O158" s="52">
        <f t="shared" si="32"/>
        <v>1</v>
      </c>
      <c r="P158" s="942"/>
      <c r="Q158" s="52">
        <f t="shared" si="33"/>
        <v>1</v>
      </c>
      <c r="R158" s="470">
        <f t="shared" si="34"/>
        <v>0</v>
      </c>
      <c r="S158" s="779">
        <f t="shared" si="25"/>
        <v>0</v>
      </c>
    </row>
    <row r="159" spans="1:19">
      <c r="A159" s="944"/>
      <c r="B159" s="131"/>
      <c r="C159" s="52">
        <f t="shared" si="26"/>
        <v>1</v>
      </c>
      <c r="D159" s="942"/>
      <c r="E159" s="52">
        <f t="shared" si="27"/>
        <v>0</v>
      </c>
      <c r="F159" s="942"/>
      <c r="G159" s="52">
        <f t="shared" si="28"/>
        <v>0</v>
      </c>
      <c r="H159" s="942"/>
      <c r="I159" s="52">
        <f t="shared" si="29"/>
        <v>0</v>
      </c>
      <c r="J159" s="942"/>
      <c r="K159" s="52">
        <f t="shared" si="30"/>
        <v>1</v>
      </c>
      <c r="L159" s="942"/>
      <c r="M159" s="52">
        <f t="shared" si="31"/>
        <v>1</v>
      </c>
      <c r="N159" s="942"/>
      <c r="O159" s="52">
        <f t="shared" si="32"/>
        <v>1</v>
      </c>
      <c r="P159" s="942"/>
      <c r="Q159" s="52">
        <f t="shared" si="33"/>
        <v>1</v>
      </c>
      <c r="R159" s="470">
        <f t="shared" si="34"/>
        <v>0</v>
      </c>
      <c r="S159" s="779">
        <f t="shared" si="25"/>
        <v>0</v>
      </c>
    </row>
    <row r="160" spans="1:19">
      <c r="A160" s="944"/>
      <c r="B160" s="131"/>
      <c r="C160" s="52">
        <f t="shared" si="26"/>
        <v>1</v>
      </c>
      <c r="D160" s="942"/>
      <c r="E160" s="52">
        <f t="shared" si="27"/>
        <v>0</v>
      </c>
      <c r="F160" s="942"/>
      <c r="G160" s="52">
        <f t="shared" si="28"/>
        <v>0</v>
      </c>
      <c r="H160" s="942"/>
      <c r="I160" s="52">
        <f t="shared" si="29"/>
        <v>0</v>
      </c>
      <c r="J160" s="942"/>
      <c r="K160" s="52">
        <f t="shared" si="30"/>
        <v>1</v>
      </c>
      <c r="L160" s="942"/>
      <c r="M160" s="52">
        <f t="shared" si="31"/>
        <v>1</v>
      </c>
      <c r="N160" s="942"/>
      <c r="O160" s="52">
        <f t="shared" si="32"/>
        <v>1</v>
      </c>
      <c r="P160" s="942"/>
      <c r="Q160" s="52">
        <f t="shared" si="33"/>
        <v>1</v>
      </c>
      <c r="R160" s="470">
        <f t="shared" si="34"/>
        <v>0</v>
      </c>
      <c r="S160" s="779">
        <f t="shared" si="25"/>
        <v>0</v>
      </c>
    </row>
    <row r="161" spans="1:19">
      <c r="A161" s="944"/>
      <c r="B161" s="131"/>
      <c r="C161" s="52">
        <f t="shared" si="26"/>
        <v>1</v>
      </c>
      <c r="D161" s="942"/>
      <c r="E161" s="52">
        <f t="shared" si="27"/>
        <v>0</v>
      </c>
      <c r="F161" s="942"/>
      <c r="G161" s="52">
        <f t="shared" si="28"/>
        <v>0</v>
      </c>
      <c r="H161" s="942"/>
      <c r="I161" s="52">
        <f t="shared" si="29"/>
        <v>0</v>
      </c>
      <c r="J161" s="942"/>
      <c r="K161" s="52">
        <f t="shared" si="30"/>
        <v>1</v>
      </c>
      <c r="L161" s="942"/>
      <c r="M161" s="52">
        <f t="shared" si="31"/>
        <v>1</v>
      </c>
      <c r="N161" s="942"/>
      <c r="O161" s="52">
        <f t="shared" si="32"/>
        <v>1</v>
      </c>
      <c r="P161" s="942"/>
      <c r="Q161" s="52">
        <f t="shared" si="33"/>
        <v>1</v>
      </c>
      <c r="R161" s="470">
        <f t="shared" si="34"/>
        <v>0</v>
      </c>
      <c r="S161" s="779">
        <f t="shared" si="25"/>
        <v>0</v>
      </c>
    </row>
    <row r="162" spans="1:19">
      <c r="A162" s="944"/>
      <c r="B162" s="131"/>
      <c r="C162" s="52">
        <f t="shared" si="26"/>
        <v>1</v>
      </c>
      <c r="D162" s="942"/>
      <c r="E162" s="52">
        <f t="shared" si="27"/>
        <v>0</v>
      </c>
      <c r="F162" s="942"/>
      <c r="G162" s="52">
        <f t="shared" si="28"/>
        <v>0</v>
      </c>
      <c r="H162" s="942"/>
      <c r="I162" s="52">
        <f t="shared" si="29"/>
        <v>0</v>
      </c>
      <c r="J162" s="942"/>
      <c r="K162" s="52">
        <f t="shared" si="30"/>
        <v>1</v>
      </c>
      <c r="L162" s="942"/>
      <c r="M162" s="52">
        <f t="shared" si="31"/>
        <v>1</v>
      </c>
      <c r="N162" s="942"/>
      <c r="O162" s="52">
        <f t="shared" si="32"/>
        <v>1</v>
      </c>
      <c r="P162" s="942"/>
      <c r="Q162" s="52">
        <f t="shared" si="33"/>
        <v>1</v>
      </c>
      <c r="R162" s="470">
        <f t="shared" si="34"/>
        <v>0</v>
      </c>
      <c r="S162" s="779">
        <f t="shared" si="25"/>
        <v>0</v>
      </c>
    </row>
    <row r="163" spans="1:19">
      <c r="A163" s="944"/>
      <c r="B163" s="131"/>
      <c r="C163" s="52">
        <f t="shared" si="26"/>
        <v>1</v>
      </c>
      <c r="D163" s="942"/>
      <c r="E163" s="52">
        <f t="shared" si="27"/>
        <v>0</v>
      </c>
      <c r="F163" s="942"/>
      <c r="G163" s="52">
        <f t="shared" si="28"/>
        <v>0</v>
      </c>
      <c r="H163" s="942"/>
      <c r="I163" s="52">
        <f t="shared" si="29"/>
        <v>0</v>
      </c>
      <c r="J163" s="942"/>
      <c r="K163" s="52">
        <f t="shared" si="30"/>
        <v>1</v>
      </c>
      <c r="L163" s="942"/>
      <c r="M163" s="52">
        <f t="shared" si="31"/>
        <v>1</v>
      </c>
      <c r="N163" s="942"/>
      <c r="O163" s="52">
        <f t="shared" si="32"/>
        <v>1</v>
      </c>
      <c r="P163" s="942"/>
      <c r="Q163" s="52">
        <f t="shared" si="33"/>
        <v>1</v>
      </c>
      <c r="R163" s="470">
        <f t="shared" si="34"/>
        <v>0</v>
      </c>
      <c r="S163" s="779">
        <f t="shared" si="25"/>
        <v>0</v>
      </c>
    </row>
    <row r="164" spans="1:19">
      <c r="A164" s="944"/>
      <c r="B164" s="131"/>
      <c r="C164" s="52">
        <f t="shared" si="26"/>
        <v>1</v>
      </c>
      <c r="D164" s="942"/>
      <c r="E164" s="52">
        <f t="shared" si="27"/>
        <v>0</v>
      </c>
      <c r="F164" s="942"/>
      <c r="G164" s="52">
        <f t="shared" si="28"/>
        <v>0</v>
      </c>
      <c r="H164" s="942"/>
      <c r="I164" s="52">
        <f t="shared" si="29"/>
        <v>0</v>
      </c>
      <c r="J164" s="942"/>
      <c r="K164" s="52">
        <f t="shared" si="30"/>
        <v>1</v>
      </c>
      <c r="L164" s="942"/>
      <c r="M164" s="52">
        <f t="shared" si="31"/>
        <v>1</v>
      </c>
      <c r="N164" s="942"/>
      <c r="O164" s="52">
        <f t="shared" si="32"/>
        <v>1</v>
      </c>
      <c r="P164" s="942"/>
      <c r="Q164" s="52">
        <f t="shared" si="33"/>
        <v>1</v>
      </c>
      <c r="R164" s="470">
        <f t="shared" si="34"/>
        <v>0</v>
      </c>
      <c r="S164" s="779">
        <f t="shared" si="25"/>
        <v>0</v>
      </c>
    </row>
    <row r="165" spans="1:19">
      <c r="A165" s="944"/>
      <c r="B165" s="131"/>
      <c r="C165" s="52">
        <f t="shared" si="26"/>
        <v>1</v>
      </c>
      <c r="D165" s="942"/>
      <c r="E165" s="52">
        <f t="shared" si="27"/>
        <v>0</v>
      </c>
      <c r="F165" s="942"/>
      <c r="G165" s="52">
        <f t="shared" si="28"/>
        <v>0</v>
      </c>
      <c r="H165" s="942"/>
      <c r="I165" s="52">
        <f t="shared" si="29"/>
        <v>0</v>
      </c>
      <c r="J165" s="942"/>
      <c r="K165" s="52">
        <f t="shared" si="30"/>
        <v>1</v>
      </c>
      <c r="L165" s="942"/>
      <c r="M165" s="52">
        <f t="shared" si="31"/>
        <v>1</v>
      </c>
      <c r="N165" s="942"/>
      <c r="O165" s="52">
        <f t="shared" si="32"/>
        <v>1</v>
      </c>
      <c r="P165" s="942"/>
      <c r="Q165" s="52">
        <f t="shared" si="33"/>
        <v>1</v>
      </c>
      <c r="R165" s="470">
        <f t="shared" si="34"/>
        <v>0</v>
      </c>
      <c r="S165" s="779">
        <f t="shared" si="25"/>
        <v>0</v>
      </c>
    </row>
    <row r="166" spans="1:19">
      <c r="A166" s="944"/>
      <c r="B166" s="131"/>
      <c r="C166" s="52">
        <f t="shared" si="26"/>
        <v>1</v>
      </c>
      <c r="D166" s="942"/>
      <c r="E166" s="52">
        <f t="shared" si="27"/>
        <v>0</v>
      </c>
      <c r="F166" s="942"/>
      <c r="G166" s="52">
        <f t="shared" si="28"/>
        <v>0</v>
      </c>
      <c r="H166" s="942"/>
      <c r="I166" s="52">
        <f t="shared" si="29"/>
        <v>0</v>
      </c>
      <c r="J166" s="942"/>
      <c r="K166" s="52">
        <f t="shared" si="30"/>
        <v>1</v>
      </c>
      <c r="L166" s="942"/>
      <c r="M166" s="52">
        <f t="shared" si="31"/>
        <v>1</v>
      </c>
      <c r="N166" s="942"/>
      <c r="O166" s="52">
        <f t="shared" si="32"/>
        <v>1</v>
      </c>
      <c r="P166" s="942"/>
      <c r="Q166" s="52">
        <f t="shared" si="33"/>
        <v>1</v>
      </c>
      <c r="R166" s="470">
        <f t="shared" si="34"/>
        <v>0</v>
      </c>
      <c r="S166" s="779">
        <f t="shared" si="25"/>
        <v>0</v>
      </c>
    </row>
    <row r="167" spans="1:19">
      <c r="A167" s="944"/>
      <c r="B167" s="131"/>
      <c r="C167" s="52">
        <f t="shared" si="26"/>
        <v>1</v>
      </c>
      <c r="D167" s="942"/>
      <c r="E167" s="52">
        <f t="shared" si="27"/>
        <v>0</v>
      </c>
      <c r="F167" s="942"/>
      <c r="G167" s="52">
        <f t="shared" si="28"/>
        <v>0</v>
      </c>
      <c r="H167" s="942"/>
      <c r="I167" s="52">
        <f t="shared" si="29"/>
        <v>0</v>
      </c>
      <c r="J167" s="942"/>
      <c r="K167" s="52">
        <f t="shared" si="30"/>
        <v>1</v>
      </c>
      <c r="L167" s="942"/>
      <c r="M167" s="52">
        <f t="shared" si="31"/>
        <v>1</v>
      </c>
      <c r="N167" s="942"/>
      <c r="O167" s="52">
        <f t="shared" si="32"/>
        <v>1</v>
      </c>
      <c r="P167" s="942"/>
      <c r="Q167" s="52">
        <f t="shared" si="33"/>
        <v>1</v>
      </c>
      <c r="R167" s="470">
        <f t="shared" si="34"/>
        <v>0</v>
      </c>
      <c r="S167" s="779">
        <f t="shared" si="25"/>
        <v>0</v>
      </c>
    </row>
    <row r="168" spans="1:19">
      <c r="A168" s="944"/>
      <c r="B168" s="131"/>
      <c r="C168" s="52">
        <f t="shared" si="26"/>
        <v>1</v>
      </c>
      <c r="D168" s="942"/>
      <c r="E168" s="52">
        <f t="shared" si="27"/>
        <v>0</v>
      </c>
      <c r="F168" s="942"/>
      <c r="G168" s="52">
        <f t="shared" si="28"/>
        <v>0</v>
      </c>
      <c r="H168" s="942"/>
      <c r="I168" s="52">
        <f t="shared" si="29"/>
        <v>0</v>
      </c>
      <c r="J168" s="942"/>
      <c r="K168" s="52">
        <f t="shared" si="30"/>
        <v>1</v>
      </c>
      <c r="L168" s="942"/>
      <c r="M168" s="52">
        <f t="shared" si="31"/>
        <v>1</v>
      </c>
      <c r="N168" s="942"/>
      <c r="O168" s="52">
        <f t="shared" si="32"/>
        <v>1</v>
      </c>
      <c r="P168" s="942"/>
      <c r="Q168" s="52">
        <f t="shared" si="33"/>
        <v>1</v>
      </c>
      <c r="R168" s="470">
        <f t="shared" si="34"/>
        <v>0</v>
      </c>
      <c r="S168" s="779">
        <f t="shared" si="25"/>
        <v>0</v>
      </c>
    </row>
    <row r="169" spans="1:19">
      <c r="A169" s="944"/>
      <c r="B169" s="131"/>
      <c r="C169" s="52">
        <f t="shared" si="26"/>
        <v>1</v>
      </c>
      <c r="D169" s="942"/>
      <c r="E169" s="52">
        <f t="shared" si="27"/>
        <v>0</v>
      </c>
      <c r="F169" s="942"/>
      <c r="G169" s="52">
        <f t="shared" si="28"/>
        <v>0</v>
      </c>
      <c r="H169" s="942"/>
      <c r="I169" s="52">
        <f t="shared" si="29"/>
        <v>0</v>
      </c>
      <c r="J169" s="942"/>
      <c r="K169" s="52">
        <f t="shared" si="30"/>
        <v>1</v>
      </c>
      <c r="L169" s="942"/>
      <c r="M169" s="52">
        <f t="shared" si="31"/>
        <v>1</v>
      </c>
      <c r="N169" s="942"/>
      <c r="O169" s="52">
        <f t="shared" si="32"/>
        <v>1</v>
      </c>
      <c r="P169" s="942"/>
      <c r="Q169" s="52">
        <f t="shared" si="33"/>
        <v>1</v>
      </c>
      <c r="R169" s="470">
        <f t="shared" si="34"/>
        <v>0</v>
      </c>
      <c r="S169" s="779">
        <f t="shared" si="25"/>
        <v>0</v>
      </c>
    </row>
    <row r="170" spans="1:19">
      <c r="A170" s="944"/>
      <c r="B170" s="131"/>
      <c r="C170" s="52">
        <f t="shared" si="26"/>
        <v>1</v>
      </c>
      <c r="D170" s="942"/>
      <c r="E170" s="52">
        <f t="shared" si="27"/>
        <v>0</v>
      </c>
      <c r="F170" s="942"/>
      <c r="G170" s="52">
        <f t="shared" si="28"/>
        <v>0</v>
      </c>
      <c r="H170" s="942"/>
      <c r="I170" s="52">
        <f t="shared" si="29"/>
        <v>0</v>
      </c>
      <c r="J170" s="942"/>
      <c r="K170" s="52">
        <f t="shared" si="30"/>
        <v>1</v>
      </c>
      <c r="L170" s="942"/>
      <c r="M170" s="52">
        <f t="shared" si="31"/>
        <v>1</v>
      </c>
      <c r="N170" s="942"/>
      <c r="O170" s="52">
        <f t="shared" si="32"/>
        <v>1</v>
      </c>
      <c r="P170" s="942"/>
      <c r="Q170" s="52">
        <f t="shared" si="33"/>
        <v>1</v>
      </c>
      <c r="R170" s="470">
        <f t="shared" si="34"/>
        <v>0</v>
      </c>
      <c r="S170" s="779">
        <f t="shared" si="25"/>
        <v>0</v>
      </c>
    </row>
    <row r="171" spans="1:19">
      <c r="A171" s="944"/>
      <c r="B171" s="131"/>
      <c r="C171" s="52">
        <f t="shared" si="26"/>
        <v>1</v>
      </c>
      <c r="D171" s="942"/>
      <c r="E171" s="52">
        <f t="shared" si="27"/>
        <v>0</v>
      </c>
      <c r="F171" s="942"/>
      <c r="G171" s="52">
        <f t="shared" si="28"/>
        <v>0</v>
      </c>
      <c r="H171" s="942"/>
      <c r="I171" s="52">
        <f t="shared" si="29"/>
        <v>0</v>
      </c>
      <c r="J171" s="942"/>
      <c r="K171" s="52">
        <f t="shared" si="30"/>
        <v>1</v>
      </c>
      <c r="L171" s="942"/>
      <c r="M171" s="52">
        <f t="shared" si="31"/>
        <v>1</v>
      </c>
      <c r="N171" s="942"/>
      <c r="O171" s="52">
        <f t="shared" si="32"/>
        <v>1</v>
      </c>
      <c r="P171" s="942"/>
      <c r="Q171" s="52">
        <f t="shared" si="33"/>
        <v>1</v>
      </c>
      <c r="R171" s="470">
        <f t="shared" si="34"/>
        <v>0</v>
      </c>
      <c r="S171" s="779">
        <f t="shared" si="25"/>
        <v>0</v>
      </c>
    </row>
    <row r="172" spans="1:19">
      <c r="A172" s="944"/>
      <c r="B172" s="131"/>
      <c r="C172" s="52">
        <f t="shared" si="26"/>
        <v>1</v>
      </c>
      <c r="D172" s="942"/>
      <c r="E172" s="52">
        <f t="shared" si="27"/>
        <v>0</v>
      </c>
      <c r="F172" s="942"/>
      <c r="G172" s="52">
        <f t="shared" si="28"/>
        <v>0</v>
      </c>
      <c r="H172" s="942"/>
      <c r="I172" s="52">
        <f t="shared" si="29"/>
        <v>0</v>
      </c>
      <c r="J172" s="942"/>
      <c r="K172" s="52">
        <f t="shared" si="30"/>
        <v>1</v>
      </c>
      <c r="L172" s="942"/>
      <c r="M172" s="52">
        <f t="shared" si="31"/>
        <v>1</v>
      </c>
      <c r="N172" s="942"/>
      <c r="O172" s="52">
        <f t="shared" si="32"/>
        <v>1</v>
      </c>
      <c r="P172" s="942"/>
      <c r="Q172" s="52">
        <f t="shared" si="33"/>
        <v>1</v>
      </c>
      <c r="R172" s="470">
        <f t="shared" si="34"/>
        <v>0</v>
      </c>
      <c r="S172" s="779">
        <f t="shared" si="25"/>
        <v>0</v>
      </c>
    </row>
    <row r="173" spans="1:19">
      <c r="A173" s="944"/>
      <c r="B173" s="131"/>
      <c r="C173" s="52">
        <f t="shared" si="26"/>
        <v>1</v>
      </c>
      <c r="D173" s="942"/>
      <c r="E173" s="52">
        <f t="shared" si="27"/>
        <v>0</v>
      </c>
      <c r="F173" s="942"/>
      <c r="G173" s="52">
        <f t="shared" si="28"/>
        <v>0</v>
      </c>
      <c r="H173" s="942"/>
      <c r="I173" s="52">
        <f t="shared" si="29"/>
        <v>0</v>
      </c>
      <c r="J173" s="942"/>
      <c r="K173" s="52">
        <f t="shared" si="30"/>
        <v>1</v>
      </c>
      <c r="L173" s="942"/>
      <c r="M173" s="52">
        <f t="shared" si="31"/>
        <v>1</v>
      </c>
      <c r="N173" s="942"/>
      <c r="O173" s="52">
        <f t="shared" si="32"/>
        <v>1</v>
      </c>
      <c r="P173" s="942"/>
      <c r="Q173" s="52">
        <f t="shared" si="33"/>
        <v>1</v>
      </c>
      <c r="R173" s="470">
        <f t="shared" si="34"/>
        <v>0</v>
      </c>
      <c r="S173" s="779">
        <f t="shared" si="25"/>
        <v>0</v>
      </c>
    </row>
    <row r="174" spans="1:19">
      <c r="A174" s="944"/>
      <c r="B174" s="131"/>
      <c r="C174" s="52">
        <f t="shared" si="26"/>
        <v>1</v>
      </c>
      <c r="D174" s="942"/>
      <c r="E174" s="52">
        <f t="shared" si="27"/>
        <v>0</v>
      </c>
      <c r="F174" s="942"/>
      <c r="G174" s="52">
        <f t="shared" si="28"/>
        <v>0</v>
      </c>
      <c r="H174" s="942"/>
      <c r="I174" s="52">
        <f t="shared" si="29"/>
        <v>0</v>
      </c>
      <c r="J174" s="942"/>
      <c r="K174" s="52">
        <f t="shared" si="30"/>
        <v>1</v>
      </c>
      <c r="L174" s="942"/>
      <c r="M174" s="52">
        <f t="shared" si="31"/>
        <v>1</v>
      </c>
      <c r="N174" s="942"/>
      <c r="O174" s="52">
        <f t="shared" si="32"/>
        <v>1</v>
      </c>
      <c r="P174" s="942"/>
      <c r="Q174" s="52">
        <f t="shared" si="33"/>
        <v>1</v>
      </c>
      <c r="R174" s="470">
        <f t="shared" si="34"/>
        <v>0</v>
      </c>
      <c r="S174" s="779">
        <f t="shared" si="25"/>
        <v>0</v>
      </c>
    </row>
    <row r="175" spans="1:19">
      <c r="A175" s="944"/>
      <c r="B175" s="131"/>
      <c r="C175" s="52">
        <f t="shared" si="26"/>
        <v>1</v>
      </c>
      <c r="D175" s="942"/>
      <c r="E175" s="52">
        <f t="shared" si="27"/>
        <v>0</v>
      </c>
      <c r="F175" s="942"/>
      <c r="G175" s="52">
        <f t="shared" si="28"/>
        <v>0</v>
      </c>
      <c r="H175" s="942"/>
      <c r="I175" s="52">
        <f t="shared" si="29"/>
        <v>0</v>
      </c>
      <c r="J175" s="942"/>
      <c r="K175" s="52">
        <f t="shared" si="30"/>
        <v>1</v>
      </c>
      <c r="L175" s="942"/>
      <c r="M175" s="52">
        <f t="shared" si="31"/>
        <v>1</v>
      </c>
      <c r="N175" s="942"/>
      <c r="O175" s="52">
        <f t="shared" si="32"/>
        <v>1</v>
      </c>
      <c r="P175" s="942"/>
      <c r="Q175" s="52">
        <f t="shared" si="33"/>
        <v>1</v>
      </c>
      <c r="R175" s="470">
        <f t="shared" si="34"/>
        <v>0</v>
      </c>
      <c r="S175" s="779">
        <f t="shared" si="25"/>
        <v>0</v>
      </c>
    </row>
    <row r="176" spans="1:19">
      <c r="A176" s="944"/>
      <c r="B176" s="131"/>
      <c r="C176" s="52">
        <f t="shared" si="26"/>
        <v>1</v>
      </c>
      <c r="D176" s="942"/>
      <c r="E176" s="52">
        <f t="shared" si="27"/>
        <v>0</v>
      </c>
      <c r="F176" s="942"/>
      <c r="G176" s="52">
        <f t="shared" si="28"/>
        <v>0</v>
      </c>
      <c r="H176" s="942"/>
      <c r="I176" s="52">
        <f t="shared" si="29"/>
        <v>0</v>
      </c>
      <c r="J176" s="942"/>
      <c r="K176" s="52">
        <f t="shared" si="30"/>
        <v>1</v>
      </c>
      <c r="L176" s="942"/>
      <c r="M176" s="52">
        <f t="shared" si="31"/>
        <v>1</v>
      </c>
      <c r="N176" s="942"/>
      <c r="O176" s="52">
        <f t="shared" si="32"/>
        <v>1</v>
      </c>
      <c r="P176" s="942"/>
      <c r="Q176" s="52">
        <f t="shared" si="33"/>
        <v>1</v>
      </c>
      <c r="R176" s="470">
        <f t="shared" si="34"/>
        <v>0</v>
      </c>
      <c r="S176" s="779">
        <f t="shared" si="25"/>
        <v>0</v>
      </c>
    </row>
    <row r="177" spans="1:19">
      <c r="A177" s="944"/>
      <c r="B177" s="131"/>
      <c r="C177" s="52">
        <f t="shared" si="26"/>
        <v>1</v>
      </c>
      <c r="D177" s="942"/>
      <c r="E177" s="52">
        <f t="shared" si="27"/>
        <v>0</v>
      </c>
      <c r="F177" s="942"/>
      <c r="G177" s="52">
        <f t="shared" si="28"/>
        <v>0</v>
      </c>
      <c r="H177" s="942"/>
      <c r="I177" s="52">
        <f t="shared" si="29"/>
        <v>0</v>
      </c>
      <c r="J177" s="942"/>
      <c r="K177" s="52">
        <f t="shared" si="30"/>
        <v>1</v>
      </c>
      <c r="L177" s="942"/>
      <c r="M177" s="52">
        <f t="shared" si="31"/>
        <v>1</v>
      </c>
      <c r="N177" s="942"/>
      <c r="O177" s="52">
        <f t="shared" si="32"/>
        <v>1</v>
      </c>
      <c r="P177" s="942"/>
      <c r="Q177" s="52">
        <f t="shared" si="33"/>
        <v>1</v>
      </c>
      <c r="R177" s="470">
        <f t="shared" si="34"/>
        <v>0</v>
      </c>
      <c r="S177" s="779">
        <f t="shared" si="25"/>
        <v>0</v>
      </c>
    </row>
    <row r="178" spans="1:19">
      <c r="A178" s="944"/>
      <c r="B178" s="131"/>
      <c r="C178" s="52">
        <f t="shared" si="26"/>
        <v>1</v>
      </c>
      <c r="D178" s="942"/>
      <c r="E178" s="52">
        <f t="shared" si="27"/>
        <v>0</v>
      </c>
      <c r="F178" s="942"/>
      <c r="G178" s="52">
        <f t="shared" si="28"/>
        <v>0</v>
      </c>
      <c r="H178" s="942"/>
      <c r="I178" s="52">
        <f t="shared" si="29"/>
        <v>0</v>
      </c>
      <c r="J178" s="942"/>
      <c r="K178" s="52">
        <f t="shared" si="30"/>
        <v>1</v>
      </c>
      <c r="L178" s="942"/>
      <c r="M178" s="52">
        <f t="shared" si="31"/>
        <v>1</v>
      </c>
      <c r="N178" s="942"/>
      <c r="O178" s="52">
        <f t="shared" si="32"/>
        <v>1</v>
      </c>
      <c r="P178" s="942"/>
      <c r="Q178" s="52">
        <f t="shared" si="33"/>
        <v>1</v>
      </c>
      <c r="R178" s="470">
        <f t="shared" si="34"/>
        <v>0</v>
      </c>
      <c r="S178" s="779">
        <f t="shared" si="25"/>
        <v>0</v>
      </c>
    </row>
    <row r="179" spans="1:19">
      <c r="A179" s="944"/>
      <c r="B179" s="131"/>
      <c r="C179" s="52">
        <f t="shared" si="26"/>
        <v>1</v>
      </c>
      <c r="D179" s="942"/>
      <c r="E179" s="52">
        <f t="shared" si="27"/>
        <v>0</v>
      </c>
      <c r="F179" s="942"/>
      <c r="G179" s="52">
        <f t="shared" si="28"/>
        <v>0</v>
      </c>
      <c r="H179" s="942"/>
      <c r="I179" s="52">
        <f t="shared" si="29"/>
        <v>0</v>
      </c>
      <c r="J179" s="942"/>
      <c r="K179" s="52">
        <f t="shared" si="30"/>
        <v>1</v>
      </c>
      <c r="L179" s="942"/>
      <c r="M179" s="52">
        <f t="shared" si="31"/>
        <v>1</v>
      </c>
      <c r="N179" s="942"/>
      <c r="O179" s="52">
        <f t="shared" si="32"/>
        <v>1</v>
      </c>
      <c r="P179" s="942"/>
      <c r="Q179" s="52">
        <f t="shared" si="33"/>
        <v>1</v>
      </c>
      <c r="R179" s="470">
        <f t="shared" si="34"/>
        <v>0</v>
      </c>
      <c r="S179" s="779">
        <f t="shared" si="25"/>
        <v>0</v>
      </c>
    </row>
    <row r="180" spans="1:19">
      <c r="A180" s="944"/>
      <c r="B180" s="131"/>
      <c r="C180" s="52">
        <f t="shared" si="26"/>
        <v>1</v>
      </c>
      <c r="D180" s="942"/>
      <c r="E180" s="52">
        <f t="shared" si="27"/>
        <v>0</v>
      </c>
      <c r="F180" s="942"/>
      <c r="G180" s="52">
        <f t="shared" si="28"/>
        <v>0</v>
      </c>
      <c r="H180" s="942"/>
      <c r="I180" s="52">
        <f t="shared" si="29"/>
        <v>0</v>
      </c>
      <c r="J180" s="942"/>
      <c r="K180" s="52">
        <f t="shared" si="30"/>
        <v>1</v>
      </c>
      <c r="L180" s="942"/>
      <c r="M180" s="52">
        <f t="shared" si="31"/>
        <v>1</v>
      </c>
      <c r="N180" s="942"/>
      <c r="O180" s="52">
        <f t="shared" si="32"/>
        <v>1</v>
      </c>
      <c r="P180" s="942"/>
      <c r="Q180" s="52">
        <f t="shared" si="33"/>
        <v>1</v>
      </c>
      <c r="R180" s="470">
        <f t="shared" si="34"/>
        <v>0</v>
      </c>
      <c r="S180" s="779">
        <f t="shared" si="25"/>
        <v>0</v>
      </c>
    </row>
    <row r="181" spans="1:19">
      <c r="A181" s="944"/>
      <c r="B181" s="131"/>
      <c r="C181" s="52">
        <f t="shared" si="26"/>
        <v>1</v>
      </c>
      <c r="D181" s="942"/>
      <c r="E181" s="52">
        <f t="shared" si="27"/>
        <v>0</v>
      </c>
      <c r="F181" s="942"/>
      <c r="G181" s="52">
        <f t="shared" si="28"/>
        <v>0</v>
      </c>
      <c r="H181" s="942"/>
      <c r="I181" s="52">
        <f t="shared" si="29"/>
        <v>0</v>
      </c>
      <c r="J181" s="942"/>
      <c r="K181" s="52">
        <f t="shared" si="30"/>
        <v>1</v>
      </c>
      <c r="L181" s="942"/>
      <c r="M181" s="52">
        <f t="shared" si="31"/>
        <v>1</v>
      </c>
      <c r="N181" s="942"/>
      <c r="O181" s="52">
        <f t="shared" si="32"/>
        <v>1</v>
      </c>
      <c r="P181" s="942"/>
      <c r="Q181" s="52">
        <f t="shared" si="33"/>
        <v>1</v>
      </c>
      <c r="R181" s="470">
        <f t="shared" si="34"/>
        <v>0</v>
      </c>
      <c r="S181" s="779">
        <f t="shared" si="25"/>
        <v>0</v>
      </c>
    </row>
    <row r="182" spans="1:19">
      <c r="A182" s="944"/>
      <c r="B182" s="131"/>
      <c r="C182" s="52">
        <f t="shared" si="26"/>
        <v>1</v>
      </c>
      <c r="D182" s="942"/>
      <c r="E182" s="52">
        <f t="shared" si="27"/>
        <v>0</v>
      </c>
      <c r="F182" s="942"/>
      <c r="G182" s="52">
        <f t="shared" si="28"/>
        <v>0</v>
      </c>
      <c r="H182" s="942"/>
      <c r="I182" s="52">
        <f t="shared" si="29"/>
        <v>0</v>
      </c>
      <c r="J182" s="942"/>
      <c r="K182" s="52">
        <f t="shared" si="30"/>
        <v>1</v>
      </c>
      <c r="L182" s="942"/>
      <c r="M182" s="52">
        <f t="shared" si="31"/>
        <v>1</v>
      </c>
      <c r="N182" s="942"/>
      <c r="O182" s="52">
        <f t="shared" si="32"/>
        <v>1</v>
      </c>
      <c r="P182" s="942"/>
      <c r="Q182" s="52">
        <f t="shared" si="33"/>
        <v>1</v>
      </c>
      <c r="R182" s="470">
        <f t="shared" si="34"/>
        <v>0</v>
      </c>
      <c r="S182" s="779">
        <f t="shared" si="25"/>
        <v>0</v>
      </c>
    </row>
    <row r="183" spans="1:19">
      <c r="A183" s="944"/>
      <c r="B183" s="131"/>
      <c r="C183" s="52">
        <f t="shared" si="26"/>
        <v>1</v>
      </c>
      <c r="D183" s="942"/>
      <c r="E183" s="52">
        <f t="shared" si="27"/>
        <v>0</v>
      </c>
      <c r="F183" s="942"/>
      <c r="G183" s="52">
        <f t="shared" si="28"/>
        <v>0</v>
      </c>
      <c r="H183" s="942"/>
      <c r="I183" s="52">
        <f t="shared" si="29"/>
        <v>0</v>
      </c>
      <c r="J183" s="942"/>
      <c r="K183" s="52">
        <f t="shared" si="30"/>
        <v>1</v>
      </c>
      <c r="L183" s="942"/>
      <c r="M183" s="52">
        <f t="shared" si="31"/>
        <v>1</v>
      </c>
      <c r="N183" s="942"/>
      <c r="O183" s="52">
        <f t="shared" si="32"/>
        <v>1</v>
      </c>
      <c r="P183" s="942"/>
      <c r="Q183" s="52">
        <f t="shared" si="33"/>
        <v>1</v>
      </c>
      <c r="R183" s="470">
        <f t="shared" si="34"/>
        <v>0</v>
      </c>
      <c r="S183" s="779">
        <f t="shared" si="25"/>
        <v>0</v>
      </c>
    </row>
    <row r="184" spans="1:19">
      <c r="A184" s="944"/>
      <c r="B184" s="131"/>
      <c r="C184" s="52">
        <f t="shared" si="26"/>
        <v>1</v>
      </c>
      <c r="D184" s="942"/>
      <c r="E184" s="52">
        <f t="shared" si="27"/>
        <v>0</v>
      </c>
      <c r="F184" s="942"/>
      <c r="G184" s="52">
        <f t="shared" si="28"/>
        <v>0</v>
      </c>
      <c r="H184" s="942"/>
      <c r="I184" s="52">
        <f t="shared" si="29"/>
        <v>0</v>
      </c>
      <c r="J184" s="942"/>
      <c r="K184" s="52">
        <f t="shared" si="30"/>
        <v>1</v>
      </c>
      <c r="L184" s="942"/>
      <c r="M184" s="52">
        <f t="shared" si="31"/>
        <v>1</v>
      </c>
      <c r="N184" s="942"/>
      <c r="O184" s="52">
        <f t="shared" si="32"/>
        <v>1</v>
      </c>
      <c r="P184" s="942"/>
      <c r="Q184" s="52">
        <f t="shared" si="33"/>
        <v>1</v>
      </c>
      <c r="R184" s="470">
        <f t="shared" si="34"/>
        <v>0</v>
      </c>
      <c r="S184" s="779">
        <f t="shared" si="25"/>
        <v>0</v>
      </c>
    </row>
    <row r="185" spans="1:19">
      <c r="A185" s="944"/>
      <c r="B185" s="131"/>
      <c r="C185" s="52">
        <f t="shared" si="26"/>
        <v>1</v>
      </c>
      <c r="D185" s="942"/>
      <c r="E185" s="52">
        <f t="shared" si="27"/>
        <v>0</v>
      </c>
      <c r="F185" s="942"/>
      <c r="G185" s="52">
        <f t="shared" si="28"/>
        <v>0</v>
      </c>
      <c r="H185" s="942"/>
      <c r="I185" s="52">
        <f t="shared" si="29"/>
        <v>0</v>
      </c>
      <c r="J185" s="942"/>
      <c r="K185" s="52">
        <f t="shared" si="30"/>
        <v>1</v>
      </c>
      <c r="L185" s="942"/>
      <c r="M185" s="52">
        <f t="shared" si="31"/>
        <v>1</v>
      </c>
      <c r="N185" s="942"/>
      <c r="O185" s="52">
        <f t="shared" si="32"/>
        <v>1</v>
      </c>
      <c r="P185" s="942"/>
      <c r="Q185" s="52">
        <f t="shared" si="33"/>
        <v>1</v>
      </c>
      <c r="R185" s="470">
        <f t="shared" si="34"/>
        <v>0</v>
      </c>
      <c r="S185" s="779">
        <f t="shared" si="25"/>
        <v>0</v>
      </c>
    </row>
    <row r="186" spans="1:19">
      <c r="A186" s="944"/>
      <c r="B186" s="131"/>
      <c r="C186" s="52">
        <f t="shared" si="26"/>
        <v>1</v>
      </c>
      <c r="D186" s="942"/>
      <c r="E186" s="52">
        <f t="shared" si="27"/>
        <v>0</v>
      </c>
      <c r="F186" s="942"/>
      <c r="G186" s="52">
        <f t="shared" si="28"/>
        <v>0</v>
      </c>
      <c r="H186" s="942"/>
      <c r="I186" s="52">
        <f t="shared" si="29"/>
        <v>0</v>
      </c>
      <c r="J186" s="942"/>
      <c r="K186" s="52">
        <f t="shared" si="30"/>
        <v>1</v>
      </c>
      <c r="L186" s="942"/>
      <c r="M186" s="52">
        <f t="shared" si="31"/>
        <v>1</v>
      </c>
      <c r="N186" s="942"/>
      <c r="O186" s="52">
        <f t="shared" si="32"/>
        <v>1</v>
      </c>
      <c r="P186" s="942"/>
      <c r="Q186" s="52">
        <f t="shared" si="33"/>
        <v>1</v>
      </c>
      <c r="R186" s="470">
        <f t="shared" si="34"/>
        <v>0</v>
      </c>
      <c r="S186" s="779">
        <f t="shared" si="25"/>
        <v>0</v>
      </c>
    </row>
    <row r="187" spans="1:19">
      <c r="A187" s="944"/>
      <c r="B187" s="131"/>
      <c r="C187" s="52">
        <f t="shared" si="26"/>
        <v>1</v>
      </c>
      <c r="D187" s="942"/>
      <c r="E187" s="52">
        <f t="shared" si="27"/>
        <v>0</v>
      </c>
      <c r="F187" s="942"/>
      <c r="G187" s="52">
        <f t="shared" si="28"/>
        <v>0</v>
      </c>
      <c r="H187" s="942"/>
      <c r="I187" s="52">
        <f t="shared" si="29"/>
        <v>0</v>
      </c>
      <c r="J187" s="942"/>
      <c r="K187" s="52">
        <f t="shared" si="30"/>
        <v>1</v>
      </c>
      <c r="L187" s="942"/>
      <c r="M187" s="52">
        <f t="shared" si="31"/>
        <v>1</v>
      </c>
      <c r="N187" s="942"/>
      <c r="O187" s="52">
        <f t="shared" si="32"/>
        <v>1</v>
      </c>
      <c r="P187" s="942"/>
      <c r="Q187" s="52">
        <f t="shared" si="33"/>
        <v>1</v>
      </c>
      <c r="R187" s="470">
        <f t="shared" si="34"/>
        <v>0</v>
      </c>
      <c r="S187" s="779">
        <f t="shared" si="25"/>
        <v>0</v>
      </c>
    </row>
    <row r="188" spans="1:19">
      <c r="A188" s="944"/>
      <c r="B188" s="131"/>
      <c r="C188" s="52">
        <f t="shared" si="26"/>
        <v>1</v>
      </c>
      <c r="D188" s="942"/>
      <c r="E188" s="52">
        <f t="shared" si="27"/>
        <v>0</v>
      </c>
      <c r="F188" s="942"/>
      <c r="G188" s="52">
        <f t="shared" si="28"/>
        <v>0</v>
      </c>
      <c r="H188" s="942"/>
      <c r="I188" s="52">
        <f t="shared" si="29"/>
        <v>0</v>
      </c>
      <c r="J188" s="942"/>
      <c r="K188" s="52">
        <f t="shared" si="30"/>
        <v>1</v>
      </c>
      <c r="L188" s="942"/>
      <c r="M188" s="52">
        <f t="shared" si="31"/>
        <v>1</v>
      </c>
      <c r="N188" s="942"/>
      <c r="O188" s="52">
        <f t="shared" si="32"/>
        <v>1</v>
      </c>
      <c r="P188" s="942"/>
      <c r="Q188" s="52">
        <f t="shared" si="33"/>
        <v>1</v>
      </c>
      <c r="R188" s="470">
        <f t="shared" si="34"/>
        <v>0</v>
      </c>
      <c r="S188" s="779">
        <f t="shared" si="25"/>
        <v>0</v>
      </c>
    </row>
    <row r="189" spans="1:19">
      <c r="A189" s="944"/>
      <c r="B189" s="131"/>
      <c r="C189" s="52">
        <f t="shared" si="26"/>
        <v>1</v>
      </c>
      <c r="D189" s="942"/>
      <c r="E189" s="52">
        <f t="shared" si="27"/>
        <v>0</v>
      </c>
      <c r="F189" s="942"/>
      <c r="G189" s="52">
        <f t="shared" si="28"/>
        <v>0</v>
      </c>
      <c r="H189" s="942"/>
      <c r="I189" s="52">
        <f t="shared" si="29"/>
        <v>0</v>
      </c>
      <c r="J189" s="942"/>
      <c r="K189" s="52">
        <f t="shared" si="30"/>
        <v>1</v>
      </c>
      <c r="L189" s="942"/>
      <c r="M189" s="52">
        <f t="shared" si="31"/>
        <v>1</v>
      </c>
      <c r="N189" s="942"/>
      <c r="O189" s="52">
        <f t="shared" si="32"/>
        <v>1</v>
      </c>
      <c r="P189" s="942"/>
      <c r="Q189" s="52">
        <f t="shared" si="33"/>
        <v>1</v>
      </c>
      <c r="R189" s="470">
        <f t="shared" si="34"/>
        <v>0</v>
      </c>
      <c r="S189" s="779">
        <f t="shared" si="25"/>
        <v>0</v>
      </c>
    </row>
    <row r="190" spans="1:19">
      <c r="A190" s="944"/>
      <c r="B190" s="131"/>
      <c r="C190" s="52">
        <f t="shared" si="26"/>
        <v>1</v>
      </c>
      <c r="D190" s="942"/>
      <c r="E190" s="52">
        <f t="shared" si="27"/>
        <v>0</v>
      </c>
      <c r="F190" s="942"/>
      <c r="G190" s="52">
        <f t="shared" si="28"/>
        <v>0</v>
      </c>
      <c r="H190" s="942"/>
      <c r="I190" s="52">
        <f t="shared" si="29"/>
        <v>0</v>
      </c>
      <c r="J190" s="942"/>
      <c r="K190" s="52">
        <f t="shared" si="30"/>
        <v>1</v>
      </c>
      <c r="L190" s="942"/>
      <c r="M190" s="52">
        <f t="shared" si="31"/>
        <v>1</v>
      </c>
      <c r="N190" s="942"/>
      <c r="O190" s="52">
        <f t="shared" si="32"/>
        <v>1</v>
      </c>
      <c r="P190" s="942"/>
      <c r="Q190" s="52">
        <f t="shared" si="33"/>
        <v>1</v>
      </c>
      <c r="R190" s="470">
        <f t="shared" si="34"/>
        <v>0</v>
      </c>
      <c r="S190" s="779">
        <f t="shared" si="25"/>
        <v>0</v>
      </c>
    </row>
    <row r="191" spans="1:19">
      <c r="A191" s="944"/>
      <c r="B191" s="131"/>
      <c r="C191" s="52">
        <f t="shared" si="26"/>
        <v>1</v>
      </c>
      <c r="D191" s="942"/>
      <c r="E191" s="52">
        <f t="shared" si="27"/>
        <v>0</v>
      </c>
      <c r="F191" s="942"/>
      <c r="G191" s="52">
        <f t="shared" si="28"/>
        <v>0</v>
      </c>
      <c r="H191" s="942"/>
      <c r="I191" s="52">
        <f t="shared" si="29"/>
        <v>0</v>
      </c>
      <c r="J191" s="942"/>
      <c r="K191" s="52">
        <f t="shared" si="30"/>
        <v>1</v>
      </c>
      <c r="L191" s="942"/>
      <c r="M191" s="52">
        <f t="shared" si="31"/>
        <v>1</v>
      </c>
      <c r="N191" s="942"/>
      <c r="O191" s="52">
        <f t="shared" si="32"/>
        <v>1</v>
      </c>
      <c r="P191" s="942"/>
      <c r="Q191" s="52">
        <f t="shared" si="33"/>
        <v>1</v>
      </c>
      <c r="R191" s="470">
        <f t="shared" si="34"/>
        <v>0</v>
      </c>
      <c r="S191" s="779">
        <f t="shared" si="25"/>
        <v>0</v>
      </c>
    </row>
    <row r="192" spans="1:19">
      <c r="A192" s="944"/>
      <c r="B192" s="131"/>
      <c r="C192" s="52">
        <f t="shared" si="26"/>
        <v>1</v>
      </c>
      <c r="D192" s="942"/>
      <c r="E192" s="52">
        <f t="shared" si="27"/>
        <v>0</v>
      </c>
      <c r="F192" s="942"/>
      <c r="G192" s="52">
        <f t="shared" si="28"/>
        <v>0</v>
      </c>
      <c r="H192" s="942"/>
      <c r="I192" s="52">
        <f t="shared" si="29"/>
        <v>0</v>
      </c>
      <c r="J192" s="942"/>
      <c r="K192" s="52">
        <f t="shared" si="30"/>
        <v>1</v>
      </c>
      <c r="L192" s="942"/>
      <c r="M192" s="52">
        <f t="shared" si="31"/>
        <v>1</v>
      </c>
      <c r="N192" s="942"/>
      <c r="O192" s="52">
        <f t="shared" si="32"/>
        <v>1</v>
      </c>
      <c r="P192" s="942"/>
      <c r="Q192" s="52">
        <f t="shared" si="33"/>
        <v>1</v>
      </c>
      <c r="R192" s="470">
        <f t="shared" si="34"/>
        <v>0</v>
      </c>
      <c r="S192" s="779">
        <f t="shared" si="25"/>
        <v>0</v>
      </c>
    </row>
    <row r="193" spans="1:19">
      <c r="A193" s="944"/>
      <c r="B193" s="131"/>
      <c r="C193" s="52">
        <f t="shared" si="26"/>
        <v>1</v>
      </c>
      <c r="D193" s="942"/>
      <c r="E193" s="52">
        <f t="shared" si="27"/>
        <v>0</v>
      </c>
      <c r="F193" s="942"/>
      <c r="G193" s="52">
        <f t="shared" si="28"/>
        <v>0</v>
      </c>
      <c r="H193" s="942"/>
      <c r="I193" s="52">
        <f t="shared" si="29"/>
        <v>0</v>
      </c>
      <c r="J193" s="942"/>
      <c r="K193" s="52">
        <f t="shared" si="30"/>
        <v>1</v>
      </c>
      <c r="L193" s="942"/>
      <c r="M193" s="52">
        <f t="shared" si="31"/>
        <v>1</v>
      </c>
      <c r="N193" s="942"/>
      <c r="O193" s="52">
        <f t="shared" si="32"/>
        <v>1</v>
      </c>
      <c r="P193" s="942"/>
      <c r="Q193" s="52">
        <f t="shared" si="33"/>
        <v>1</v>
      </c>
      <c r="R193" s="470">
        <f t="shared" si="34"/>
        <v>0</v>
      </c>
      <c r="S193" s="779">
        <f t="shared" si="25"/>
        <v>0</v>
      </c>
    </row>
    <row r="194" spans="1:19">
      <c r="A194" s="944"/>
      <c r="B194" s="131"/>
      <c r="C194" s="52">
        <f t="shared" si="26"/>
        <v>1</v>
      </c>
      <c r="D194" s="942"/>
      <c r="E194" s="52">
        <f t="shared" si="27"/>
        <v>0</v>
      </c>
      <c r="F194" s="942"/>
      <c r="G194" s="52">
        <f t="shared" si="28"/>
        <v>0</v>
      </c>
      <c r="H194" s="942"/>
      <c r="I194" s="52">
        <f t="shared" si="29"/>
        <v>0</v>
      </c>
      <c r="J194" s="942"/>
      <c r="K194" s="52">
        <f t="shared" si="30"/>
        <v>1</v>
      </c>
      <c r="L194" s="942"/>
      <c r="M194" s="52">
        <f t="shared" si="31"/>
        <v>1</v>
      </c>
      <c r="N194" s="942"/>
      <c r="O194" s="52">
        <f t="shared" si="32"/>
        <v>1</v>
      </c>
      <c r="P194" s="942"/>
      <c r="Q194" s="52">
        <f t="shared" si="33"/>
        <v>1</v>
      </c>
      <c r="R194" s="470">
        <f t="shared" si="34"/>
        <v>0</v>
      </c>
      <c r="S194" s="779">
        <f t="shared" si="25"/>
        <v>0</v>
      </c>
    </row>
    <row r="195" spans="1:19">
      <c r="A195" s="944"/>
      <c r="B195" s="131"/>
      <c r="C195" s="52">
        <f t="shared" si="26"/>
        <v>1</v>
      </c>
      <c r="D195" s="942"/>
      <c r="E195" s="52">
        <f t="shared" si="27"/>
        <v>0</v>
      </c>
      <c r="F195" s="942"/>
      <c r="G195" s="52">
        <f t="shared" si="28"/>
        <v>0</v>
      </c>
      <c r="H195" s="942"/>
      <c r="I195" s="52">
        <f t="shared" si="29"/>
        <v>0</v>
      </c>
      <c r="J195" s="942"/>
      <c r="K195" s="52">
        <f t="shared" si="30"/>
        <v>1</v>
      </c>
      <c r="L195" s="942"/>
      <c r="M195" s="52">
        <f t="shared" si="31"/>
        <v>1</v>
      </c>
      <c r="N195" s="942"/>
      <c r="O195" s="52">
        <f t="shared" si="32"/>
        <v>1</v>
      </c>
      <c r="P195" s="942"/>
      <c r="Q195" s="52">
        <f t="shared" si="33"/>
        <v>1</v>
      </c>
      <c r="R195" s="470">
        <f t="shared" si="34"/>
        <v>0</v>
      </c>
      <c r="S195" s="779">
        <f t="shared" si="25"/>
        <v>0</v>
      </c>
    </row>
    <row r="196" spans="1:19">
      <c r="A196" s="944"/>
      <c r="B196" s="131"/>
      <c r="C196" s="52">
        <f t="shared" si="26"/>
        <v>1</v>
      </c>
      <c r="D196" s="942"/>
      <c r="E196" s="52">
        <f t="shared" si="27"/>
        <v>0</v>
      </c>
      <c r="F196" s="942"/>
      <c r="G196" s="52">
        <f t="shared" si="28"/>
        <v>0</v>
      </c>
      <c r="H196" s="942"/>
      <c r="I196" s="52">
        <f t="shared" si="29"/>
        <v>0</v>
      </c>
      <c r="J196" s="942"/>
      <c r="K196" s="52">
        <f t="shared" si="30"/>
        <v>1</v>
      </c>
      <c r="L196" s="942"/>
      <c r="M196" s="52">
        <f t="shared" si="31"/>
        <v>1</v>
      </c>
      <c r="N196" s="942"/>
      <c r="O196" s="52">
        <f t="shared" si="32"/>
        <v>1</v>
      </c>
      <c r="P196" s="942"/>
      <c r="Q196" s="52">
        <f t="shared" si="33"/>
        <v>1</v>
      </c>
      <c r="R196" s="470">
        <f t="shared" si="34"/>
        <v>0</v>
      </c>
      <c r="S196" s="779">
        <f t="shared" si="25"/>
        <v>0</v>
      </c>
    </row>
    <row r="197" spans="1:19">
      <c r="A197" s="944"/>
      <c r="B197" s="131"/>
      <c r="C197" s="52">
        <f t="shared" si="26"/>
        <v>1</v>
      </c>
      <c r="D197" s="942"/>
      <c r="E197" s="52">
        <f t="shared" si="27"/>
        <v>0</v>
      </c>
      <c r="F197" s="942"/>
      <c r="G197" s="52">
        <f t="shared" si="28"/>
        <v>0</v>
      </c>
      <c r="H197" s="942"/>
      <c r="I197" s="52">
        <f t="shared" si="29"/>
        <v>0</v>
      </c>
      <c r="J197" s="942"/>
      <c r="K197" s="52">
        <f t="shared" si="30"/>
        <v>1</v>
      </c>
      <c r="L197" s="942"/>
      <c r="M197" s="52">
        <f t="shared" si="31"/>
        <v>1</v>
      </c>
      <c r="N197" s="942"/>
      <c r="O197" s="52">
        <f t="shared" si="32"/>
        <v>1</v>
      </c>
      <c r="P197" s="942"/>
      <c r="Q197" s="52">
        <f t="shared" si="33"/>
        <v>1</v>
      </c>
      <c r="R197" s="470">
        <f t="shared" si="34"/>
        <v>0</v>
      </c>
      <c r="S197" s="779">
        <f t="shared" si="25"/>
        <v>0</v>
      </c>
    </row>
    <row r="198" spans="1:19">
      <c r="A198" s="944"/>
      <c r="B198" s="131"/>
      <c r="C198" s="52">
        <f t="shared" si="26"/>
        <v>1</v>
      </c>
      <c r="D198" s="942"/>
      <c r="E198" s="52">
        <f t="shared" si="27"/>
        <v>0</v>
      </c>
      <c r="F198" s="942"/>
      <c r="G198" s="52">
        <f t="shared" si="28"/>
        <v>0</v>
      </c>
      <c r="H198" s="942"/>
      <c r="I198" s="52">
        <f t="shared" si="29"/>
        <v>0</v>
      </c>
      <c r="J198" s="942"/>
      <c r="K198" s="52">
        <f t="shared" si="30"/>
        <v>1</v>
      </c>
      <c r="L198" s="942"/>
      <c r="M198" s="52">
        <f t="shared" si="31"/>
        <v>1</v>
      </c>
      <c r="N198" s="942"/>
      <c r="O198" s="52">
        <f t="shared" si="32"/>
        <v>1</v>
      </c>
      <c r="P198" s="942"/>
      <c r="Q198" s="52">
        <f t="shared" si="33"/>
        <v>1</v>
      </c>
      <c r="R198" s="470">
        <f t="shared" si="34"/>
        <v>0</v>
      </c>
      <c r="S198" s="779">
        <f t="shared" si="25"/>
        <v>0</v>
      </c>
    </row>
    <row r="199" spans="1:19">
      <c r="A199" s="944"/>
      <c r="B199" s="131"/>
      <c r="C199" s="52">
        <f t="shared" si="26"/>
        <v>1</v>
      </c>
      <c r="D199" s="942"/>
      <c r="E199" s="52">
        <f t="shared" si="27"/>
        <v>0</v>
      </c>
      <c r="F199" s="942"/>
      <c r="G199" s="52">
        <f t="shared" si="28"/>
        <v>0</v>
      </c>
      <c r="H199" s="942"/>
      <c r="I199" s="52">
        <f t="shared" si="29"/>
        <v>0</v>
      </c>
      <c r="J199" s="942"/>
      <c r="K199" s="52">
        <f t="shared" si="30"/>
        <v>1</v>
      </c>
      <c r="L199" s="942"/>
      <c r="M199" s="52">
        <f t="shared" si="31"/>
        <v>1</v>
      </c>
      <c r="N199" s="942"/>
      <c r="O199" s="52">
        <f t="shared" si="32"/>
        <v>1</v>
      </c>
      <c r="P199" s="942"/>
      <c r="Q199" s="52">
        <f t="shared" si="33"/>
        <v>1</v>
      </c>
      <c r="R199" s="470">
        <f t="shared" si="34"/>
        <v>0</v>
      </c>
      <c r="S199" s="779">
        <f t="shared" si="25"/>
        <v>0</v>
      </c>
    </row>
    <row r="200" spans="1:19">
      <c r="A200" s="944"/>
      <c r="B200" s="131"/>
      <c r="C200" s="52">
        <f t="shared" si="26"/>
        <v>1</v>
      </c>
      <c r="D200" s="942"/>
      <c r="E200" s="52">
        <f t="shared" si="27"/>
        <v>0</v>
      </c>
      <c r="F200" s="942"/>
      <c r="G200" s="52">
        <f t="shared" si="28"/>
        <v>0</v>
      </c>
      <c r="H200" s="942"/>
      <c r="I200" s="52">
        <f t="shared" si="29"/>
        <v>0</v>
      </c>
      <c r="J200" s="942"/>
      <c r="K200" s="52">
        <f t="shared" si="30"/>
        <v>1</v>
      </c>
      <c r="L200" s="942"/>
      <c r="M200" s="52">
        <f t="shared" si="31"/>
        <v>1</v>
      </c>
      <c r="N200" s="942"/>
      <c r="O200" s="52">
        <f t="shared" si="32"/>
        <v>1</v>
      </c>
      <c r="P200" s="942"/>
      <c r="Q200" s="52">
        <f t="shared" si="33"/>
        <v>1</v>
      </c>
      <c r="R200" s="470">
        <f t="shared" si="34"/>
        <v>0</v>
      </c>
      <c r="S200" s="779">
        <f t="shared" si="25"/>
        <v>0</v>
      </c>
    </row>
    <row r="201" spans="1:19">
      <c r="A201" s="944"/>
      <c r="B201" s="131"/>
      <c r="C201" s="52">
        <f t="shared" si="26"/>
        <v>1</v>
      </c>
      <c r="D201" s="942"/>
      <c r="E201" s="52">
        <f t="shared" si="27"/>
        <v>0</v>
      </c>
      <c r="F201" s="942"/>
      <c r="G201" s="52">
        <f t="shared" si="28"/>
        <v>0</v>
      </c>
      <c r="H201" s="942"/>
      <c r="I201" s="52">
        <f t="shared" si="29"/>
        <v>0</v>
      </c>
      <c r="J201" s="942"/>
      <c r="K201" s="52">
        <f t="shared" si="30"/>
        <v>1</v>
      </c>
      <c r="L201" s="942"/>
      <c r="M201" s="52">
        <f t="shared" si="31"/>
        <v>1</v>
      </c>
      <c r="N201" s="942"/>
      <c r="O201" s="52">
        <f t="shared" si="32"/>
        <v>1</v>
      </c>
      <c r="P201" s="942"/>
      <c r="Q201" s="52">
        <f t="shared" si="33"/>
        <v>1</v>
      </c>
      <c r="R201" s="470">
        <f t="shared" si="34"/>
        <v>0</v>
      </c>
      <c r="S201" s="779">
        <f t="shared" si="25"/>
        <v>0</v>
      </c>
    </row>
    <row r="202" spans="1:19">
      <c r="A202" s="944"/>
      <c r="B202" s="131"/>
      <c r="C202" s="52">
        <f t="shared" si="26"/>
        <v>1</v>
      </c>
      <c r="D202" s="942"/>
      <c r="E202" s="52">
        <f t="shared" si="27"/>
        <v>0</v>
      </c>
      <c r="F202" s="942"/>
      <c r="G202" s="52">
        <f t="shared" si="28"/>
        <v>0</v>
      </c>
      <c r="H202" s="942"/>
      <c r="I202" s="52">
        <f t="shared" si="29"/>
        <v>0</v>
      </c>
      <c r="J202" s="942"/>
      <c r="K202" s="52">
        <f t="shared" si="30"/>
        <v>1</v>
      </c>
      <c r="L202" s="942"/>
      <c r="M202" s="52">
        <f t="shared" si="31"/>
        <v>1</v>
      </c>
      <c r="N202" s="942"/>
      <c r="O202" s="52">
        <f t="shared" si="32"/>
        <v>1</v>
      </c>
      <c r="P202" s="942"/>
      <c r="Q202" s="52">
        <f t="shared" si="33"/>
        <v>1</v>
      </c>
      <c r="R202" s="470">
        <f t="shared" si="34"/>
        <v>0</v>
      </c>
      <c r="S202" s="779">
        <f t="shared" si="25"/>
        <v>0</v>
      </c>
    </row>
    <row r="203" spans="1:19">
      <c r="A203" s="944"/>
      <c r="B203" s="131"/>
      <c r="C203" s="52">
        <f t="shared" si="26"/>
        <v>1</v>
      </c>
      <c r="D203" s="942"/>
      <c r="E203" s="52">
        <f t="shared" si="27"/>
        <v>0</v>
      </c>
      <c r="F203" s="942"/>
      <c r="G203" s="52">
        <f t="shared" si="28"/>
        <v>0</v>
      </c>
      <c r="H203" s="942"/>
      <c r="I203" s="52">
        <f t="shared" si="29"/>
        <v>0</v>
      </c>
      <c r="J203" s="942"/>
      <c r="K203" s="52">
        <f t="shared" si="30"/>
        <v>1</v>
      </c>
      <c r="L203" s="942"/>
      <c r="M203" s="52">
        <f t="shared" si="31"/>
        <v>1</v>
      </c>
      <c r="N203" s="942"/>
      <c r="O203" s="52">
        <f t="shared" si="32"/>
        <v>1</v>
      </c>
      <c r="P203" s="942"/>
      <c r="Q203" s="52">
        <f t="shared" si="33"/>
        <v>1</v>
      </c>
      <c r="R203" s="470">
        <f t="shared" si="34"/>
        <v>0</v>
      </c>
      <c r="S203" s="779">
        <f t="shared" si="25"/>
        <v>0</v>
      </c>
    </row>
    <row r="204" spans="1:19">
      <c r="A204" s="944"/>
      <c r="B204" s="131"/>
      <c r="C204" s="52">
        <f t="shared" si="26"/>
        <v>1</v>
      </c>
      <c r="D204" s="942"/>
      <c r="E204" s="52">
        <f t="shared" si="27"/>
        <v>0</v>
      </c>
      <c r="F204" s="942"/>
      <c r="G204" s="52">
        <f t="shared" si="28"/>
        <v>0</v>
      </c>
      <c r="H204" s="942"/>
      <c r="I204" s="52">
        <f t="shared" si="29"/>
        <v>0</v>
      </c>
      <c r="J204" s="942"/>
      <c r="K204" s="52">
        <f t="shared" si="30"/>
        <v>1</v>
      </c>
      <c r="L204" s="942"/>
      <c r="M204" s="52">
        <f t="shared" si="31"/>
        <v>1</v>
      </c>
      <c r="N204" s="942"/>
      <c r="O204" s="52">
        <f t="shared" si="32"/>
        <v>1</v>
      </c>
      <c r="P204" s="942"/>
      <c r="Q204" s="52">
        <f t="shared" si="33"/>
        <v>1</v>
      </c>
      <c r="R204" s="470">
        <f t="shared" si="34"/>
        <v>0</v>
      </c>
      <c r="S204" s="779">
        <f t="shared" si="25"/>
        <v>0</v>
      </c>
    </row>
    <row r="205" spans="1:19">
      <c r="A205" s="944"/>
      <c r="B205" s="131"/>
      <c r="C205" s="52">
        <f t="shared" si="26"/>
        <v>1</v>
      </c>
      <c r="D205" s="942"/>
      <c r="E205" s="52">
        <f t="shared" si="27"/>
        <v>0</v>
      </c>
      <c r="F205" s="942"/>
      <c r="G205" s="52">
        <f t="shared" si="28"/>
        <v>0</v>
      </c>
      <c r="H205" s="942"/>
      <c r="I205" s="52">
        <f t="shared" si="29"/>
        <v>0</v>
      </c>
      <c r="J205" s="942"/>
      <c r="K205" s="52">
        <f t="shared" si="30"/>
        <v>1</v>
      </c>
      <c r="L205" s="942"/>
      <c r="M205" s="52">
        <f t="shared" si="31"/>
        <v>1</v>
      </c>
      <c r="N205" s="942"/>
      <c r="O205" s="52">
        <f t="shared" si="32"/>
        <v>1</v>
      </c>
      <c r="P205" s="942"/>
      <c r="Q205" s="52">
        <f t="shared" si="33"/>
        <v>1</v>
      </c>
      <c r="R205" s="470">
        <f t="shared" si="34"/>
        <v>0</v>
      </c>
      <c r="S205" s="779">
        <f t="shared" si="25"/>
        <v>0</v>
      </c>
    </row>
    <row r="206" spans="1:19">
      <c r="A206" s="944"/>
      <c r="B206" s="131"/>
      <c r="C206" s="52">
        <f t="shared" si="26"/>
        <v>1</v>
      </c>
      <c r="D206" s="942"/>
      <c r="E206" s="52">
        <f t="shared" si="27"/>
        <v>0</v>
      </c>
      <c r="F206" s="942"/>
      <c r="G206" s="52">
        <f t="shared" si="28"/>
        <v>0</v>
      </c>
      <c r="H206" s="942"/>
      <c r="I206" s="52">
        <f t="shared" si="29"/>
        <v>0</v>
      </c>
      <c r="J206" s="942"/>
      <c r="K206" s="52">
        <f t="shared" si="30"/>
        <v>1</v>
      </c>
      <c r="L206" s="942"/>
      <c r="M206" s="52">
        <f t="shared" si="31"/>
        <v>1</v>
      </c>
      <c r="N206" s="942"/>
      <c r="O206" s="52">
        <f t="shared" si="32"/>
        <v>1</v>
      </c>
      <c r="P206" s="942"/>
      <c r="Q206" s="52">
        <f t="shared" si="33"/>
        <v>1</v>
      </c>
      <c r="R206" s="470">
        <f t="shared" si="34"/>
        <v>0</v>
      </c>
      <c r="S206" s="779">
        <f t="shared" si="25"/>
        <v>0</v>
      </c>
    </row>
    <row r="207" spans="1:19">
      <c r="A207" s="944"/>
      <c r="B207" s="131"/>
      <c r="C207" s="52">
        <f t="shared" si="26"/>
        <v>1</v>
      </c>
      <c r="D207" s="942"/>
      <c r="E207" s="52">
        <f t="shared" si="27"/>
        <v>0</v>
      </c>
      <c r="F207" s="942"/>
      <c r="G207" s="52">
        <f t="shared" si="28"/>
        <v>0</v>
      </c>
      <c r="H207" s="942"/>
      <c r="I207" s="52">
        <f t="shared" si="29"/>
        <v>0</v>
      </c>
      <c r="J207" s="942"/>
      <c r="K207" s="52">
        <f t="shared" si="30"/>
        <v>1</v>
      </c>
      <c r="L207" s="942"/>
      <c r="M207" s="52">
        <f t="shared" si="31"/>
        <v>1</v>
      </c>
      <c r="N207" s="942"/>
      <c r="O207" s="52">
        <f t="shared" si="32"/>
        <v>1</v>
      </c>
      <c r="P207" s="942"/>
      <c r="Q207" s="52">
        <f t="shared" si="33"/>
        <v>1</v>
      </c>
      <c r="R207" s="470">
        <f t="shared" si="34"/>
        <v>0</v>
      </c>
      <c r="S207" s="779">
        <f t="shared" si="25"/>
        <v>0</v>
      </c>
    </row>
    <row r="208" spans="1:19">
      <c r="A208" s="944"/>
      <c r="B208" s="131"/>
      <c r="C208" s="52">
        <f t="shared" si="26"/>
        <v>1</v>
      </c>
      <c r="D208" s="942"/>
      <c r="E208" s="52">
        <f t="shared" si="27"/>
        <v>0</v>
      </c>
      <c r="F208" s="942"/>
      <c r="G208" s="52">
        <f t="shared" si="28"/>
        <v>0</v>
      </c>
      <c r="H208" s="942"/>
      <c r="I208" s="52">
        <f t="shared" si="29"/>
        <v>0</v>
      </c>
      <c r="J208" s="942"/>
      <c r="K208" s="52">
        <f t="shared" si="30"/>
        <v>1</v>
      </c>
      <c r="L208" s="942"/>
      <c r="M208" s="52">
        <f t="shared" si="31"/>
        <v>1</v>
      </c>
      <c r="N208" s="942"/>
      <c r="O208" s="52">
        <f t="shared" si="32"/>
        <v>1</v>
      </c>
      <c r="P208" s="942"/>
      <c r="Q208" s="52">
        <f t="shared" si="33"/>
        <v>1</v>
      </c>
      <c r="R208" s="470">
        <f t="shared" si="34"/>
        <v>0</v>
      </c>
      <c r="S208" s="779">
        <f t="shared" si="25"/>
        <v>0</v>
      </c>
    </row>
    <row r="209" spans="1:19">
      <c r="A209" s="944"/>
      <c r="B209" s="131"/>
      <c r="C209" s="52">
        <f t="shared" si="26"/>
        <v>1</v>
      </c>
      <c r="D209" s="942"/>
      <c r="E209" s="52">
        <f t="shared" si="27"/>
        <v>0</v>
      </c>
      <c r="F209" s="942"/>
      <c r="G209" s="52">
        <f t="shared" si="28"/>
        <v>0</v>
      </c>
      <c r="H209" s="942"/>
      <c r="I209" s="52">
        <f t="shared" si="29"/>
        <v>0</v>
      </c>
      <c r="J209" s="942"/>
      <c r="K209" s="52">
        <f t="shared" si="30"/>
        <v>1</v>
      </c>
      <c r="L209" s="942"/>
      <c r="M209" s="52">
        <f t="shared" si="31"/>
        <v>1</v>
      </c>
      <c r="N209" s="942"/>
      <c r="O209" s="52">
        <f t="shared" si="32"/>
        <v>1</v>
      </c>
      <c r="P209" s="942"/>
      <c r="Q209" s="52">
        <f t="shared" si="33"/>
        <v>1</v>
      </c>
      <c r="R209" s="470">
        <f t="shared" si="34"/>
        <v>0</v>
      </c>
      <c r="S209" s="779">
        <f t="shared" si="25"/>
        <v>0</v>
      </c>
    </row>
    <row r="210" spans="1:19">
      <c r="A210" s="944"/>
      <c r="B210" s="131"/>
      <c r="C210" s="52">
        <f t="shared" si="26"/>
        <v>1</v>
      </c>
      <c r="D210" s="942"/>
      <c r="E210" s="52">
        <f t="shared" si="27"/>
        <v>0</v>
      </c>
      <c r="F210" s="942"/>
      <c r="G210" s="52">
        <f t="shared" si="28"/>
        <v>0</v>
      </c>
      <c r="H210" s="942"/>
      <c r="I210" s="52">
        <f t="shared" si="29"/>
        <v>0</v>
      </c>
      <c r="J210" s="942"/>
      <c r="K210" s="52">
        <f t="shared" si="30"/>
        <v>1</v>
      </c>
      <c r="L210" s="942"/>
      <c r="M210" s="52">
        <f t="shared" si="31"/>
        <v>1</v>
      </c>
      <c r="N210" s="942"/>
      <c r="O210" s="52">
        <f t="shared" si="32"/>
        <v>1</v>
      </c>
      <c r="P210" s="942"/>
      <c r="Q210" s="52">
        <f t="shared" si="33"/>
        <v>1</v>
      </c>
      <c r="R210" s="470">
        <f t="shared" si="34"/>
        <v>0</v>
      </c>
      <c r="S210" s="779">
        <f t="shared" si="25"/>
        <v>0</v>
      </c>
    </row>
    <row r="211" spans="1:19">
      <c r="A211" s="944"/>
      <c r="B211" s="131"/>
      <c r="C211" s="52">
        <f t="shared" si="26"/>
        <v>1</v>
      </c>
      <c r="D211" s="942"/>
      <c r="E211" s="52">
        <f t="shared" si="27"/>
        <v>0</v>
      </c>
      <c r="F211" s="942"/>
      <c r="G211" s="52">
        <f t="shared" si="28"/>
        <v>0</v>
      </c>
      <c r="H211" s="942"/>
      <c r="I211" s="52">
        <f t="shared" si="29"/>
        <v>0</v>
      </c>
      <c r="J211" s="942"/>
      <c r="K211" s="52">
        <f t="shared" si="30"/>
        <v>1</v>
      </c>
      <c r="L211" s="942"/>
      <c r="M211" s="52">
        <f t="shared" si="31"/>
        <v>1</v>
      </c>
      <c r="N211" s="942"/>
      <c r="O211" s="52">
        <f t="shared" si="32"/>
        <v>1</v>
      </c>
      <c r="P211" s="942"/>
      <c r="Q211" s="52">
        <f t="shared" si="33"/>
        <v>1</v>
      </c>
      <c r="R211" s="470">
        <f t="shared" si="34"/>
        <v>0</v>
      </c>
      <c r="S211" s="779">
        <f t="shared" si="25"/>
        <v>0</v>
      </c>
    </row>
    <row r="212" spans="1:19">
      <c r="A212" s="944"/>
      <c r="B212" s="131"/>
      <c r="C212" s="52">
        <f t="shared" si="26"/>
        <v>1</v>
      </c>
      <c r="D212" s="942"/>
      <c r="E212" s="52">
        <f t="shared" si="27"/>
        <v>0</v>
      </c>
      <c r="F212" s="942"/>
      <c r="G212" s="52">
        <f t="shared" si="28"/>
        <v>0</v>
      </c>
      <c r="H212" s="942"/>
      <c r="I212" s="52">
        <f t="shared" si="29"/>
        <v>0</v>
      </c>
      <c r="J212" s="942"/>
      <c r="K212" s="52">
        <f t="shared" si="30"/>
        <v>1</v>
      </c>
      <c r="L212" s="942"/>
      <c r="M212" s="52">
        <f t="shared" si="31"/>
        <v>1</v>
      </c>
      <c r="N212" s="942"/>
      <c r="O212" s="52">
        <f t="shared" si="32"/>
        <v>1</v>
      </c>
      <c r="P212" s="942"/>
      <c r="Q212" s="52">
        <f t="shared" si="33"/>
        <v>1</v>
      </c>
      <c r="R212" s="470">
        <f t="shared" si="34"/>
        <v>0</v>
      </c>
      <c r="S212" s="779">
        <f t="shared" si="25"/>
        <v>0</v>
      </c>
    </row>
    <row r="213" spans="1:19">
      <c r="A213" s="944"/>
      <c r="B213" s="131"/>
      <c r="C213" s="52">
        <f t="shared" si="26"/>
        <v>1</v>
      </c>
      <c r="D213" s="942"/>
      <c r="E213" s="52">
        <f t="shared" si="27"/>
        <v>0</v>
      </c>
      <c r="F213" s="942"/>
      <c r="G213" s="52">
        <f t="shared" si="28"/>
        <v>0</v>
      </c>
      <c r="H213" s="942"/>
      <c r="I213" s="52">
        <f t="shared" si="29"/>
        <v>0</v>
      </c>
      <c r="J213" s="942"/>
      <c r="K213" s="52">
        <f t="shared" si="30"/>
        <v>1</v>
      </c>
      <c r="L213" s="942"/>
      <c r="M213" s="52">
        <f t="shared" si="31"/>
        <v>1</v>
      </c>
      <c r="N213" s="942"/>
      <c r="O213" s="52">
        <f t="shared" si="32"/>
        <v>1</v>
      </c>
      <c r="P213" s="942"/>
      <c r="Q213" s="52">
        <f t="shared" si="33"/>
        <v>1</v>
      </c>
      <c r="R213" s="470">
        <f t="shared" si="34"/>
        <v>0</v>
      </c>
      <c r="S213" s="779">
        <f t="shared" si="25"/>
        <v>0</v>
      </c>
    </row>
    <row r="214" spans="1:19">
      <c r="A214" s="944"/>
      <c r="B214" s="131"/>
      <c r="C214" s="52">
        <f t="shared" si="26"/>
        <v>1</v>
      </c>
      <c r="D214" s="942"/>
      <c r="E214" s="52">
        <f t="shared" si="27"/>
        <v>0</v>
      </c>
      <c r="F214" s="942"/>
      <c r="G214" s="52">
        <f t="shared" si="28"/>
        <v>0</v>
      </c>
      <c r="H214" s="942"/>
      <c r="I214" s="52">
        <f t="shared" si="29"/>
        <v>0</v>
      </c>
      <c r="J214" s="942"/>
      <c r="K214" s="52">
        <f t="shared" si="30"/>
        <v>1</v>
      </c>
      <c r="L214" s="942"/>
      <c r="M214" s="52">
        <f t="shared" si="31"/>
        <v>1</v>
      </c>
      <c r="N214" s="942"/>
      <c r="O214" s="52">
        <f t="shared" si="32"/>
        <v>1</v>
      </c>
      <c r="P214" s="942"/>
      <c r="Q214" s="52">
        <f t="shared" si="33"/>
        <v>1</v>
      </c>
      <c r="R214" s="470">
        <f t="shared" si="34"/>
        <v>0</v>
      </c>
      <c r="S214" s="779">
        <f t="shared" si="25"/>
        <v>0</v>
      </c>
    </row>
    <row r="215" spans="1:19">
      <c r="A215" s="944"/>
      <c r="B215" s="131"/>
      <c r="C215" s="52">
        <f t="shared" si="26"/>
        <v>1</v>
      </c>
      <c r="D215" s="942"/>
      <c r="E215" s="52">
        <f t="shared" si="27"/>
        <v>0</v>
      </c>
      <c r="F215" s="942"/>
      <c r="G215" s="52">
        <f t="shared" si="28"/>
        <v>0</v>
      </c>
      <c r="H215" s="942"/>
      <c r="I215" s="52">
        <f t="shared" si="29"/>
        <v>0</v>
      </c>
      <c r="J215" s="942"/>
      <c r="K215" s="52">
        <f t="shared" si="30"/>
        <v>1</v>
      </c>
      <c r="L215" s="942"/>
      <c r="M215" s="52">
        <f t="shared" si="31"/>
        <v>1</v>
      </c>
      <c r="N215" s="942"/>
      <c r="O215" s="52">
        <f t="shared" si="32"/>
        <v>1</v>
      </c>
      <c r="P215" s="942"/>
      <c r="Q215" s="52">
        <f t="shared" si="33"/>
        <v>1</v>
      </c>
      <c r="R215" s="470">
        <f t="shared" si="34"/>
        <v>0</v>
      </c>
      <c r="S215" s="779">
        <f t="shared" si="25"/>
        <v>0</v>
      </c>
    </row>
    <row r="216" spans="1:19">
      <c r="A216" s="944"/>
      <c r="B216" s="131"/>
      <c r="C216" s="52">
        <f t="shared" si="26"/>
        <v>1</v>
      </c>
      <c r="D216" s="942"/>
      <c r="E216" s="52">
        <f t="shared" si="27"/>
        <v>0</v>
      </c>
      <c r="F216" s="942"/>
      <c r="G216" s="52">
        <f t="shared" si="28"/>
        <v>0</v>
      </c>
      <c r="H216" s="942"/>
      <c r="I216" s="52">
        <f t="shared" si="29"/>
        <v>0</v>
      </c>
      <c r="J216" s="942"/>
      <c r="K216" s="52">
        <f t="shared" si="30"/>
        <v>1</v>
      </c>
      <c r="L216" s="942"/>
      <c r="M216" s="52">
        <f t="shared" si="31"/>
        <v>1</v>
      </c>
      <c r="N216" s="942"/>
      <c r="O216" s="52">
        <f t="shared" si="32"/>
        <v>1</v>
      </c>
      <c r="P216" s="942"/>
      <c r="Q216" s="52">
        <f t="shared" si="33"/>
        <v>1</v>
      </c>
      <c r="R216" s="470">
        <f t="shared" si="34"/>
        <v>0</v>
      </c>
      <c r="S216" s="779">
        <f t="shared" ref="S216:S279" si="35">ROUND(R216*B216/10000,0)</f>
        <v>0</v>
      </c>
    </row>
    <row r="217" spans="1:19">
      <c r="A217" s="944"/>
      <c r="B217" s="131"/>
      <c r="C217" s="52">
        <f t="shared" si="26"/>
        <v>1</v>
      </c>
      <c r="D217" s="942"/>
      <c r="E217" s="52">
        <f t="shared" si="27"/>
        <v>0</v>
      </c>
      <c r="F217" s="942"/>
      <c r="G217" s="52">
        <f t="shared" si="28"/>
        <v>0</v>
      </c>
      <c r="H217" s="942"/>
      <c r="I217" s="52">
        <f t="shared" si="29"/>
        <v>0</v>
      </c>
      <c r="J217" s="942"/>
      <c r="K217" s="52">
        <f t="shared" si="30"/>
        <v>1</v>
      </c>
      <c r="L217" s="942"/>
      <c r="M217" s="52">
        <f t="shared" si="31"/>
        <v>1</v>
      </c>
      <c r="N217" s="942"/>
      <c r="O217" s="52">
        <f t="shared" si="32"/>
        <v>1</v>
      </c>
      <c r="P217" s="942"/>
      <c r="Q217" s="52">
        <f t="shared" si="33"/>
        <v>1</v>
      </c>
      <c r="R217" s="470">
        <f t="shared" si="34"/>
        <v>0</v>
      </c>
      <c r="S217" s="779">
        <f t="shared" si="35"/>
        <v>0</v>
      </c>
    </row>
    <row r="218" spans="1:19">
      <c r="A218" s="944"/>
      <c r="B218" s="131"/>
      <c r="C218" s="52">
        <f t="shared" ref="C218:C281" si="36">IF(B218="",1,(LOOKUP(B218,$3:$3,$4:$4)-LOOKUP($B$24,$3:$3,$4:$4)+100)/100)</f>
        <v>1</v>
      </c>
      <c r="D218" s="942"/>
      <c r="E218" s="52">
        <f t="shared" ref="E218:E281" si="37">(SUMIF($5:$5,D218,$6:$6)-SUMIF($5:$5,$D$24,$6:$6)+100)/100</f>
        <v>0</v>
      </c>
      <c r="F218" s="942"/>
      <c r="G218" s="52">
        <f t="shared" ref="G218:G281" si="38">(SUMIF($7:$7,F218,$8:$8)-SUMIF($7:$7,$F$24,$8:$8)+100)/100</f>
        <v>0</v>
      </c>
      <c r="H218" s="942"/>
      <c r="I218" s="52">
        <f t="shared" ref="I218:I281" si="39">(SUMIF($9:$9,H218,$10:$10)-SUMIF($9:$9,$H$24,$10:$10)+100)/100</f>
        <v>0</v>
      </c>
      <c r="J218" s="942"/>
      <c r="K218" s="52">
        <f t="shared" ref="K218:K281" si="40">(SUMIF($11:$11,J218,$12:$12)-SUMIF($11:$11,$J$24,$12:$12)+100)/100</f>
        <v>1</v>
      </c>
      <c r="L218" s="942"/>
      <c r="M218" s="52">
        <f t="shared" ref="M218:M281" si="41">(SUMIF($13:$13,L218,$14:$14)-SUMIF($13:$13,$L$24,$14:$14)+100)/100</f>
        <v>1</v>
      </c>
      <c r="N218" s="942"/>
      <c r="O218" s="52">
        <f t="shared" ref="O218:O281" si="42">(SUMIF($15:$15,N218,$16:$16)-SUMIF($15:$15,$N$24,$16:$16)+100)/100</f>
        <v>1</v>
      </c>
      <c r="P218" s="942"/>
      <c r="Q218" s="52">
        <f t="shared" ref="Q218:Q281" si="43">(SUMIF($17:$17,P218,$18:$18)-SUMIF($17:$17,$P$24,$18:$18)+100)/100</f>
        <v>1</v>
      </c>
      <c r="R218" s="470">
        <f t="shared" ref="R218:R281" si="44">IF(B218="",0,ROUND($R$24*C218*E218*G218*I218*K218*M218*O218*Q218,0))</f>
        <v>0</v>
      </c>
      <c r="S218" s="779">
        <f t="shared" si="35"/>
        <v>0</v>
      </c>
    </row>
    <row r="219" spans="1:19">
      <c r="A219" s="944"/>
      <c r="B219" s="131"/>
      <c r="C219" s="52">
        <f t="shared" si="36"/>
        <v>1</v>
      </c>
      <c r="D219" s="942"/>
      <c r="E219" s="52">
        <f t="shared" si="37"/>
        <v>0</v>
      </c>
      <c r="F219" s="942"/>
      <c r="G219" s="52">
        <f t="shared" si="38"/>
        <v>0</v>
      </c>
      <c r="H219" s="942"/>
      <c r="I219" s="52">
        <f t="shared" si="39"/>
        <v>0</v>
      </c>
      <c r="J219" s="942"/>
      <c r="K219" s="52">
        <f t="shared" si="40"/>
        <v>1</v>
      </c>
      <c r="L219" s="942"/>
      <c r="M219" s="52">
        <f t="shared" si="41"/>
        <v>1</v>
      </c>
      <c r="N219" s="942"/>
      <c r="O219" s="52">
        <f t="shared" si="42"/>
        <v>1</v>
      </c>
      <c r="P219" s="942"/>
      <c r="Q219" s="52">
        <f t="shared" si="43"/>
        <v>1</v>
      </c>
      <c r="R219" s="470">
        <f t="shared" si="44"/>
        <v>0</v>
      </c>
      <c r="S219" s="779">
        <f t="shared" si="35"/>
        <v>0</v>
      </c>
    </row>
    <row r="220" spans="1:19">
      <c r="A220" s="944"/>
      <c r="B220" s="131"/>
      <c r="C220" s="52">
        <f t="shared" si="36"/>
        <v>1</v>
      </c>
      <c r="D220" s="942"/>
      <c r="E220" s="52">
        <f t="shared" si="37"/>
        <v>0</v>
      </c>
      <c r="F220" s="942"/>
      <c r="G220" s="52">
        <f t="shared" si="38"/>
        <v>0</v>
      </c>
      <c r="H220" s="942"/>
      <c r="I220" s="52">
        <f t="shared" si="39"/>
        <v>0</v>
      </c>
      <c r="J220" s="942"/>
      <c r="K220" s="52">
        <f t="shared" si="40"/>
        <v>1</v>
      </c>
      <c r="L220" s="942"/>
      <c r="M220" s="52">
        <f t="shared" si="41"/>
        <v>1</v>
      </c>
      <c r="N220" s="942"/>
      <c r="O220" s="52">
        <f t="shared" si="42"/>
        <v>1</v>
      </c>
      <c r="P220" s="942"/>
      <c r="Q220" s="52">
        <f t="shared" si="43"/>
        <v>1</v>
      </c>
      <c r="R220" s="470">
        <f t="shared" si="44"/>
        <v>0</v>
      </c>
      <c r="S220" s="779">
        <f t="shared" si="35"/>
        <v>0</v>
      </c>
    </row>
    <row r="221" spans="1:19">
      <c r="A221" s="944"/>
      <c r="B221" s="131"/>
      <c r="C221" s="52">
        <f t="shared" si="36"/>
        <v>1</v>
      </c>
      <c r="D221" s="942"/>
      <c r="E221" s="52">
        <f t="shared" si="37"/>
        <v>0</v>
      </c>
      <c r="F221" s="942"/>
      <c r="G221" s="52">
        <f t="shared" si="38"/>
        <v>0</v>
      </c>
      <c r="H221" s="942"/>
      <c r="I221" s="52">
        <f t="shared" si="39"/>
        <v>0</v>
      </c>
      <c r="J221" s="942"/>
      <c r="K221" s="52">
        <f t="shared" si="40"/>
        <v>1</v>
      </c>
      <c r="L221" s="942"/>
      <c r="M221" s="52">
        <f t="shared" si="41"/>
        <v>1</v>
      </c>
      <c r="N221" s="942"/>
      <c r="O221" s="52">
        <f t="shared" si="42"/>
        <v>1</v>
      </c>
      <c r="P221" s="942"/>
      <c r="Q221" s="52">
        <f t="shared" si="43"/>
        <v>1</v>
      </c>
      <c r="R221" s="470">
        <f t="shared" si="44"/>
        <v>0</v>
      </c>
      <c r="S221" s="779">
        <f t="shared" si="35"/>
        <v>0</v>
      </c>
    </row>
    <row r="222" spans="1:19">
      <c r="A222" s="944"/>
      <c r="B222" s="131"/>
      <c r="C222" s="52">
        <f t="shared" si="36"/>
        <v>1</v>
      </c>
      <c r="D222" s="942"/>
      <c r="E222" s="52">
        <f t="shared" si="37"/>
        <v>0</v>
      </c>
      <c r="F222" s="942"/>
      <c r="G222" s="52">
        <f t="shared" si="38"/>
        <v>0</v>
      </c>
      <c r="H222" s="942"/>
      <c r="I222" s="52">
        <f t="shared" si="39"/>
        <v>0</v>
      </c>
      <c r="J222" s="942"/>
      <c r="K222" s="52">
        <f t="shared" si="40"/>
        <v>1</v>
      </c>
      <c r="L222" s="942"/>
      <c r="M222" s="52">
        <f t="shared" si="41"/>
        <v>1</v>
      </c>
      <c r="N222" s="942"/>
      <c r="O222" s="52">
        <f t="shared" si="42"/>
        <v>1</v>
      </c>
      <c r="P222" s="942"/>
      <c r="Q222" s="52">
        <f t="shared" si="43"/>
        <v>1</v>
      </c>
      <c r="R222" s="470">
        <f t="shared" si="44"/>
        <v>0</v>
      </c>
      <c r="S222" s="779">
        <f t="shared" si="35"/>
        <v>0</v>
      </c>
    </row>
    <row r="223" spans="1:19">
      <c r="A223" s="944"/>
      <c r="B223" s="131"/>
      <c r="C223" s="52">
        <f t="shared" si="36"/>
        <v>1</v>
      </c>
      <c r="D223" s="942"/>
      <c r="E223" s="52">
        <f t="shared" si="37"/>
        <v>0</v>
      </c>
      <c r="F223" s="942"/>
      <c r="G223" s="52">
        <f t="shared" si="38"/>
        <v>0</v>
      </c>
      <c r="H223" s="942"/>
      <c r="I223" s="52">
        <f t="shared" si="39"/>
        <v>0</v>
      </c>
      <c r="J223" s="942"/>
      <c r="K223" s="52">
        <f t="shared" si="40"/>
        <v>1</v>
      </c>
      <c r="L223" s="942"/>
      <c r="M223" s="52">
        <f t="shared" si="41"/>
        <v>1</v>
      </c>
      <c r="N223" s="942"/>
      <c r="O223" s="52">
        <f t="shared" si="42"/>
        <v>1</v>
      </c>
      <c r="P223" s="942"/>
      <c r="Q223" s="52">
        <f t="shared" si="43"/>
        <v>1</v>
      </c>
      <c r="R223" s="470">
        <f t="shared" si="44"/>
        <v>0</v>
      </c>
      <c r="S223" s="779">
        <f t="shared" si="35"/>
        <v>0</v>
      </c>
    </row>
    <row r="224" spans="1:19">
      <c r="A224" s="944"/>
      <c r="B224" s="131"/>
      <c r="C224" s="52">
        <f t="shared" si="36"/>
        <v>1</v>
      </c>
      <c r="D224" s="942"/>
      <c r="E224" s="52">
        <f t="shared" si="37"/>
        <v>0</v>
      </c>
      <c r="F224" s="942"/>
      <c r="G224" s="52">
        <f t="shared" si="38"/>
        <v>0</v>
      </c>
      <c r="H224" s="942"/>
      <c r="I224" s="52">
        <f t="shared" si="39"/>
        <v>0</v>
      </c>
      <c r="J224" s="942"/>
      <c r="K224" s="52">
        <f t="shared" si="40"/>
        <v>1</v>
      </c>
      <c r="L224" s="942"/>
      <c r="M224" s="52">
        <f t="shared" si="41"/>
        <v>1</v>
      </c>
      <c r="N224" s="942"/>
      <c r="O224" s="52">
        <f t="shared" si="42"/>
        <v>1</v>
      </c>
      <c r="P224" s="942"/>
      <c r="Q224" s="52">
        <f t="shared" si="43"/>
        <v>1</v>
      </c>
      <c r="R224" s="470">
        <f t="shared" si="44"/>
        <v>0</v>
      </c>
      <c r="S224" s="779">
        <f t="shared" si="35"/>
        <v>0</v>
      </c>
    </row>
    <row r="225" spans="1:19">
      <c r="A225" s="944"/>
      <c r="B225" s="131"/>
      <c r="C225" s="52">
        <f t="shared" si="36"/>
        <v>1</v>
      </c>
      <c r="D225" s="942"/>
      <c r="E225" s="52">
        <f t="shared" si="37"/>
        <v>0</v>
      </c>
      <c r="F225" s="942"/>
      <c r="G225" s="52">
        <f t="shared" si="38"/>
        <v>0</v>
      </c>
      <c r="H225" s="942"/>
      <c r="I225" s="52">
        <f t="shared" si="39"/>
        <v>0</v>
      </c>
      <c r="J225" s="942"/>
      <c r="K225" s="52">
        <f t="shared" si="40"/>
        <v>1</v>
      </c>
      <c r="L225" s="942"/>
      <c r="M225" s="52">
        <f t="shared" si="41"/>
        <v>1</v>
      </c>
      <c r="N225" s="942"/>
      <c r="O225" s="52">
        <f t="shared" si="42"/>
        <v>1</v>
      </c>
      <c r="P225" s="942"/>
      <c r="Q225" s="52">
        <f t="shared" si="43"/>
        <v>1</v>
      </c>
      <c r="R225" s="470">
        <f t="shared" si="44"/>
        <v>0</v>
      </c>
      <c r="S225" s="779">
        <f t="shared" si="35"/>
        <v>0</v>
      </c>
    </row>
    <row r="226" spans="1:19">
      <c r="A226" s="944"/>
      <c r="B226" s="131"/>
      <c r="C226" s="52">
        <f t="shared" si="36"/>
        <v>1</v>
      </c>
      <c r="D226" s="942"/>
      <c r="E226" s="52">
        <f t="shared" si="37"/>
        <v>0</v>
      </c>
      <c r="F226" s="942"/>
      <c r="G226" s="52">
        <f t="shared" si="38"/>
        <v>0</v>
      </c>
      <c r="H226" s="942"/>
      <c r="I226" s="52">
        <f t="shared" si="39"/>
        <v>0</v>
      </c>
      <c r="J226" s="942"/>
      <c r="K226" s="52">
        <f t="shared" si="40"/>
        <v>1</v>
      </c>
      <c r="L226" s="942"/>
      <c r="M226" s="52">
        <f t="shared" si="41"/>
        <v>1</v>
      </c>
      <c r="N226" s="942"/>
      <c r="O226" s="52">
        <f t="shared" si="42"/>
        <v>1</v>
      </c>
      <c r="P226" s="942"/>
      <c r="Q226" s="52">
        <f t="shared" si="43"/>
        <v>1</v>
      </c>
      <c r="R226" s="470">
        <f t="shared" si="44"/>
        <v>0</v>
      </c>
      <c r="S226" s="779">
        <f t="shared" si="35"/>
        <v>0</v>
      </c>
    </row>
    <row r="227" spans="1:19">
      <c r="A227" s="944"/>
      <c r="B227" s="131"/>
      <c r="C227" s="52">
        <f t="shared" si="36"/>
        <v>1</v>
      </c>
      <c r="D227" s="942"/>
      <c r="E227" s="52">
        <f t="shared" si="37"/>
        <v>0</v>
      </c>
      <c r="F227" s="942"/>
      <c r="G227" s="52">
        <f t="shared" si="38"/>
        <v>0</v>
      </c>
      <c r="H227" s="942"/>
      <c r="I227" s="52">
        <f t="shared" si="39"/>
        <v>0</v>
      </c>
      <c r="J227" s="942"/>
      <c r="K227" s="52">
        <f t="shared" si="40"/>
        <v>1</v>
      </c>
      <c r="L227" s="942"/>
      <c r="M227" s="52">
        <f t="shared" si="41"/>
        <v>1</v>
      </c>
      <c r="N227" s="942"/>
      <c r="O227" s="52">
        <f t="shared" si="42"/>
        <v>1</v>
      </c>
      <c r="P227" s="942"/>
      <c r="Q227" s="52">
        <f t="shared" si="43"/>
        <v>1</v>
      </c>
      <c r="R227" s="470">
        <f t="shared" si="44"/>
        <v>0</v>
      </c>
      <c r="S227" s="779">
        <f t="shared" si="35"/>
        <v>0</v>
      </c>
    </row>
    <row r="228" spans="1:19">
      <c r="A228" s="944"/>
      <c r="B228" s="131"/>
      <c r="C228" s="52">
        <f t="shared" si="36"/>
        <v>1</v>
      </c>
      <c r="D228" s="942"/>
      <c r="E228" s="52">
        <f t="shared" si="37"/>
        <v>0</v>
      </c>
      <c r="F228" s="942"/>
      <c r="G228" s="52">
        <f t="shared" si="38"/>
        <v>0</v>
      </c>
      <c r="H228" s="942"/>
      <c r="I228" s="52">
        <f t="shared" si="39"/>
        <v>0</v>
      </c>
      <c r="J228" s="942"/>
      <c r="K228" s="52">
        <f t="shared" si="40"/>
        <v>1</v>
      </c>
      <c r="L228" s="942"/>
      <c r="M228" s="52">
        <f t="shared" si="41"/>
        <v>1</v>
      </c>
      <c r="N228" s="942"/>
      <c r="O228" s="52">
        <f t="shared" si="42"/>
        <v>1</v>
      </c>
      <c r="P228" s="942"/>
      <c r="Q228" s="52">
        <f t="shared" si="43"/>
        <v>1</v>
      </c>
      <c r="R228" s="470">
        <f t="shared" si="44"/>
        <v>0</v>
      </c>
      <c r="S228" s="779">
        <f t="shared" si="35"/>
        <v>0</v>
      </c>
    </row>
    <row r="229" spans="1:19">
      <c r="A229" s="944"/>
      <c r="B229" s="131"/>
      <c r="C229" s="52">
        <f t="shared" si="36"/>
        <v>1</v>
      </c>
      <c r="D229" s="942"/>
      <c r="E229" s="52">
        <f t="shared" si="37"/>
        <v>0</v>
      </c>
      <c r="F229" s="942"/>
      <c r="G229" s="52">
        <f t="shared" si="38"/>
        <v>0</v>
      </c>
      <c r="H229" s="942"/>
      <c r="I229" s="52">
        <f t="shared" si="39"/>
        <v>0</v>
      </c>
      <c r="J229" s="942"/>
      <c r="K229" s="52">
        <f t="shared" si="40"/>
        <v>1</v>
      </c>
      <c r="L229" s="942"/>
      <c r="M229" s="52">
        <f t="shared" si="41"/>
        <v>1</v>
      </c>
      <c r="N229" s="942"/>
      <c r="O229" s="52">
        <f t="shared" si="42"/>
        <v>1</v>
      </c>
      <c r="P229" s="942"/>
      <c r="Q229" s="52">
        <f t="shared" si="43"/>
        <v>1</v>
      </c>
      <c r="R229" s="470">
        <f t="shared" si="44"/>
        <v>0</v>
      </c>
      <c r="S229" s="779">
        <f t="shared" si="35"/>
        <v>0</v>
      </c>
    </row>
    <row r="230" spans="1:19">
      <c r="A230" s="944"/>
      <c r="B230" s="131"/>
      <c r="C230" s="52">
        <f t="shared" si="36"/>
        <v>1</v>
      </c>
      <c r="D230" s="942"/>
      <c r="E230" s="52">
        <f t="shared" si="37"/>
        <v>0</v>
      </c>
      <c r="F230" s="942"/>
      <c r="G230" s="52">
        <f t="shared" si="38"/>
        <v>0</v>
      </c>
      <c r="H230" s="942"/>
      <c r="I230" s="52">
        <f t="shared" si="39"/>
        <v>0</v>
      </c>
      <c r="J230" s="942"/>
      <c r="K230" s="52">
        <f t="shared" si="40"/>
        <v>1</v>
      </c>
      <c r="L230" s="942"/>
      <c r="M230" s="52">
        <f t="shared" si="41"/>
        <v>1</v>
      </c>
      <c r="N230" s="942"/>
      <c r="O230" s="52">
        <f t="shared" si="42"/>
        <v>1</v>
      </c>
      <c r="P230" s="942"/>
      <c r="Q230" s="52">
        <f t="shared" si="43"/>
        <v>1</v>
      </c>
      <c r="R230" s="470">
        <f t="shared" si="44"/>
        <v>0</v>
      </c>
      <c r="S230" s="779">
        <f t="shared" si="35"/>
        <v>0</v>
      </c>
    </row>
    <row r="231" spans="1:19">
      <c r="A231" s="944"/>
      <c r="B231" s="131"/>
      <c r="C231" s="52">
        <f t="shared" si="36"/>
        <v>1</v>
      </c>
      <c r="D231" s="942"/>
      <c r="E231" s="52">
        <f t="shared" si="37"/>
        <v>0</v>
      </c>
      <c r="F231" s="942"/>
      <c r="G231" s="52">
        <f t="shared" si="38"/>
        <v>0</v>
      </c>
      <c r="H231" s="942"/>
      <c r="I231" s="52">
        <f t="shared" si="39"/>
        <v>0</v>
      </c>
      <c r="J231" s="942"/>
      <c r="K231" s="52">
        <f t="shared" si="40"/>
        <v>1</v>
      </c>
      <c r="L231" s="942"/>
      <c r="M231" s="52">
        <f t="shared" si="41"/>
        <v>1</v>
      </c>
      <c r="N231" s="942"/>
      <c r="O231" s="52">
        <f t="shared" si="42"/>
        <v>1</v>
      </c>
      <c r="P231" s="942"/>
      <c r="Q231" s="52">
        <f t="shared" si="43"/>
        <v>1</v>
      </c>
      <c r="R231" s="470">
        <f t="shared" si="44"/>
        <v>0</v>
      </c>
      <c r="S231" s="779">
        <f t="shared" si="35"/>
        <v>0</v>
      </c>
    </row>
    <row r="232" spans="1:19">
      <c r="A232" s="944"/>
      <c r="B232" s="131"/>
      <c r="C232" s="52">
        <f t="shared" si="36"/>
        <v>1</v>
      </c>
      <c r="D232" s="942"/>
      <c r="E232" s="52">
        <f t="shared" si="37"/>
        <v>0</v>
      </c>
      <c r="F232" s="942"/>
      <c r="G232" s="52">
        <f t="shared" si="38"/>
        <v>0</v>
      </c>
      <c r="H232" s="942"/>
      <c r="I232" s="52">
        <f t="shared" si="39"/>
        <v>0</v>
      </c>
      <c r="J232" s="942"/>
      <c r="K232" s="52">
        <f t="shared" si="40"/>
        <v>1</v>
      </c>
      <c r="L232" s="942"/>
      <c r="M232" s="52">
        <f t="shared" si="41"/>
        <v>1</v>
      </c>
      <c r="N232" s="942"/>
      <c r="O232" s="52">
        <f t="shared" si="42"/>
        <v>1</v>
      </c>
      <c r="P232" s="942"/>
      <c r="Q232" s="52">
        <f t="shared" si="43"/>
        <v>1</v>
      </c>
      <c r="R232" s="470">
        <f t="shared" si="44"/>
        <v>0</v>
      </c>
      <c r="S232" s="779">
        <f t="shared" si="35"/>
        <v>0</v>
      </c>
    </row>
    <row r="233" spans="1:19">
      <c r="A233" s="944"/>
      <c r="B233" s="131"/>
      <c r="C233" s="52">
        <f t="shared" si="36"/>
        <v>1</v>
      </c>
      <c r="D233" s="942"/>
      <c r="E233" s="52">
        <f t="shared" si="37"/>
        <v>0</v>
      </c>
      <c r="F233" s="942"/>
      <c r="G233" s="52">
        <f t="shared" si="38"/>
        <v>0</v>
      </c>
      <c r="H233" s="942"/>
      <c r="I233" s="52">
        <f t="shared" si="39"/>
        <v>0</v>
      </c>
      <c r="J233" s="942"/>
      <c r="K233" s="52">
        <f t="shared" si="40"/>
        <v>1</v>
      </c>
      <c r="L233" s="942"/>
      <c r="M233" s="52">
        <f t="shared" si="41"/>
        <v>1</v>
      </c>
      <c r="N233" s="942"/>
      <c r="O233" s="52">
        <f t="shared" si="42"/>
        <v>1</v>
      </c>
      <c r="P233" s="942"/>
      <c r="Q233" s="52">
        <f t="shared" si="43"/>
        <v>1</v>
      </c>
      <c r="R233" s="470">
        <f t="shared" si="44"/>
        <v>0</v>
      </c>
      <c r="S233" s="779">
        <f t="shared" si="35"/>
        <v>0</v>
      </c>
    </row>
    <row r="234" spans="1:19">
      <c r="A234" s="944"/>
      <c r="B234" s="131"/>
      <c r="C234" s="52">
        <f t="shared" si="36"/>
        <v>1</v>
      </c>
      <c r="D234" s="942"/>
      <c r="E234" s="52">
        <f t="shared" si="37"/>
        <v>0</v>
      </c>
      <c r="F234" s="942"/>
      <c r="G234" s="52">
        <f t="shared" si="38"/>
        <v>0</v>
      </c>
      <c r="H234" s="942"/>
      <c r="I234" s="52">
        <f t="shared" si="39"/>
        <v>0</v>
      </c>
      <c r="J234" s="942"/>
      <c r="K234" s="52">
        <f t="shared" si="40"/>
        <v>1</v>
      </c>
      <c r="L234" s="942"/>
      <c r="M234" s="52">
        <f t="shared" si="41"/>
        <v>1</v>
      </c>
      <c r="N234" s="942"/>
      <c r="O234" s="52">
        <f t="shared" si="42"/>
        <v>1</v>
      </c>
      <c r="P234" s="942"/>
      <c r="Q234" s="52">
        <f t="shared" si="43"/>
        <v>1</v>
      </c>
      <c r="R234" s="470">
        <f t="shared" si="44"/>
        <v>0</v>
      </c>
      <c r="S234" s="779">
        <f t="shared" si="35"/>
        <v>0</v>
      </c>
    </row>
    <row r="235" spans="1:19">
      <c r="A235" s="944"/>
      <c r="B235" s="131"/>
      <c r="C235" s="52">
        <f t="shared" si="36"/>
        <v>1</v>
      </c>
      <c r="D235" s="942"/>
      <c r="E235" s="52">
        <f t="shared" si="37"/>
        <v>0</v>
      </c>
      <c r="F235" s="942"/>
      <c r="G235" s="52">
        <f t="shared" si="38"/>
        <v>0</v>
      </c>
      <c r="H235" s="942"/>
      <c r="I235" s="52">
        <f t="shared" si="39"/>
        <v>0</v>
      </c>
      <c r="J235" s="942"/>
      <c r="K235" s="52">
        <f t="shared" si="40"/>
        <v>1</v>
      </c>
      <c r="L235" s="942"/>
      <c r="M235" s="52">
        <f t="shared" si="41"/>
        <v>1</v>
      </c>
      <c r="N235" s="942"/>
      <c r="O235" s="52">
        <f t="shared" si="42"/>
        <v>1</v>
      </c>
      <c r="P235" s="942"/>
      <c r="Q235" s="52">
        <f t="shared" si="43"/>
        <v>1</v>
      </c>
      <c r="R235" s="470">
        <f t="shared" si="44"/>
        <v>0</v>
      </c>
      <c r="S235" s="779">
        <f t="shared" si="35"/>
        <v>0</v>
      </c>
    </row>
    <row r="236" spans="1:19">
      <c r="A236" s="944"/>
      <c r="B236" s="131"/>
      <c r="C236" s="52">
        <f t="shared" si="36"/>
        <v>1</v>
      </c>
      <c r="D236" s="942"/>
      <c r="E236" s="52">
        <f t="shared" si="37"/>
        <v>0</v>
      </c>
      <c r="F236" s="942"/>
      <c r="G236" s="52">
        <f t="shared" si="38"/>
        <v>0</v>
      </c>
      <c r="H236" s="942"/>
      <c r="I236" s="52">
        <f t="shared" si="39"/>
        <v>0</v>
      </c>
      <c r="J236" s="942"/>
      <c r="K236" s="52">
        <f t="shared" si="40"/>
        <v>1</v>
      </c>
      <c r="L236" s="942"/>
      <c r="M236" s="52">
        <f t="shared" si="41"/>
        <v>1</v>
      </c>
      <c r="N236" s="942"/>
      <c r="O236" s="52">
        <f t="shared" si="42"/>
        <v>1</v>
      </c>
      <c r="P236" s="942"/>
      <c r="Q236" s="52">
        <f t="shared" si="43"/>
        <v>1</v>
      </c>
      <c r="R236" s="470">
        <f t="shared" si="44"/>
        <v>0</v>
      </c>
      <c r="S236" s="779">
        <f t="shared" si="35"/>
        <v>0</v>
      </c>
    </row>
    <row r="237" spans="1:19">
      <c r="A237" s="944"/>
      <c r="B237" s="131"/>
      <c r="C237" s="52">
        <f t="shared" si="36"/>
        <v>1</v>
      </c>
      <c r="D237" s="942"/>
      <c r="E237" s="52">
        <f t="shared" si="37"/>
        <v>0</v>
      </c>
      <c r="F237" s="942"/>
      <c r="G237" s="52">
        <f t="shared" si="38"/>
        <v>0</v>
      </c>
      <c r="H237" s="942"/>
      <c r="I237" s="52">
        <f t="shared" si="39"/>
        <v>0</v>
      </c>
      <c r="J237" s="942"/>
      <c r="K237" s="52">
        <f t="shared" si="40"/>
        <v>1</v>
      </c>
      <c r="L237" s="942"/>
      <c r="M237" s="52">
        <f t="shared" si="41"/>
        <v>1</v>
      </c>
      <c r="N237" s="942"/>
      <c r="O237" s="52">
        <f t="shared" si="42"/>
        <v>1</v>
      </c>
      <c r="P237" s="942"/>
      <c r="Q237" s="52">
        <f t="shared" si="43"/>
        <v>1</v>
      </c>
      <c r="R237" s="470">
        <f t="shared" si="44"/>
        <v>0</v>
      </c>
      <c r="S237" s="779">
        <f t="shared" si="35"/>
        <v>0</v>
      </c>
    </row>
    <row r="238" spans="1:19">
      <c r="A238" s="944"/>
      <c r="B238" s="131"/>
      <c r="C238" s="52">
        <f t="shared" si="36"/>
        <v>1</v>
      </c>
      <c r="D238" s="942"/>
      <c r="E238" s="52">
        <f t="shared" si="37"/>
        <v>0</v>
      </c>
      <c r="F238" s="942"/>
      <c r="G238" s="52">
        <f t="shared" si="38"/>
        <v>0</v>
      </c>
      <c r="H238" s="942"/>
      <c r="I238" s="52">
        <f t="shared" si="39"/>
        <v>0</v>
      </c>
      <c r="J238" s="942"/>
      <c r="K238" s="52">
        <f t="shared" si="40"/>
        <v>1</v>
      </c>
      <c r="L238" s="942"/>
      <c r="M238" s="52">
        <f t="shared" si="41"/>
        <v>1</v>
      </c>
      <c r="N238" s="942"/>
      <c r="O238" s="52">
        <f t="shared" si="42"/>
        <v>1</v>
      </c>
      <c r="P238" s="942"/>
      <c r="Q238" s="52">
        <f t="shared" si="43"/>
        <v>1</v>
      </c>
      <c r="R238" s="470">
        <f t="shared" si="44"/>
        <v>0</v>
      </c>
      <c r="S238" s="779">
        <f t="shared" si="35"/>
        <v>0</v>
      </c>
    </row>
    <row r="239" spans="1:19">
      <c r="A239" s="944"/>
      <c r="B239" s="131"/>
      <c r="C239" s="52">
        <f t="shared" si="36"/>
        <v>1</v>
      </c>
      <c r="D239" s="942"/>
      <c r="E239" s="52">
        <f t="shared" si="37"/>
        <v>0</v>
      </c>
      <c r="F239" s="942"/>
      <c r="G239" s="52">
        <f t="shared" si="38"/>
        <v>0</v>
      </c>
      <c r="H239" s="942"/>
      <c r="I239" s="52">
        <f t="shared" si="39"/>
        <v>0</v>
      </c>
      <c r="J239" s="942"/>
      <c r="K239" s="52">
        <f t="shared" si="40"/>
        <v>1</v>
      </c>
      <c r="L239" s="942"/>
      <c r="M239" s="52">
        <f t="shared" si="41"/>
        <v>1</v>
      </c>
      <c r="N239" s="942"/>
      <c r="O239" s="52">
        <f t="shared" si="42"/>
        <v>1</v>
      </c>
      <c r="P239" s="942"/>
      <c r="Q239" s="52">
        <f t="shared" si="43"/>
        <v>1</v>
      </c>
      <c r="R239" s="470">
        <f t="shared" si="44"/>
        <v>0</v>
      </c>
      <c r="S239" s="779">
        <f t="shared" si="35"/>
        <v>0</v>
      </c>
    </row>
    <row r="240" spans="1:19">
      <c r="A240" s="944"/>
      <c r="B240" s="131"/>
      <c r="C240" s="52">
        <f t="shared" si="36"/>
        <v>1</v>
      </c>
      <c r="D240" s="942"/>
      <c r="E240" s="52">
        <f t="shared" si="37"/>
        <v>0</v>
      </c>
      <c r="F240" s="942"/>
      <c r="G240" s="52">
        <f t="shared" si="38"/>
        <v>0</v>
      </c>
      <c r="H240" s="942"/>
      <c r="I240" s="52">
        <f t="shared" si="39"/>
        <v>0</v>
      </c>
      <c r="J240" s="942"/>
      <c r="K240" s="52">
        <f t="shared" si="40"/>
        <v>1</v>
      </c>
      <c r="L240" s="942"/>
      <c r="M240" s="52">
        <f t="shared" si="41"/>
        <v>1</v>
      </c>
      <c r="N240" s="942"/>
      <c r="O240" s="52">
        <f t="shared" si="42"/>
        <v>1</v>
      </c>
      <c r="P240" s="942"/>
      <c r="Q240" s="52">
        <f t="shared" si="43"/>
        <v>1</v>
      </c>
      <c r="R240" s="470">
        <f t="shared" si="44"/>
        <v>0</v>
      </c>
      <c r="S240" s="779">
        <f t="shared" si="35"/>
        <v>0</v>
      </c>
    </row>
    <row r="241" spans="1:19">
      <c r="A241" s="944"/>
      <c r="B241" s="131"/>
      <c r="C241" s="52">
        <f t="shared" si="36"/>
        <v>1</v>
      </c>
      <c r="D241" s="942"/>
      <c r="E241" s="52">
        <f t="shared" si="37"/>
        <v>0</v>
      </c>
      <c r="F241" s="942"/>
      <c r="G241" s="52">
        <f t="shared" si="38"/>
        <v>0</v>
      </c>
      <c r="H241" s="942"/>
      <c r="I241" s="52">
        <f t="shared" si="39"/>
        <v>0</v>
      </c>
      <c r="J241" s="942"/>
      <c r="K241" s="52">
        <f t="shared" si="40"/>
        <v>1</v>
      </c>
      <c r="L241" s="942"/>
      <c r="M241" s="52">
        <f t="shared" si="41"/>
        <v>1</v>
      </c>
      <c r="N241" s="942"/>
      <c r="O241" s="52">
        <f t="shared" si="42"/>
        <v>1</v>
      </c>
      <c r="P241" s="942"/>
      <c r="Q241" s="52">
        <f t="shared" si="43"/>
        <v>1</v>
      </c>
      <c r="R241" s="470">
        <f t="shared" si="44"/>
        <v>0</v>
      </c>
      <c r="S241" s="779">
        <f t="shared" si="35"/>
        <v>0</v>
      </c>
    </row>
    <row r="242" spans="1:19">
      <c r="A242" s="944"/>
      <c r="B242" s="131"/>
      <c r="C242" s="52">
        <f t="shared" si="36"/>
        <v>1</v>
      </c>
      <c r="D242" s="942"/>
      <c r="E242" s="52">
        <f t="shared" si="37"/>
        <v>0</v>
      </c>
      <c r="F242" s="942"/>
      <c r="G242" s="52">
        <f t="shared" si="38"/>
        <v>0</v>
      </c>
      <c r="H242" s="942"/>
      <c r="I242" s="52">
        <f t="shared" si="39"/>
        <v>0</v>
      </c>
      <c r="J242" s="942"/>
      <c r="K242" s="52">
        <f t="shared" si="40"/>
        <v>1</v>
      </c>
      <c r="L242" s="942"/>
      <c r="M242" s="52">
        <f t="shared" si="41"/>
        <v>1</v>
      </c>
      <c r="N242" s="942"/>
      <c r="O242" s="52">
        <f t="shared" si="42"/>
        <v>1</v>
      </c>
      <c r="P242" s="942"/>
      <c r="Q242" s="52">
        <f t="shared" si="43"/>
        <v>1</v>
      </c>
      <c r="R242" s="470">
        <f t="shared" si="44"/>
        <v>0</v>
      </c>
      <c r="S242" s="779">
        <f t="shared" si="35"/>
        <v>0</v>
      </c>
    </row>
    <row r="243" spans="1:19">
      <c r="A243" s="944"/>
      <c r="B243" s="131"/>
      <c r="C243" s="52">
        <f t="shared" si="36"/>
        <v>1</v>
      </c>
      <c r="D243" s="942"/>
      <c r="E243" s="52">
        <f t="shared" si="37"/>
        <v>0</v>
      </c>
      <c r="F243" s="942"/>
      <c r="G243" s="52">
        <f t="shared" si="38"/>
        <v>0</v>
      </c>
      <c r="H243" s="942"/>
      <c r="I243" s="52">
        <f t="shared" si="39"/>
        <v>0</v>
      </c>
      <c r="J243" s="942"/>
      <c r="K243" s="52">
        <f t="shared" si="40"/>
        <v>1</v>
      </c>
      <c r="L243" s="942"/>
      <c r="M243" s="52">
        <f t="shared" si="41"/>
        <v>1</v>
      </c>
      <c r="N243" s="942"/>
      <c r="O243" s="52">
        <f t="shared" si="42"/>
        <v>1</v>
      </c>
      <c r="P243" s="942"/>
      <c r="Q243" s="52">
        <f t="shared" si="43"/>
        <v>1</v>
      </c>
      <c r="R243" s="470">
        <f t="shared" si="44"/>
        <v>0</v>
      </c>
      <c r="S243" s="779">
        <f t="shared" si="35"/>
        <v>0</v>
      </c>
    </row>
    <row r="244" spans="1:19">
      <c r="A244" s="944"/>
      <c r="B244" s="131"/>
      <c r="C244" s="52">
        <f t="shared" si="36"/>
        <v>1</v>
      </c>
      <c r="D244" s="942"/>
      <c r="E244" s="52">
        <f t="shared" si="37"/>
        <v>0</v>
      </c>
      <c r="F244" s="942"/>
      <c r="G244" s="52">
        <f t="shared" si="38"/>
        <v>0</v>
      </c>
      <c r="H244" s="942"/>
      <c r="I244" s="52">
        <f t="shared" si="39"/>
        <v>0</v>
      </c>
      <c r="J244" s="942"/>
      <c r="K244" s="52">
        <f t="shared" si="40"/>
        <v>1</v>
      </c>
      <c r="L244" s="942"/>
      <c r="M244" s="52">
        <f t="shared" si="41"/>
        <v>1</v>
      </c>
      <c r="N244" s="942"/>
      <c r="O244" s="52">
        <f t="shared" si="42"/>
        <v>1</v>
      </c>
      <c r="P244" s="942"/>
      <c r="Q244" s="52">
        <f t="shared" si="43"/>
        <v>1</v>
      </c>
      <c r="R244" s="470">
        <f t="shared" si="44"/>
        <v>0</v>
      </c>
      <c r="S244" s="779">
        <f t="shared" si="35"/>
        <v>0</v>
      </c>
    </row>
    <row r="245" spans="1:19">
      <c r="A245" s="944"/>
      <c r="B245" s="131"/>
      <c r="C245" s="52">
        <f t="shared" si="36"/>
        <v>1</v>
      </c>
      <c r="D245" s="942"/>
      <c r="E245" s="52">
        <f t="shared" si="37"/>
        <v>0</v>
      </c>
      <c r="F245" s="942"/>
      <c r="G245" s="52">
        <f t="shared" si="38"/>
        <v>0</v>
      </c>
      <c r="H245" s="942"/>
      <c r="I245" s="52">
        <f t="shared" si="39"/>
        <v>0</v>
      </c>
      <c r="J245" s="942"/>
      <c r="K245" s="52">
        <f t="shared" si="40"/>
        <v>1</v>
      </c>
      <c r="L245" s="942"/>
      <c r="M245" s="52">
        <f t="shared" si="41"/>
        <v>1</v>
      </c>
      <c r="N245" s="942"/>
      <c r="O245" s="52">
        <f t="shared" si="42"/>
        <v>1</v>
      </c>
      <c r="P245" s="942"/>
      <c r="Q245" s="52">
        <f t="shared" si="43"/>
        <v>1</v>
      </c>
      <c r="R245" s="470">
        <f t="shared" si="44"/>
        <v>0</v>
      </c>
      <c r="S245" s="779">
        <f t="shared" si="35"/>
        <v>0</v>
      </c>
    </row>
    <row r="246" spans="1:19">
      <c r="A246" s="944"/>
      <c r="B246" s="131"/>
      <c r="C246" s="52">
        <f t="shared" si="36"/>
        <v>1</v>
      </c>
      <c r="D246" s="942"/>
      <c r="E246" s="52">
        <f t="shared" si="37"/>
        <v>0</v>
      </c>
      <c r="F246" s="942"/>
      <c r="G246" s="52">
        <f t="shared" si="38"/>
        <v>0</v>
      </c>
      <c r="H246" s="942"/>
      <c r="I246" s="52">
        <f t="shared" si="39"/>
        <v>0</v>
      </c>
      <c r="J246" s="942"/>
      <c r="K246" s="52">
        <f t="shared" si="40"/>
        <v>1</v>
      </c>
      <c r="L246" s="942"/>
      <c r="M246" s="52">
        <f t="shared" si="41"/>
        <v>1</v>
      </c>
      <c r="N246" s="942"/>
      <c r="O246" s="52">
        <f t="shared" si="42"/>
        <v>1</v>
      </c>
      <c r="P246" s="942"/>
      <c r="Q246" s="52">
        <f t="shared" si="43"/>
        <v>1</v>
      </c>
      <c r="R246" s="470">
        <f t="shared" si="44"/>
        <v>0</v>
      </c>
      <c r="S246" s="779">
        <f t="shared" si="35"/>
        <v>0</v>
      </c>
    </row>
    <row r="247" spans="1:19">
      <c r="A247" s="944"/>
      <c r="B247" s="131"/>
      <c r="C247" s="52">
        <f t="shared" si="36"/>
        <v>1</v>
      </c>
      <c r="D247" s="942"/>
      <c r="E247" s="52">
        <f t="shared" si="37"/>
        <v>0</v>
      </c>
      <c r="F247" s="942"/>
      <c r="G247" s="52">
        <f t="shared" si="38"/>
        <v>0</v>
      </c>
      <c r="H247" s="942"/>
      <c r="I247" s="52">
        <f t="shared" si="39"/>
        <v>0</v>
      </c>
      <c r="J247" s="942"/>
      <c r="K247" s="52">
        <f t="shared" si="40"/>
        <v>1</v>
      </c>
      <c r="L247" s="942"/>
      <c r="M247" s="52">
        <f t="shared" si="41"/>
        <v>1</v>
      </c>
      <c r="N247" s="942"/>
      <c r="O247" s="52">
        <f t="shared" si="42"/>
        <v>1</v>
      </c>
      <c r="P247" s="942"/>
      <c r="Q247" s="52">
        <f t="shared" si="43"/>
        <v>1</v>
      </c>
      <c r="R247" s="470">
        <f t="shared" si="44"/>
        <v>0</v>
      </c>
      <c r="S247" s="779">
        <f t="shared" si="35"/>
        <v>0</v>
      </c>
    </row>
    <row r="248" spans="1:19">
      <c r="A248" s="944"/>
      <c r="B248" s="131"/>
      <c r="C248" s="52">
        <f t="shared" si="36"/>
        <v>1</v>
      </c>
      <c r="D248" s="942"/>
      <c r="E248" s="52">
        <f t="shared" si="37"/>
        <v>0</v>
      </c>
      <c r="F248" s="942"/>
      <c r="G248" s="52">
        <f t="shared" si="38"/>
        <v>0</v>
      </c>
      <c r="H248" s="942"/>
      <c r="I248" s="52">
        <f t="shared" si="39"/>
        <v>0</v>
      </c>
      <c r="J248" s="942"/>
      <c r="K248" s="52">
        <f t="shared" si="40"/>
        <v>1</v>
      </c>
      <c r="L248" s="942"/>
      <c r="M248" s="52">
        <f t="shared" si="41"/>
        <v>1</v>
      </c>
      <c r="N248" s="942"/>
      <c r="O248" s="52">
        <f t="shared" si="42"/>
        <v>1</v>
      </c>
      <c r="P248" s="942"/>
      <c r="Q248" s="52">
        <f t="shared" si="43"/>
        <v>1</v>
      </c>
      <c r="R248" s="470">
        <f t="shared" si="44"/>
        <v>0</v>
      </c>
      <c r="S248" s="779">
        <f t="shared" si="35"/>
        <v>0</v>
      </c>
    </row>
    <row r="249" spans="1:19">
      <c r="A249" s="944"/>
      <c r="B249" s="131"/>
      <c r="C249" s="52">
        <f t="shared" si="36"/>
        <v>1</v>
      </c>
      <c r="D249" s="942"/>
      <c r="E249" s="52">
        <f t="shared" si="37"/>
        <v>0</v>
      </c>
      <c r="F249" s="942"/>
      <c r="G249" s="52">
        <f t="shared" si="38"/>
        <v>0</v>
      </c>
      <c r="H249" s="942"/>
      <c r="I249" s="52">
        <f t="shared" si="39"/>
        <v>0</v>
      </c>
      <c r="J249" s="942"/>
      <c r="K249" s="52">
        <f t="shared" si="40"/>
        <v>1</v>
      </c>
      <c r="L249" s="942"/>
      <c r="M249" s="52">
        <f t="shared" si="41"/>
        <v>1</v>
      </c>
      <c r="N249" s="942"/>
      <c r="O249" s="52">
        <f t="shared" si="42"/>
        <v>1</v>
      </c>
      <c r="P249" s="942"/>
      <c r="Q249" s="52">
        <f t="shared" si="43"/>
        <v>1</v>
      </c>
      <c r="R249" s="470">
        <f t="shared" si="44"/>
        <v>0</v>
      </c>
      <c r="S249" s="779">
        <f t="shared" si="35"/>
        <v>0</v>
      </c>
    </row>
    <row r="250" spans="1:19">
      <c r="A250" s="944"/>
      <c r="B250" s="131"/>
      <c r="C250" s="52">
        <f t="shared" si="36"/>
        <v>1</v>
      </c>
      <c r="D250" s="942"/>
      <c r="E250" s="52">
        <f t="shared" si="37"/>
        <v>0</v>
      </c>
      <c r="F250" s="942"/>
      <c r="G250" s="52">
        <f t="shared" si="38"/>
        <v>0</v>
      </c>
      <c r="H250" s="942"/>
      <c r="I250" s="52">
        <f t="shared" si="39"/>
        <v>0</v>
      </c>
      <c r="J250" s="942"/>
      <c r="K250" s="52">
        <f t="shared" si="40"/>
        <v>1</v>
      </c>
      <c r="L250" s="942"/>
      <c r="M250" s="52">
        <f t="shared" si="41"/>
        <v>1</v>
      </c>
      <c r="N250" s="942"/>
      <c r="O250" s="52">
        <f t="shared" si="42"/>
        <v>1</v>
      </c>
      <c r="P250" s="942"/>
      <c r="Q250" s="52">
        <f t="shared" si="43"/>
        <v>1</v>
      </c>
      <c r="R250" s="470">
        <f t="shared" si="44"/>
        <v>0</v>
      </c>
      <c r="S250" s="779">
        <f t="shared" si="35"/>
        <v>0</v>
      </c>
    </row>
    <row r="251" spans="1:19">
      <c r="A251" s="944"/>
      <c r="B251" s="131"/>
      <c r="C251" s="52">
        <f t="shared" si="36"/>
        <v>1</v>
      </c>
      <c r="D251" s="942"/>
      <c r="E251" s="52">
        <f t="shared" si="37"/>
        <v>0</v>
      </c>
      <c r="F251" s="942"/>
      <c r="G251" s="52">
        <f t="shared" si="38"/>
        <v>0</v>
      </c>
      <c r="H251" s="942"/>
      <c r="I251" s="52">
        <f t="shared" si="39"/>
        <v>0</v>
      </c>
      <c r="J251" s="942"/>
      <c r="K251" s="52">
        <f t="shared" si="40"/>
        <v>1</v>
      </c>
      <c r="L251" s="942"/>
      <c r="M251" s="52">
        <f t="shared" si="41"/>
        <v>1</v>
      </c>
      <c r="N251" s="942"/>
      <c r="O251" s="52">
        <f t="shared" si="42"/>
        <v>1</v>
      </c>
      <c r="P251" s="942"/>
      <c r="Q251" s="52">
        <f t="shared" si="43"/>
        <v>1</v>
      </c>
      <c r="R251" s="470">
        <f t="shared" si="44"/>
        <v>0</v>
      </c>
      <c r="S251" s="779">
        <f t="shared" si="35"/>
        <v>0</v>
      </c>
    </row>
    <row r="252" spans="1:19">
      <c r="A252" s="944"/>
      <c r="B252" s="131"/>
      <c r="C252" s="52">
        <f t="shared" si="36"/>
        <v>1</v>
      </c>
      <c r="D252" s="942"/>
      <c r="E252" s="52">
        <f t="shared" si="37"/>
        <v>0</v>
      </c>
      <c r="F252" s="942"/>
      <c r="G252" s="52">
        <f t="shared" si="38"/>
        <v>0</v>
      </c>
      <c r="H252" s="942"/>
      <c r="I252" s="52">
        <f t="shared" si="39"/>
        <v>0</v>
      </c>
      <c r="J252" s="942"/>
      <c r="K252" s="52">
        <f t="shared" si="40"/>
        <v>1</v>
      </c>
      <c r="L252" s="942"/>
      <c r="M252" s="52">
        <f t="shared" si="41"/>
        <v>1</v>
      </c>
      <c r="N252" s="942"/>
      <c r="O252" s="52">
        <f t="shared" si="42"/>
        <v>1</v>
      </c>
      <c r="P252" s="942"/>
      <c r="Q252" s="52">
        <f t="shared" si="43"/>
        <v>1</v>
      </c>
      <c r="R252" s="470">
        <f t="shared" si="44"/>
        <v>0</v>
      </c>
      <c r="S252" s="779">
        <f t="shared" si="35"/>
        <v>0</v>
      </c>
    </row>
    <row r="253" spans="1:19">
      <c r="A253" s="944"/>
      <c r="B253" s="131"/>
      <c r="C253" s="52">
        <f t="shared" si="36"/>
        <v>1</v>
      </c>
      <c r="D253" s="942"/>
      <c r="E253" s="52">
        <f t="shared" si="37"/>
        <v>0</v>
      </c>
      <c r="F253" s="942"/>
      <c r="G253" s="52">
        <f t="shared" si="38"/>
        <v>0</v>
      </c>
      <c r="H253" s="942"/>
      <c r="I253" s="52">
        <f t="shared" si="39"/>
        <v>0</v>
      </c>
      <c r="J253" s="942"/>
      <c r="K253" s="52">
        <f t="shared" si="40"/>
        <v>1</v>
      </c>
      <c r="L253" s="942"/>
      <c r="M253" s="52">
        <f t="shared" si="41"/>
        <v>1</v>
      </c>
      <c r="N253" s="942"/>
      <c r="O253" s="52">
        <f t="shared" si="42"/>
        <v>1</v>
      </c>
      <c r="P253" s="942"/>
      <c r="Q253" s="52">
        <f t="shared" si="43"/>
        <v>1</v>
      </c>
      <c r="R253" s="470">
        <f t="shared" si="44"/>
        <v>0</v>
      </c>
      <c r="S253" s="779">
        <f t="shared" si="35"/>
        <v>0</v>
      </c>
    </row>
    <row r="254" spans="1:19">
      <c r="A254" s="944"/>
      <c r="B254" s="131"/>
      <c r="C254" s="52">
        <f t="shared" si="36"/>
        <v>1</v>
      </c>
      <c r="D254" s="942"/>
      <c r="E254" s="52">
        <f t="shared" si="37"/>
        <v>0</v>
      </c>
      <c r="F254" s="942"/>
      <c r="G254" s="52">
        <f t="shared" si="38"/>
        <v>0</v>
      </c>
      <c r="H254" s="942"/>
      <c r="I254" s="52">
        <f t="shared" si="39"/>
        <v>0</v>
      </c>
      <c r="J254" s="942"/>
      <c r="K254" s="52">
        <f t="shared" si="40"/>
        <v>1</v>
      </c>
      <c r="L254" s="942"/>
      <c r="M254" s="52">
        <f t="shared" si="41"/>
        <v>1</v>
      </c>
      <c r="N254" s="942"/>
      <c r="O254" s="52">
        <f t="shared" si="42"/>
        <v>1</v>
      </c>
      <c r="P254" s="942"/>
      <c r="Q254" s="52">
        <f t="shared" si="43"/>
        <v>1</v>
      </c>
      <c r="R254" s="470">
        <f t="shared" si="44"/>
        <v>0</v>
      </c>
      <c r="S254" s="779">
        <f t="shared" si="35"/>
        <v>0</v>
      </c>
    </row>
    <row r="255" spans="1:19">
      <c r="A255" s="944"/>
      <c r="B255" s="131"/>
      <c r="C255" s="52">
        <f t="shared" si="36"/>
        <v>1</v>
      </c>
      <c r="D255" s="942"/>
      <c r="E255" s="52">
        <f t="shared" si="37"/>
        <v>0</v>
      </c>
      <c r="F255" s="942"/>
      <c r="G255" s="52">
        <f t="shared" si="38"/>
        <v>0</v>
      </c>
      <c r="H255" s="942"/>
      <c r="I255" s="52">
        <f t="shared" si="39"/>
        <v>0</v>
      </c>
      <c r="J255" s="942"/>
      <c r="K255" s="52">
        <f t="shared" si="40"/>
        <v>1</v>
      </c>
      <c r="L255" s="942"/>
      <c r="M255" s="52">
        <f t="shared" si="41"/>
        <v>1</v>
      </c>
      <c r="N255" s="942"/>
      <c r="O255" s="52">
        <f t="shared" si="42"/>
        <v>1</v>
      </c>
      <c r="P255" s="942"/>
      <c r="Q255" s="52">
        <f t="shared" si="43"/>
        <v>1</v>
      </c>
      <c r="R255" s="470">
        <f t="shared" si="44"/>
        <v>0</v>
      </c>
      <c r="S255" s="779">
        <f t="shared" si="35"/>
        <v>0</v>
      </c>
    </row>
    <row r="256" spans="1:19">
      <c r="A256" s="944"/>
      <c r="B256" s="131"/>
      <c r="C256" s="52">
        <f t="shared" si="36"/>
        <v>1</v>
      </c>
      <c r="D256" s="942"/>
      <c r="E256" s="52">
        <f t="shared" si="37"/>
        <v>0</v>
      </c>
      <c r="F256" s="942"/>
      <c r="G256" s="52">
        <f t="shared" si="38"/>
        <v>0</v>
      </c>
      <c r="H256" s="942"/>
      <c r="I256" s="52">
        <f t="shared" si="39"/>
        <v>0</v>
      </c>
      <c r="J256" s="942"/>
      <c r="K256" s="52">
        <f t="shared" si="40"/>
        <v>1</v>
      </c>
      <c r="L256" s="942"/>
      <c r="M256" s="52">
        <f t="shared" si="41"/>
        <v>1</v>
      </c>
      <c r="N256" s="942"/>
      <c r="O256" s="52">
        <f t="shared" si="42"/>
        <v>1</v>
      </c>
      <c r="P256" s="942"/>
      <c r="Q256" s="52">
        <f t="shared" si="43"/>
        <v>1</v>
      </c>
      <c r="R256" s="470">
        <f t="shared" si="44"/>
        <v>0</v>
      </c>
      <c r="S256" s="779">
        <f t="shared" si="35"/>
        <v>0</v>
      </c>
    </row>
    <row r="257" spans="1:19">
      <c r="A257" s="944"/>
      <c r="B257" s="131"/>
      <c r="C257" s="52">
        <f t="shared" si="36"/>
        <v>1</v>
      </c>
      <c r="D257" s="942"/>
      <c r="E257" s="52">
        <f t="shared" si="37"/>
        <v>0</v>
      </c>
      <c r="F257" s="942"/>
      <c r="G257" s="52">
        <f t="shared" si="38"/>
        <v>0</v>
      </c>
      <c r="H257" s="942"/>
      <c r="I257" s="52">
        <f t="shared" si="39"/>
        <v>0</v>
      </c>
      <c r="J257" s="942"/>
      <c r="K257" s="52">
        <f t="shared" si="40"/>
        <v>1</v>
      </c>
      <c r="L257" s="942"/>
      <c r="M257" s="52">
        <f t="shared" si="41"/>
        <v>1</v>
      </c>
      <c r="N257" s="942"/>
      <c r="O257" s="52">
        <f t="shared" si="42"/>
        <v>1</v>
      </c>
      <c r="P257" s="942"/>
      <c r="Q257" s="52">
        <f t="shared" si="43"/>
        <v>1</v>
      </c>
      <c r="R257" s="470">
        <f t="shared" si="44"/>
        <v>0</v>
      </c>
      <c r="S257" s="779">
        <f t="shared" si="35"/>
        <v>0</v>
      </c>
    </row>
    <row r="258" spans="1:19">
      <c r="A258" s="944"/>
      <c r="B258" s="131"/>
      <c r="C258" s="52">
        <f t="shared" si="36"/>
        <v>1</v>
      </c>
      <c r="D258" s="942"/>
      <c r="E258" s="52">
        <f t="shared" si="37"/>
        <v>0</v>
      </c>
      <c r="F258" s="942"/>
      <c r="G258" s="52">
        <f t="shared" si="38"/>
        <v>0</v>
      </c>
      <c r="H258" s="942"/>
      <c r="I258" s="52">
        <f t="shared" si="39"/>
        <v>0</v>
      </c>
      <c r="J258" s="942"/>
      <c r="K258" s="52">
        <f t="shared" si="40"/>
        <v>1</v>
      </c>
      <c r="L258" s="942"/>
      <c r="M258" s="52">
        <f t="shared" si="41"/>
        <v>1</v>
      </c>
      <c r="N258" s="942"/>
      <c r="O258" s="52">
        <f t="shared" si="42"/>
        <v>1</v>
      </c>
      <c r="P258" s="942"/>
      <c r="Q258" s="52">
        <f t="shared" si="43"/>
        <v>1</v>
      </c>
      <c r="R258" s="470">
        <f t="shared" si="44"/>
        <v>0</v>
      </c>
      <c r="S258" s="779">
        <f t="shared" si="35"/>
        <v>0</v>
      </c>
    </row>
    <row r="259" spans="1:19">
      <c r="A259" s="944"/>
      <c r="B259" s="131"/>
      <c r="C259" s="52">
        <f t="shared" si="36"/>
        <v>1</v>
      </c>
      <c r="D259" s="942"/>
      <c r="E259" s="52">
        <f t="shared" si="37"/>
        <v>0</v>
      </c>
      <c r="F259" s="942"/>
      <c r="G259" s="52">
        <f t="shared" si="38"/>
        <v>0</v>
      </c>
      <c r="H259" s="942"/>
      <c r="I259" s="52">
        <f t="shared" si="39"/>
        <v>0</v>
      </c>
      <c r="J259" s="942"/>
      <c r="K259" s="52">
        <f t="shared" si="40"/>
        <v>1</v>
      </c>
      <c r="L259" s="942"/>
      <c r="M259" s="52">
        <f t="shared" si="41"/>
        <v>1</v>
      </c>
      <c r="N259" s="942"/>
      <c r="O259" s="52">
        <f t="shared" si="42"/>
        <v>1</v>
      </c>
      <c r="P259" s="942"/>
      <c r="Q259" s="52">
        <f t="shared" si="43"/>
        <v>1</v>
      </c>
      <c r="R259" s="470">
        <f t="shared" si="44"/>
        <v>0</v>
      </c>
      <c r="S259" s="779">
        <f t="shared" si="35"/>
        <v>0</v>
      </c>
    </row>
    <row r="260" spans="1:19">
      <c r="A260" s="944"/>
      <c r="B260" s="131"/>
      <c r="C260" s="52">
        <f t="shared" si="36"/>
        <v>1</v>
      </c>
      <c r="D260" s="942"/>
      <c r="E260" s="52">
        <f t="shared" si="37"/>
        <v>0</v>
      </c>
      <c r="F260" s="942"/>
      <c r="G260" s="52">
        <f t="shared" si="38"/>
        <v>0</v>
      </c>
      <c r="H260" s="942"/>
      <c r="I260" s="52">
        <f t="shared" si="39"/>
        <v>0</v>
      </c>
      <c r="J260" s="942"/>
      <c r="K260" s="52">
        <f t="shared" si="40"/>
        <v>1</v>
      </c>
      <c r="L260" s="942"/>
      <c r="M260" s="52">
        <f t="shared" si="41"/>
        <v>1</v>
      </c>
      <c r="N260" s="942"/>
      <c r="O260" s="52">
        <f t="shared" si="42"/>
        <v>1</v>
      </c>
      <c r="P260" s="942"/>
      <c r="Q260" s="52">
        <f t="shared" si="43"/>
        <v>1</v>
      </c>
      <c r="R260" s="470">
        <f t="shared" si="44"/>
        <v>0</v>
      </c>
      <c r="S260" s="779">
        <f t="shared" si="35"/>
        <v>0</v>
      </c>
    </row>
    <row r="261" spans="1:19">
      <c r="A261" s="944"/>
      <c r="B261" s="131"/>
      <c r="C261" s="52">
        <f t="shared" si="36"/>
        <v>1</v>
      </c>
      <c r="D261" s="942"/>
      <c r="E261" s="52">
        <f t="shared" si="37"/>
        <v>0</v>
      </c>
      <c r="F261" s="942"/>
      <c r="G261" s="52">
        <f t="shared" si="38"/>
        <v>0</v>
      </c>
      <c r="H261" s="942"/>
      <c r="I261" s="52">
        <f t="shared" si="39"/>
        <v>0</v>
      </c>
      <c r="J261" s="942"/>
      <c r="K261" s="52">
        <f t="shared" si="40"/>
        <v>1</v>
      </c>
      <c r="L261" s="942"/>
      <c r="M261" s="52">
        <f t="shared" si="41"/>
        <v>1</v>
      </c>
      <c r="N261" s="942"/>
      <c r="O261" s="52">
        <f t="shared" si="42"/>
        <v>1</v>
      </c>
      <c r="P261" s="942"/>
      <c r="Q261" s="52">
        <f t="shared" si="43"/>
        <v>1</v>
      </c>
      <c r="R261" s="470">
        <f t="shared" si="44"/>
        <v>0</v>
      </c>
      <c r="S261" s="779">
        <f t="shared" si="35"/>
        <v>0</v>
      </c>
    </row>
    <row r="262" spans="1:19">
      <c r="A262" s="944"/>
      <c r="B262" s="131"/>
      <c r="C262" s="52">
        <f t="shared" si="36"/>
        <v>1</v>
      </c>
      <c r="D262" s="942"/>
      <c r="E262" s="52">
        <f t="shared" si="37"/>
        <v>0</v>
      </c>
      <c r="F262" s="942"/>
      <c r="G262" s="52">
        <f t="shared" si="38"/>
        <v>0</v>
      </c>
      <c r="H262" s="942"/>
      <c r="I262" s="52">
        <f t="shared" si="39"/>
        <v>0</v>
      </c>
      <c r="J262" s="942"/>
      <c r="K262" s="52">
        <f t="shared" si="40"/>
        <v>1</v>
      </c>
      <c r="L262" s="942"/>
      <c r="M262" s="52">
        <f t="shared" si="41"/>
        <v>1</v>
      </c>
      <c r="N262" s="942"/>
      <c r="O262" s="52">
        <f t="shared" si="42"/>
        <v>1</v>
      </c>
      <c r="P262" s="942"/>
      <c r="Q262" s="52">
        <f t="shared" si="43"/>
        <v>1</v>
      </c>
      <c r="R262" s="470">
        <f t="shared" si="44"/>
        <v>0</v>
      </c>
      <c r="S262" s="779">
        <f t="shared" si="35"/>
        <v>0</v>
      </c>
    </row>
    <row r="263" spans="1:19">
      <c r="A263" s="944"/>
      <c r="B263" s="131"/>
      <c r="C263" s="52">
        <f t="shared" si="36"/>
        <v>1</v>
      </c>
      <c r="D263" s="942"/>
      <c r="E263" s="52">
        <f t="shared" si="37"/>
        <v>0</v>
      </c>
      <c r="F263" s="942"/>
      <c r="G263" s="52">
        <f t="shared" si="38"/>
        <v>0</v>
      </c>
      <c r="H263" s="942"/>
      <c r="I263" s="52">
        <f t="shared" si="39"/>
        <v>0</v>
      </c>
      <c r="J263" s="942"/>
      <c r="K263" s="52">
        <f t="shared" si="40"/>
        <v>1</v>
      </c>
      <c r="L263" s="942"/>
      <c r="M263" s="52">
        <f t="shared" si="41"/>
        <v>1</v>
      </c>
      <c r="N263" s="942"/>
      <c r="O263" s="52">
        <f t="shared" si="42"/>
        <v>1</v>
      </c>
      <c r="P263" s="942"/>
      <c r="Q263" s="52">
        <f t="shared" si="43"/>
        <v>1</v>
      </c>
      <c r="R263" s="470">
        <f t="shared" si="44"/>
        <v>0</v>
      </c>
      <c r="S263" s="779">
        <f t="shared" si="35"/>
        <v>0</v>
      </c>
    </row>
    <row r="264" spans="1:19">
      <c r="A264" s="944"/>
      <c r="B264" s="131"/>
      <c r="C264" s="52">
        <f t="shared" si="36"/>
        <v>1</v>
      </c>
      <c r="D264" s="942"/>
      <c r="E264" s="52">
        <f t="shared" si="37"/>
        <v>0</v>
      </c>
      <c r="F264" s="942"/>
      <c r="G264" s="52">
        <f t="shared" si="38"/>
        <v>0</v>
      </c>
      <c r="H264" s="942"/>
      <c r="I264" s="52">
        <f t="shared" si="39"/>
        <v>0</v>
      </c>
      <c r="J264" s="942"/>
      <c r="K264" s="52">
        <f t="shared" si="40"/>
        <v>1</v>
      </c>
      <c r="L264" s="942"/>
      <c r="M264" s="52">
        <f t="shared" si="41"/>
        <v>1</v>
      </c>
      <c r="N264" s="942"/>
      <c r="O264" s="52">
        <f t="shared" si="42"/>
        <v>1</v>
      </c>
      <c r="P264" s="942"/>
      <c r="Q264" s="52">
        <f t="shared" si="43"/>
        <v>1</v>
      </c>
      <c r="R264" s="470">
        <f t="shared" si="44"/>
        <v>0</v>
      </c>
      <c r="S264" s="779">
        <f t="shared" si="35"/>
        <v>0</v>
      </c>
    </row>
    <row r="265" spans="1:19">
      <c r="A265" s="944"/>
      <c r="B265" s="131"/>
      <c r="C265" s="52">
        <f t="shared" si="36"/>
        <v>1</v>
      </c>
      <c r="D265" s="942"/>
      <c r="E265" s="52">
        <f t="shared" si="37"/>
        <v>0</v>
      </c>
      <c r="F265" s="942"/>
      <c r="G265" s="52">
        <f t="shared" si="38"/>
        <v>0</v>
      </c>
      <c r="H265" s="942"/>
      <c r="I265" s="52">
        <f t="shared" si="39"/>
        <v>0</v>
      </c>
      <c r="J265" s="942"/>
      <c r="K265" s="52">
        <f t="shared" si="40"/>
        <v>1</v>
      </c>
      <c r="L265" s="942"/>
      <c r="M265" s="52">
        <f t="shared" si="41"/>
        <v>1</v>
      </c>
      <c r="N265" s="942"/>
      <c r="O265" s="52">
        <f t="shared" si="42"/>
        <v>1</v>
      </c>
      <c r="P265" s="942"/>
      <c r="Q265" s="52">
        <f t="shared" si="43"/>
        <v>1</v>
      </c>
      <c r="R265" s="470">
        <f t="shared" si="44"/>
        <v>0</v>
      </c>
      <c r="S265" s="779">
        <f t="shared" si="35"/>
        <v>0</v>
      </c>
    </row>
    <row r="266" spans="1:19">
      <c r="A266" s="944"/>
      <c r="B266" s="131"/>
      <c r="C266" s="52">
        <f t="shared" si="36"/>
        <v>1</v>
      </c>
      <c r="D266" s="942"/>
      <c r="E266" s="52">
        <f t="shared" si="37"/>
        <v>0</v>
      </c>
      <c r="F266" s="942"/>
      <c r="G266" s="52">
        <f t="shared" si="38"/>
        <v>0</v>
      </c>
      <c r="H266" s="942"/>
      <c r="I266" s="52">
        <f t="shared" si="39"/>
        <v>0</v>
      </c>
      <c r="J266" s="942"/>
      <c r="K266" s="52">
        <f t="shared" si="40"/>
        <v>1</v>
      </c>
      <c r="L266" s="942"/>
      <c r="M266" s="52">
        <f t="shared" si="41"/>
        <v>1</v>
      </c>
      <c r="N266" s="942"/>
      <c r="O266" s="52">
        <f t="shared" si="42"/>
        <v>1</v>
      </c>
      <c r="P266" s="942"/>
      <c r="Q266" s="52">
        <f t="shared" si="43"/>
        <v>1</v>
      </c>
      <c r="R266" s="470">
        <f t="shared" si="44"/>
        <v>0</v>
      </c>
      <c r="S266" s="779">
        <f t="shared" si="35"/>
        <v>0</v>
      </c>
    </row>
    <row r="267" spans="1:19">
      <c r="A267" s="944"/>
      <c r="B267" s="131"/>
      <c r="C267" s="52">
        <f t="shared" si="36"/>
        <v>1</v>
      </c>
      <c r="D267" s="942"/>
      <c r="E267" s="52">
        <f t="shared" si="37"/>
        <v>0</v>
      </c>
      <c r="F267" s="942"/>
      <c r="G267" s="52">
        <f t="shared" si="38"/>
        <v>0</v>
      </c>
      <c r="H267" s="942"/>
      <c r="I267" s="52">
        <f t="shared" si="39"/>
        <v>0</v>
      </c>
      <c r="J267" s="942"/>
      <c r="K267" s="52">
        <f t="shared" si="40"/>
        <v>1</v>
      </c>
      <c r="L267" s="942"/>
      <c r="M267" s="52">
        <f t="shared" si="41"/>
        <v>1</v>
      </c>
      <c r="N267" s="942"/>
      <c r="O267" s="52">
        <f t="shared" si="42"/>
        <v>1</v>
      </c>
      <c r="P267" s="942"/>
      <c r="Q267" s="52">
        <f t="shared" si="43"/>
        <v>1</v>
      </c>
      <c r="R267" s="470">
        <f t="shared" si="44"/>
        <v>0</v>
      </c>
      <c r="S267" s="779">
        <f t="shared" si="35"/>
        <v>0</v>
      </c>
    </row>
    <row r="268" spans="1:19">
      <c r="A268" s="944"/>
      <c r="B268" s="131"/>
      <c r="C268" s="52">
        <f t="shared" si="36"/>
        <v>1</v>
      </c>
      <c r="D268" s="942"/>
      <c r="E268" s="52">
        <f t="shared" si="37"/>
        <v>0</v>
      </c>
      <c r="F268" s="942"/>
      <c r="G268" s="52">
        <f t="shared" si="38"/>
        <v>0</v>
      </c>
      <c r="H268" s="942"/>
      <c r="I268" s="52">
        <f t="shared" si="39"/>
        <v>0</v>
      </c>
      <c r="J268" s="942"/>
      <c r="K268" s="52">
        <f t="shared" si="40"/>
        <v>1</v>
      </c>
      <c r="L268" s="942"/>
      <c r="M268" s="52">
        <f t="shared" si="41"/>
        <v>1</v>
      </c>
      <c r="N268" s="942"/>
      <c r="O268" s="52">
        <f t="shared" si="42"/>
        <v>1</v>
      </c>
      <c r="P268" s="942"/>
      <c r="Q268" s="52">
        <f t="shared" si="43"/>
        <v>1</v>
      </c>
      <c r="R268" s="470">
        <f t="shared" si="44"/>
        <v>0</v>
      </c>
      <c r="S268" s="779">
        <f t="shared" si="35"/>
        <v>0</v>
      </c>
    </row>
    <row r="269" spans="1:19">
      <c r="A269" s="944"/>
      <c r="B269" s="131"/>
      <c r="C269" s="52">
        <f t="shared" si="36"/>
        <v>1</v>
      </c>
      <c r="D269" s="942"/>
      <c r="E269" s="52">
        <f t="shared" si="37"/>
        <v>0</v>
      </c>
      <c r="F269" s="942"/>
      <c r="G269" s="52">
        <f t="shared" si="38"/>
        <v>0</v>
      </c>
      <c r="H269" s="942"/>
      <c r="I269" s="52">
        <f t="shared" si="39"/>
        <v>0</v>
      </c>
      <c r="J269" s="942"/>
      <c r="K269" s="52">
        <f t="shared" si="40"/>
        <v>1</v>
      </c>
      <c r="L269" s="942"/>
      <c r="M269" s="52">
        <f t="shared" si="41"/>
        <v>1</v>
      </c>
      <c r="N269" s="942"/>
      <c r="O269" s="52">
        <f t="shared" si="42"/>
        <v>1</v>
      </c>
      <c r="P269" s="942"/>
      <c r="Q269" s="52">
        <f t="shared" si="43"/>
        <v>1</v>
      </c>
      <c r="R269" s="470">
        <f t="shared" si="44"/>
        <v>0</v>
      </c>
      <c r="S269" s="779">
        <f t="shared" si="35"/>
        <v>0</v>
      </c>
    </row>
    <row r="270" spans="1:19">
      <c r="A270" s="944"/>
      <c r="B270" s="131"/>
      <c r="C270" s="52">
        <f t="shared" si="36"/>
        <v>1</v>
      </c>
      <c r="D270" s="942"/>
      <c r="E270" s="52">
        <f t="shared" si="37"/>
        <v>0</v>
      </c>
      <c r="F270" s="942"/>
      <c r="G270" s="52">
        <f t="shared" si="38"/>
        <v>0</v>
      </c>
      <c r="H270" s="942"/>
      <c r="I270" s="52">
        <f t="shared" si="39"/>
        <v>0</v>
      </c>
      <c r="J270" s="942"/>
      <c r="K270" s="52">
        <f t="shared" si="40"/>
        <v>1</v>
      </c>
      <c r="L270" s="942"/>
      <c r="M270" s="52">
        <f t="shared" si="41"/>
        <v>1</v>
      </c>
      <c r="N270" s="942"/>
      <c r="O270" s="52">
        <f t="shared" si="42"/>
        <v>1</v>
      </c>
      <c r="P270" s="942"/>
      <c r="Q270" s="52">
        <f t="shared" si="43"/>
        <v>1</v>
      </c>
      <c r="R270" s="470">
        <f t="shared" si="44"/>
        <v>0</v>
      </c>
      <c r="S270" s="779">
        <f t="shared" si="35"/>
        <v>0</v>
      </c>
    </row>
    <row r="271" spans="1:19">
      <c r="A271" s="944"/>
      <c r="B271" s="131"/>
      <c r="C271" s="52">
        <f t="shared" si="36"/>
        <v>1</v>
      </c>
      <c r="D271" s="942"/>
      <c r="E271" s="52">
        <f t="shared" si="37"/>
        <v>0</v>
      </c>
      <c r="F271" s="942"/>
      <c r="G271" s="52">
        <f t="shared" si="38"/>
        <v>0</v>
      </c>
      <c r="H271" s="942"/>
      <c r="I271" s="52">
        <f t="shared" si="39"/>
        <v>0</v>
      </c>
      <c r="J271" s="942"/>
      <c r="K271" s="52">
        <f t="shared" si="40"/>
        <v>1</v>
      </c>
      <c r="L271" s="942"/>
      <c r="M271" s="52">
        <f t="shared" si="41"/>
        <v>1</v>
      </c>
      <c r="N271" s="942"/>
      <c r="O271" s="52">
        <f t="shared" si="42"/>
        <v>1</v>
      </c>
      <c r="P271" s="942"/>
      <c r="Q271" s="52">
        <f t="shared" si="43"/>
        <v>1</v>
      </c>
      <c r="R271" s="470">
        <f t="shared" si="44"/>
        <v>0</v>
      </c>
      <c r="S271" s="779">
        <f t="shared" si="35"/>
        <v>0</v>
      </c>
    </row>
    <row r="272" spans="1:19">
      <c r="A272" s="944"/>
      <c r="B272" s="131"/>
      <c r="C272" s="52">
        <f t="shared" si="36"/>
        <v>1</v>
      </c>
      <c r="D272" s="942"/>
      <c r="E272" s="52">
        <f t="shared" si="37"/>
        <v>0</v>
      </c>
      <c r="F272" s="942"/>
      <c r="G272" s="52">
        <f t="shared" si="38"/>
        <v>0</v>
      </c>
      <c r="H272" s="942"/>
      <c r="I272" s="52">
        <f t="shared" si="39"/>
        <v>0</v>
      </c>
      <c r="J272" s="942"/>
      <c r="K272" s="52">
        <f t="shared" si="40"/>
        <v>1</v>
      </c>
      <c r="L272" s="942"/>
      <c r="M272" s="52">
        <f t="shared" si="41"/>
        <v>1</v>
      </c>
      <c r="N272" s="942"/>
      <c r="O272" s="52">
        <f t="shared" si="42"/>
        <v>1</v>
      </c>
      <c r="P272" s="942"/>
      <c r="Q272" s="52">
        <f t="shared" si="43"/>
        <v>1</v>
      </c>
      <c r="R272" s="470">
        <f t="shared" si="44"/>
        <v>0</v>
      </c>
      <c r="S272" s="779">
        <f t="shared" si="35"/>
        <v>0</v>
      </c>
    </row>
    <row r="273" spans="1:19">
      <c r="A273" s="944"/>
      <c r="B273" s="131"/>
      <c r="C273" s="52">
        <f t="shared" si="36"/>
        <v>1</v>
      </c>
      <c r="D273" s="942"/>
      <c r="E273" s="52">
        <f t="shared" si="37"/>
        <v>0</v>
      </c>
      <c r="F273" s="942"/>
      <c r="G273" s="52">
        <f t="shared" si="38"/>
        <v>0</v>
      </c>
      <c r="H273" s="942"/>
      <c r="I273" s="52">
        <f t="shared" si="39"/>
        <v>0</v>
      </c>
      <c r="J273" s="942"/>
      <c r="K273" s="52">
        <f t="shared" si="40"/>
        <v>1</v>
      </c>
      <c r="L273" s="942"/>
      <c r="M273" s="52">
        <f t="shared" si="41"/>
        <v>1</v>
      </c>
      <c r="N273" s="942"/>
      <c r="O273" s="52">
        <f t="shared" si="42"/>
        <v>1</v>
      </c>
      <c r="P273" s="942"/>
      <c r="Q273" s="52">
        <f t="shared" si="43"/>
        <v>1</v>
      </c>
      <c r="R273" s="470">
        <f t="shared" si="44"/>
        <v>0</v>
      </c>
      <c r="S273" s="779">
        <f t="shared" si="35"/>
        <v>0</v>
      </c>
    </row>
    <row r="274" spans="1:19">
      <c r="A274" s="944"/>
      <c r="B274" s="131"/>
      <c r="C274" s="52">
        <f t="shared" si="36"/>
        <v>1</v>
      </c>
      <c r="D274" s="942"/>
      <c r="E274" s="52">
        <f t="shared" si="37"/>
        <v>0</v>
      </c>
      <c r="F274" s="942"/>
      <c r="G274" s="52">
        <f t="shared" si="38"/>
        <v>0</v>
      </c>
      <c r="H274" s="942"/>
      <c r="I274" s="52">
        <f t="shared" si="39"/>
        <v>0</v>
      </c>
      <c r="J274" s="942"/>
      <c r="K274" s="52">
        <f t="shared" si="40"/>
        <v>1</v>
      </c>
      <c r="L274" s="942"/>
      <c r="M274" s="52">
        <f t="shared" si="41"/>
        <v>1</v>
      </c>
      <c r="N274" s="942"/>
      <c r="O274" s="52">
        <f t="shared" si="42"/>
        <v>1</v>
      </c>
      <c r="P274" s="942"/>
      <c r="Q274" s="52">
        <f t="shared" si="43"/>
        <v>1</v>
      </c>
      <c r="R274" s="470">
        <f t="shared" si="44"/>
        <v>0</v>
      </c>
      <c r="S274" s="779">
        <f t="shared" si="35"/>
        <v>0</v>
      </c>
    </row>
    <row r="275" spans="1:19">
      <c r="A275" s="944"/>
      <c r="B275" s="131"/>
      <c r="C275" s="52">
        <f t="shared" si="36"/>
        <v>1</v>
      </c>
      <c r="D275" s="942"/>
      <c r="E275" s="52">
        <f t="shared" si="37"/>
        <v>0</v>
      </c>
      <c r="F275" s="942"/>
      <c r="G275" s="52">
        <f t="shared" si="38"/>
        <v>0</v>
      </c>
      <c r="H275" s="942"/>
      <c r="I275" s="52">
        <f t="shared" si="39"/>
        <v>0</v>
      </c>
      <c r="J275" s="942"/>
      <c r="K275" s="52">
        <f t="shared" si="40"/>
        <v>1</v>
      </c>
      <c r="L275" s="942"/>
      <c r="M275" s="52">
        <f t="shared" si="41"/>
        <v>1</v>
      </c>
      <c r="N275" s="942"/>
      <c r="O275" s="52">
        <f t="shared" si="42"/>
        <v>1</v>
      </c>
      <c r="P275" s="942"/>
      <c r="Q275" s="52">
        <f t="shared" si="43"/>
        <v>1</v>
      </c>
      <c r="R275" s="470">
        <f t="shared" si="44"/>
        <v>0</v>
      </c>
      <c r="S275" s="779">
        <f t="shared" si="35"/>
        <v>0</v>
      </c>
    </row>
    <row r="276" spans="1:19">
      <c r="A276" s="944"/>
      <c r="B276" s="131"/>
      <c r="C276" s="52">
        <f t="shared" si="36"/>
        <v>1</v>
      </c>
      <c r="D276" s="942"/>
      <c r="E276" s="52">
        <f t="shared" si="37"/>
        <v>0</v>
      </c>
      <c r="F276" s="942"/>
      <c r="G276" s="52">
        <f t="shared" si="38"/>
        <v>0</v>
      </c>
      <c r="H276" s="942"/>
      <c r="I276" s="52">
        <f t="shared" si="39"/>
        <v>0</v>
      </c>
      <c r="J276" s="942"/>
      <c r="K276" s="52">
        <f t="shared" si="40"/>
        <v>1</v>
      </c>
      <c r="L276" s="942"/>
      <c r="M276" s="52">
        <f t="shared" si="41"/>
        <v>1</v>
      </c>
      <c r="N276" s="942"/>
      <c r="O276" s="52">
        <f t="shared" si="42"/>
        <v>1</v>
      </c>
      <c r="P276" s="942"/>
      <c r="Q276" s="52">
        <f t="shared" si="43"/>
        <v>1</v>
      </c>
      <c r="R276" s="470">
        <f t="shared" si="44"/>
        <v>0</v>
      </c>
      <c r="S276" s="779">
        <f t="shared" si="35"/>
        <v>0</v>
      </c>
    </row>
    <row r="277" spans="1:19">
      <c r="A277" s="944"/>
      <c r="B277" s="131"/>
      <c r="C277" s="52">
        <f t="shared" si="36"/>
        <v>1</v>
      </c>
      <c r="D277" s="942"/>
      <c r="E277" s="52">
        <f t="shared" si="37"/>
        <v>0</v>
      </c>
      <c r="F277" s="942"/>
      <c r="G277" s="52">
        <f t="shared" si="38"/>
        <v>0</v>
      </c>
      <c r="H277" s="942"/>
      <c r="I277" s="52">
        <f t="shared" si="39"/>
        <v>0</v>
      </c>
      <c r="J277" s="942"/>
      <c r="K277" s="52">
        <f t="shared" si="40"/>
        <v>1</v>
      </c>
      <c r="L277" s="942"/>
      <c r="M277" s="52">
        <f t="shared" si="41"/>
        <v>1</v>
      </c>
      <c r="N277" s="942"/>
      <c r="O277" s="52">
        <f t="shared" si="42"/>
        <v>1</v>
      </c>
      <c r="P277" s="942"/>
      <c r="Q277" s="52">
        <f t="shared" si="43"/>
        <v>1</v>
      </c>
      <c r="R277" s="470">
        <f t="shared" si="44"/>
        <v>0</v>
      </c>
      <c r="S277" s="779">
        <f t="shared" si="35"/>
        <v>0</v>
      </c>
    </row>
    <row r="278" spans="1:19">
      <c r="A278" s="944"/>
      <c r="B278" s="131"/>
      <c r="C278" s="52">
        <f t="shared" si="36"/>
        <v>1</v>
      </c>
      <c r="D278" s="942"/>
      <c r="E278" s="52">
        <f t="shared" si="37"/>
        <v>0</v>
      </c>
      <c r="F278" s="942"/>
      <c r="G278" s="52">
        <f t="shared" si="38"/>
        <v>0</v>
      </c>
      <c r="H278" s="942"/>
      <c r="I278" s="52">
        <f t="shared" si="39"/>
        <v>0</v>
      </c>
      <c r="J278" s="942"/>
      <c r="K278" s="52">
        <f t="shared" si="40"/>
        <v>1</v>
      </c>
      <c r="L278" s="942"/>
      <c r="M278" s="52">
        <f t="shared" si="41"/>
        <v>1</v>
      </c>
      <c r="N278" s="942"/>
      <c r="O278" s="52">
        <f t="shared" si="42"/>
        <v>1</v>
      </c>
      <c r="P278" s="942"/>
      <c r="Q278" s="52">
        <f t="shared" si="43"/>
        <v>1</v>
      </c>
      <c r="R278" s="470">
        <f t="shared" si="44"/>
        <v>0</v>
      </c>
      <c r="S278" s="779">
        <f t="shared" si="35"/>
        <v>0</v>
      </c>
    </row>
    <row r="279" spans="1:19">
      <c r="A279" s="944"/>
      <c r="B279" s="131"/>
      <c r="C279" s="52">
        <f t="shared" si="36"/>
        <v>1</v>
      </c>
      <c r="D279" s="942"/>
      <c r="E279" s="52">
        <f t="shared" si="37"/>
        <v>0</v>
      </c>
      <c r="F279" s="942"/>
      <c r="G279" s="52">
        <f t="shared" si="38"/>
        <v>0</v>
      </c>
      <c r="H279" s="942"/>
      <c r="I279" s="52">
        <f t="shared" si="39"/>
        <v>0</v>
      </c>
      <c r="J279" s="942"/>
      <c r="K279" s="52">
        <f t="shared" si="40"/>
        <v>1</v>
      </c>
      <c r="L279" s="942"/>
      <c r="M279" s="52">
        <f t="shared" si="41"/>
        <v>1</v>
      </c>
      <c r="N279" s="942"/>
      <c r="O279" s="52">
        <f t="shared" si="42"/>
        <v>1</v>
      </c>
      <c r="P279" s="942"/>
      <c r="Q279" s="52">
        <f t="shared" si="43"/>
        <v>1</v>
      </c>
      <c r="R279" s="470">
        <f t="shared" si="44"/>
        <v>0</v>
      </c>
      <c r="S279" s="779">
        <f t="shared" si="35"/>
        <v>0</v>
      </c>
    </row>
    <row r="280" spans="1:19">
      <c r="A280" s="944"/>
      <c r="B280" s="131"/>
      <c r="C280" s="52">
        <f t="shared" si="36"/>
        <v>1</v>
      </c>
      <c r="D280" s="942"/>
      <c r="E280" s="52">
        <f t="shared" si="37"/>
        <v>0</v>
      </c>
      <c r="F280" s="942"/>
      <c r="G280" s="52">
        <f t="shared" si="38"/>
        <v>0</v>
      </c>
      <c r="H280" s="942"/>
      <c r="I280" s="52">
        <f t="shared" si="39"/>
        <v>0</v>
      </c>
      <c r="J280" s="942"/>
      <c r="K280" s="52">
        <f t="shared" si="40"/>
        <v>1</v>
      </c>
      <c r="L280" s="942"/>
      <c r="M280" s="52">
        <f t="shared" si="41"/>
        <v>1</v>
      </c>
      <c r="N280" s="942"/>
      <c r="O280" s="52">
        <f t="shared" si="42"/>
        <v>1</v>
      </c>
      <c r="P280" s="942"/>
      <c r="Q280" s="52">
        <f t="shared" si="43"/>
        <v>1</v>
      </c>
      <c r="R280" s="470">
        <f t="shared" si="44"/>
        <v>0</v>
      </c>
      <c r="S280" s="779">
        <f t="shared" ref="S280:S343" si="45">ROUND(R280*B280/10000,0)</f>
        <v>0</v>
      </c>
    </row>
    <row r="281" spans="1:19">
      <c r="A281" s="944"/>
      <c r="B281" s="131"/>
      <c r="C281" s="52">
        <f t="shared" si="36"/>
        <v>1</v>
      </c>
      <c r="D281" s="942"/>
      <c r="E281" s="52">
        <f t="shared" si="37"/>
        <v>0</v>
      </c>
      <c r="F281" s="942"/>
      <c r="G281" s="52">
        <f t="shared" si="38"/>
        <v>0</v>
      </c>
      <c r="H281" s="942"/>
      <c r="I281" s="52">
        <f t="shared" si="39"/>
        <v>0</v>
      </c>
      <c r="J281" s="942"/>
      <c r="K281" s="52">
        <f t="shared" si="40"/>
        <v>1</v>
      </c>
      <c r="L281" s="942"/>
      <c r="M281" s="52">
        <f t="shared" si="41"/>
        <v>1</v>
      </c>
      <c r="N281" s="942"/>
      <c r="O281" s="52">
        <f t="shared" si="42"/>
        <v>1</v>
      </c>
      <c r="P281" s="942"/>
      <c r="Q281" s="52">
        <f t="shared" si="43"/>
        <v>1</v>
      </c>
      <c r="R281" s="470">
        <f t="shared" si="44"/>
        <v>0</v>
      </c>
      <c r="S281" s="779">
        <f t="shared" si="45"/>
        <v>0</v>
      </c>
    </row>
    <row r="282" spans="1:19">
      <c r="A282" s="944"/>
      <c r="B282" s="131"/>
      <c r="C282" s="52">
        <f t="shared" ref="C282:C345" si="46">IF(B282="",1,(LOOKUP(B282,$3:$3,$4:$4)-LOOKUP($B$24,$3:$3,$4:$4)+100)/100)</f>
        <v>1</v>
      </c>
      <c r="D282" s="942"/>
      <c r="E282" s="52">
        <f t="shared" ref="E282:E345" si="47">(SUMIF($5:$5,D282,$6:$6)-SUMIF($5:$5,$D$24,$6:$6)+100)/100</f>
        <v>0</v>
      </c>
      <c r="F282" s="942"/>
      <c r="G282" s="52">
        <f t="shared" ref="G282:G345" si="48">(SUMIF($7:$7,F282,$8:$8)-SUMIF($7:$7,$F$24,$8:$8)+100)/100</f>
        <v>0</v>
      </c>
      <c r="H282" s="942"/>
      <c r="I282" s="52">
        <f t="shared" ref="I282:I345" si="49">(SUMIF($9:$9,H282,$10:$10)-SUMIF($9:$9,$H$24,$10:$10)+100)/100</f>
        <v>0</v>
      </c>
      <c r="J282" s="942"/>
      <c r="K282" s="52">
        <f t="shared" ref="K282:K345" si="50">(SUMIF($11:$11,J282,$12:$12)-SUMIF($11:$11,$J$24,$12:$12)+100)/100</f>
        <v>1</v>
      </c>
      <c r="L282" s="942"/>
      <c r="M282" s="52">
        <f t="shared" ref="M282:M345" si="51">(SUMIF($13:$13,L282,$14:$14)-SUMIF($13:$13,$L$24,$14:$14)+100)/100</f>
        <v>1</v>
      </c>
      <c r="N282" s="942"/>
      <c r="O282" s="52">
        <f t="shared" ref="O282:O345" si="52">(SUMIF($15:$15,N282,$16:$16)-SUMIF($15:$15,$N$24,$16:$16)+100)/100</f>
        <v>1</v>
      </c>
      <c r="P282" s="942"/>
      <c r="Q282" s="52">
        <f t="shared" ref="Q282:Q345" si="53">(SUMIF($17:$17,P282,$18:$18)-SUMIF($17:$17,$P$24,$18:$18)+100)/100</f>
        <v>1</v>
      </c>
      <c r="R282" s="470">
        <f t="shared" ref="R282:R345" si="54">IF(B282="",0,ROUND($R$24*C282*E282*G282*I282*K282*M282*O282*Q282,0))</f>
        <v>0</v>
      </c>
      <c r="S282" s="779">
        <f t="shared" si="45"/>
        <v>0</v>
      </c>
    </row>
    <row r="283" spans="1:19">
      <c r="A283" s="944"/>
      <c r="B283" s="131"/>
      <c r="C283" s="52">
        <f t="shared" si="46"/>
        <v>1</v>
      </c>
      <c r="D283" s="942"/>
      <c r="E283" s="52">
        <f t="shared" si="47"/>
        <v>0</v>
      </c>
      <c r="F283" s="942"/>
      <c r="G283" s="52">
        <f t="shared" si="48"/>
        <v>0</v>
      </c>
      <c r="H283" s="942"/>
      <c r="I283" s="52">
        <f t="shared" si="49"/>
        <v>0</v>
      </c>
      <c r="J283" s="942"/>
      <c r="K283" s="52">
        <f t="shared" si="50"/>
        <v>1</v>
      </c>
      <c r="L283" s="942"/>
      <c r="M283" s="52">
        <f t="shared" si="51"/>
        <v>1</v>
      </c>
      <c r="N283" s="942"/>
      <c r="O283" s="52">
        <f t="shared" si="52"/>
        <v>1</v>
      </c>
      <c r="P283" s="942"/>
      <c r="Q283" s="52">
        <f t="shared" si="53"/>
        <v>1</v>
      </c>
      <c r="R283" s="470">
        <f t="shared" si="54"/>
        <v>0</v>
      </c>
      <c r="S283" s="779">
        <f t="shared" si="45"/>
        <v>0</v>
      </c>
    </row>
    <row r="284" spans="1:19">
      <c r="A284" s="944"/>
      <c r="B284" s="131"/>
      <c r="C284" s="52">
        <f t="shared" si="46"/>
        <v>1</v>
      </c>
      <c r="D284" s="942"/>
      <c r="E284" s="52">
        <f t="shared" si="47"/>
        <v>0</v>
      </c>
      <c r="F284" s="942"/>
      <c r="G284" s="52">
        <f t="shared" si="48"/>
        <v>0</v>
      </c>
      <c r="H284" s="942"/>
      <c r="I284" s="52">
        <f t="shared" si="49"/>
        <v>0</v>
      </c>
      <c r="J284" s="942"/>
      <c r="K284" s="52">
        <f t="shared" si="50"/>
        <v>1</v>
      </c>
      <c r="L284" s="942"/>
      <c r="M284" s="52">
        <f t="shared" si="51"/>
        <v>1</v>
      </c>
      <c r="N284" s="942"/>
      <c r="O284" s="52">
        <f t="shared" si="52"/>
        <v>1</v>
      </c>
      <c r="P284" s="942"/>
      <c r="Q284" s="52">
        <f t="shared" si="53"/>
        <v>1</v>
      </c>
      <c r="R284" s="470">
        <f t="shared" si="54"/>
        <v>0</v>
      </c>
      <c r="S284" s="779">
        <f t="shared" si="45"/>
        <v>0</v>
      </c>
    </row>
    <row r="285" spans="1:19">
      <c r="A285" s="944"/>
      <c r="B285" s="131"/>
      <c r="C285" s="52">
        <f t="shared" si="46"/>
        <v>1</v>
      </c>
      <c r="D285" s="942"/>
      <c r="E285" s="52">
        <f t="shared" si="47"/>
        <v>0</v>
      </c>
      <c r="F285" s="942"/>
      <c r="G285" s="52">
        <f t="shared" si="48"/>
        <v>0</v>
      </c>
      <c r="H285" s="942"/>
      <c r="I285" s="52">
        <f t="shared" si="49"/>
        <v>0</v>
      </c>
      <c r="J285" s="942"/>
      <c r="K285" s="52">
        <f t="shared" si="50"/>
        <v>1</v>
      </c>
      <c r="L285" s="942"/>
      <c r="M285" s="52">
        <f t="shared" si="51"/>
        <v>1</v>
      </c>
      <c r="N285" s="942"/>
      <c r="O285" s="52">
        <f t="shared" si="52"/>
        <v>1</v>
      </c>
      <c r="P285" s="942"/>
      <c r="Q285" s="52">
        <f t="shared" si="53"/>
        <v>1</v>
      </c>
      <c r="R285" s="470">
        <f t="shared" si="54"/>
        <v>0</v>
      </c>
      <c r="S285" s="779">
        <f t="shared" si="45"/>
        <v>0</v>
      </c>
    </row>
    <row r="286" spans="1:19">
      <c r="A286" s="944"/>
      <c r="B286" s="131"/>
      <c r="C286" s="52">
        <f t="shared" si="46"/>
        <v>1</v>
      </c>
      <c r="D286" s="942"/>
      <c r="E286" s="52">
        <f t="shared" si="47"/>
        <v>0</v>
      </c>
      <c r="F286" s="942"/>
      <c r="G286" s="52">
        <f t="shared" si="48"/>
        <v>0</v>
      </c>
      <c r="H286" s="942"/>
      <c r="I286" s="52">
        <f t="shared" si="49"/>
        <v>0</v>
      </c>
      <c r="J286" s="942"/>
      <c r="K286" s="52">
        <f t="shared" si="50"/>
        <v>1</v>
      </c>
      <c r="L286" s="942"/>
      <c r="M286" s="52">
        <f t="shared" si="51"/>
        <v>1</v>
      </c>
      <c r="N286" s="942"/>
      <c r="O286" s="52">
        <f t="shared" si="52"/>
        <v>1</v>
      </c>
      <c r="P286" s="942"/>
      <c r="Q286" s="52">
        <f t="shared" si="53"/>
        <v>1</v>
      </c>
      <c r="R286" s="470">
        <f t="shared" si="54"/>
        <v>0</v>
      </c>
      <c r="S286" s="779">
        <f t="shared" si="45"/>
        <v>0</v>
      </c>
    </row>
    <row r="287" spans="1:19">
      <c r="A287" s="944"/>
      <c r="B287" s="131"/>
      <c r="C287" s="52">
        <f t="shared" si="46"/>
        <v>1</v>
      </c>
      <c r="D287" s="942"/>
      <c r="E287" s="52">
        <f t="shared" si="47"/>
        <v>0</v>
      </c>
      <c r="F287" s="942"/>
      <c r="G287" s="52">
        <f t="shared" si="48"/>
        <v>0</v>
      </c>
      <c r="H287" s="942"/>
      <c r="I287" s="52">
        <f t="shared" si="49"/>
        <v>0</v>
      </c>
      <c r="J287" s="942"/>
      <c r="K287" s="52">
        <f t="shared" si="50"/>
        <v>1</v>
      </c>
      <c r="L287" s="942"/>
      <c r="M287" s="52">
        <f t="shared" si="51"/>
        <v>1</v>
      </c>
      <c r="N287" s="942"/>
      <c r="O287" s="52">
        <f t="shared" si="52"/>
        <v>1</v>
      </c>
      <c r="P287" s="942"/>
      <c r="Q287" s="52">
        <f t="shared" si="53"/>
        <v>1</v>
      </c>
      <c r="R287" s="470">
        <f t="shared" si="54"/>
        <v>0</v>
      </c>
      <c r="S287" s="779">
        <f t="shared" si="45"/>
        <v>0</v>
      </c>
    </row>
    <row r="288" spans="1:19">
      <c r="A288" s="944"/>
      <c r="B288" s="131"/>
      <c r="C288" s="52">
        <f t="shared" si="46"/>
        <v>1</v>
      </c>
      <c r="D288" s="942"/>
      <c r="E288" s="52">
        <f t="shared" si="47"/>
        <v>0</v>
      </c>
      <c r="F288" s="942"/>
      <c r="G288" s="52">
        <f t="shared" si="48"/>
        <v>0</v>
      </c>
      <c r="H288" s="942"/>
      <c r="I288" s="52">
        <f t="shared" si="49"/>
        <v>0</v>
      </c>
      <c r="J288" s="942"/>
      <c r="K288" s="52">
        <f t="shared" si="50"/>
        <v>1</v>
      </c>
      <c r="L288" s="942"/>
      <c r="M288" s="52">
        <f t="shared" si="51"/>
        <v>1</v>
      </c>
      <c r="N288" s="942"/>
      <c r="O288" s="52">
        <f t="shared" si="52"/>
        <v>1</v>
      </c>
      <c r="P288" s="942"/>
      <c r="Q288" s="52">
        <f t="shared" si="53"/>
        <v>1</v>
      </c>
      <c r="R288" s="470">
        <f t="shared" si="54"/>
        <v>0</v>
      </c>
      <c r="S288" s="779">
        <f t="shared" si="45"/>
        <v>0</v>
      </c>
    </row>
    <row r="289" spans="1:19">
      <c r="A289" s="944"/>
      <c r="B289" s="131"/>
      <c r="C289" s="52">
        <f t="shared" si="46"/>
        <v>1</v>
      </c>
      <c r="D289" s="942"/>
      <c r="E289" s="52">
        <f t="shared" si="47"/>
        <v>0</v>
      </c>
      <c r="F289" s="942"/>
      <c r="G289" s="52">
        <f t="shared" si="48"/>
        <v>0</v>
      </c>
      <c r="H289" s="942"/>
      <c r="I289" s="52">
        <f t="shared" si="49"/>
        <v>0</v>
      </c>
      <c r="J289" s="942"/>
      <c r="K289" s="52">
        <f t="shared" si="50"/>
        <v>1</v>
      </c>
      <c r="L289" s="942"/>
      <c r="M289" s="52">
        <f t="shared" si="51"/>
        <v>1</v>
      </c>
      <c r="N289" s="942"/>
      <c r="O289" s="52">
        <f t="shared" si="52"/>
        <v>1</v>
      </c>
      <c r="P289" s="942"/>
      <c r="Q289" s="52">
        <f t="shared" si="53"/>
        <v>1</v>
      </c>
      <c r="R289" s="470">
        <f t="shared" si="54"/>
        <v>0</v>
      </c>
      <c r="S289" s="779">
        <f t="shared" si="45"/>
        <v>0</v>
      </c>
    </row>
    <row r="290" spans="1:19">
      <c r="A290" s="944"/>
      <c r="B290" s="131"/>
      <c r="C290" s="52">
        <f t="shared" si="46"/>
        <v>1</v>
      </c>
      <c r="D290" s="942"/>
      <c r="E290" s="52">
        <f t="shared" si="47"/>
        <v>0</v>
      </c>
      <c r="F290" s="942"/>
      <c r="G290" s="52">
        <f t="shared" si="48"/>
        <v>0</v>
      </c>
      <c r="H290" s="942"/>
      <c r="I290" s="52">
        <f t="shared" si="49"/>
        <v>0</v>
      </c>
      <c r="J290" s="942"/>
      <c r="K290" s="52">
        <f t="shared" si="50"/>
        <v>1</v>
      </c>
      <c r="L290" s="942"/>
      <c r="M290" s="52">
        <f t="shared" si="51"/>
        <v>1</v>
      </c>
      <c r="N290" s="942"/>
      <c r="O290" s="52">
        <f t="shared" si="52"/>
        <v>1</v>
      </c>
      <c r="P290" s="942"/>
      <c r="Q290" s="52">
        <f t="shared" si="53"/>
        <v>1</v>
      </c>
      <c r="R290" s="470">
        <f t="shared" si="54"/>
        <v>0</v>
      </c>
      <c r="S290" s="779">
        <f t="shared" si="45"/>
        <v>0</v>
      </c>
    </row>
    <row r="291" spans="1:19">
      <c r="A291" s="944"/>
      <c r="B291" s="131"/>
      <c r="C291" s="52">
        <f t="shared" si="46"/>
        <v>1</v>
      </c>
      <c r="D291" s="942"/>
      <c r="E291" s="52">
        <f t="shared" si="47"/>
        <v>0</v>
      </c>
      <c r="F291" s="942"/>
      <c r="G291" s="52">
        <f t="shared" si="48"/>
        <v>0</v>
      </c>
      <c r="H291" s="942"/>
      <c r="I291" s="52">
        <f t="shared" si="49"/>
        <v>0</v>
      </c>
      <c r="J291" s="942"/>
      <c r="K291" s="52">
        <f t="shared" si="50"/>
        <v>1</v>
      </c>
      <c r="L291" s="942"/>
      <c r="M291" s="52">
        <f t="shared" si="51"/>
        <v>1</v>
      </c>
      <c r="N291" s="942"/>
      <c r="O291" s="52">
        <f t="shared" si="52"/>
        <v>1</v>
      </c>
      <c r="P291" s="942"/>
      <c r="Q291" s="52">
        <f t="shared" si="53"/>
        <v>1</v>
      </c>
      <c r="R291" s="470">
        <f t="shared" si="54"/>
        <v>0</v>
      </c>
      <c r="S291" s="779">
        <f t="shared" si="45"/>
        <v>0</v>
      </c>
    </row>
    <row r="292" spans="1:19">
      <c r="A292" s="944"/>
      <c r="B292" s="131"/>
      <c r="C292" s="52">
        <f t="shared" si="46"/>
        <v>1</v>
      </c>
      <c r="D292" s="942"/>
      <c r="E292" s="52">
        <f t="shared" si="47"/>
        <v>0</v>
      </c>
      <c r="F292" s="942"/>
      <c r="G292" s="52">
        <f t="shared" si="48"/>
        <v>0</v>
      </c>
      <c r="H292" s="942"/>
      <c r="I292" s="52">
        <f t="shared" si="49"/>
        <v>0</v>
      </c>
      <c r="J292" s="942"/>
      <c r="K292" s="52">
        <f t="shared" si="50"/>
        <v>1</v>
      </c>
      <c r="L292" s="942"/>
      <c r="M292" s="52">
        <f t="shared" si="51"/>
        <v>1</v>
      </c>
      <c r="N292" s="942"/>
      <c r="O292" s="52">
        <f t="shared" si="52"/>
        <v>1</v>
      </c>
      <c r="P292" s="942"/>
      <c r="Q292" s="52">
        <f t="shared" si="53"/>
        <v>1</v>
      </c>
      <c r="R292" s="470">
        <f t="shared" si="54"/>
        <v>0</v>
      </c>
      <c r="S292" s="779">
        <f t="shared" si="45"/>
        <v>0</v>
      </c>
    </row>
    <row r="293" spans="1:19">
      <c r="A293" s="944"/>
      <c r="B293" s="131"/>
      <c r="C293" s="52">
        <f t="shared" si="46"/>
        <v>1</v>
      </c>
      <c r="D293" s="942"/>
      <c r="E293" s="52">
        <f t="shared" si="47"/>
        <v>0</v>
      </c>
      <c r="F293" s="942"/>
      <c r="G293" s="52">
        <f t="shared" si="48"/>
        <v>0</v>
      </c>
      <c r="H293" s="942"/>
      <c r="I293" s="52">
        <f t="shared" si="49"/>
        <v>0</v>
      </c>
      <c r="J293" s="942"/>
      <c r="K293" s="52">
        <f t="shared" si="50"/>
        <v>1</v>
      </c>
      <c r="L293" s="942"/>
      <c r="M293" s="52">
        <f t="shared" si="51"/>
        <v>1</v>
      </c>
      <c r="N293" s="942"/>
      <c r="O293" s="52">
        <f t="shared" si="52"/>
        <v>1</v>
      </c>
      <c r="P293" s="942"/>
      <c r="Q293" s="52">
        <f t="shared" si="53"/>
        <v>1</v>
      </c>
      <c r="R293" s="470">
        <f t="shared" si="54"/>
        <v>0</v>
      </c>
      <c r="S293" s="779">
        <f t="shared" si="45"/>
        <v>0</v>
      </c>
    </row>
    <row r="294" spans="1:19">
      <c r="A294" s="944"/>
      <c r="B294" s="131"/>
      <c r="C294" s="52">
        <f t="shared" si="46"/>
        <v>1</v>
      </c>
      <c r="D294" s="942"/>
      <c r="E294" s="52">
        <f t="shared" si="47"/>
        <v>0</v>
      </c>
      <c r="F294" s="942"/>
      <c r="G294" s="52">
        <f t="shared" si="48"/>
        <v>0</v>
      </c>
      <c r="H294" s="942"/>
      <c r="I294" s="52">
        <f t="shared" si="49"/>
        <v>0</v>
      </c>
      <c r="J294" s="942"/>
      <c r="K294" s="52">
        <f t="shared" si="50"/>
        <v>1</v>
      </c>
      <c r="L294" s="942"/>
      <c r="M294" s="52">
        <f t="shared" si="51"/>
        <v>1</v>
      </c>
      <c r="N294" s="942"/>
      <c r="O294" s="52">
        <f t="shared" si="52"/>
        <v>1</v>
      </c>
      <c r="P294" s="942"/>
      <c r="Q294" s="52">
        <f t="shared" si="53"/>
        <v>1</v>
      </c>
      <c r="R294" s="470">
        <f t="shared" si="54"/>
        <v>0</v>
      </c>
      <c r="S294" s="779">
        <f t="shared" si="45"/>
        <v>0</v>
      </c>
    </row>
    <row r="295" spans="1:19">
      <c r="A295" s="944"/>
      <c r="B295" s="131"/>
      <c r="C295" s="52">
        <f t="shared" si="46"/>
        <v>1</v>
      </c>
      <c r="D295" s="942"/>
      <c r="E295" s="52">
        <f t="shared" si="47"/>
        <v>0</v>
      </c>
      <c r="F295" s="942"/>
      <c r="G295" s="52">
        <f t="shared" si="48"/>
        <v>0</v>
      </c>
      <c r="H295" s="942"/>
      <c r="I295" s="52">
        <f t="shared" si="49"/>
        <v>0</v>
      </c>
      <c r="J295" s="942"/>
      <c r="K295" s="52">
        <f t="shared" si="50"/>
        <v>1</v>
      </c>
      <c r="L295" s="942"/>
      <c r="M295" s="52">
        <f t="shared" si="51"/>
        <v>1</v>
      </c>
      <c r="N295" s="942"/>
      <c r="O295" s="52">
        <f t="shared" si="52"/>
        <v>1</v>
      </c>
      <c r="P295" s="942"/>
      <c r="Q295" s="52">
        <f t="shared" si="53"/>
        <v>1</v>
      </c>
      <c r="R295" s="470">
        <f t="shared" si="54"/>
        <v>0</v>
      </c>
      <c r="S295" s="779">
        <f t="shared" si="45"/>
        <v>0</v>
      </c>
    </row>
    <row r="296" spans="1:19">
      <c r="A296" s="944"/>
      <c r="B296" s="131"/>
      <c r="C296" s="52">
        <f t="shared" si="46"/>
        <v>1</v>
      </c>
      <c r="D296" s="942"/>
      <c r="E296" s="52">
        <f t="shared" si="47"/>
        <v>0</v>
      </c>
      <c r="F296" s="942"/>
      <c r="G296" s="52">
        <f t="shared" si="48"/>
        <v>0</v>
      </c>
      <c r="H296" s="942"/>
      <c r="I296" s="52">
        <f t="shared" si="49"/>
        <v>0</v>
      </c>
      <c r="J296" s="942"/>
      <c r="K296" s="52">
        <f t="shared" si="50"/>
        <v>1</v>
      </c>
      <c r="L296" s="942"/>
      <c r="M296" s="52">
        <f t="shared" si="51"/>
        <v>1</v>
      </c>
      <c r="N296" s="942"/>
      <c r="O296" s="52">
        <f t="shared" si="52"/>
        <v>1</v>
      </c>
      <c r="P296" s="942"/>
      <c r="Q296" s="52">
        <f t="shared" si="53"/>
        <v>1</v>
      </c>
      <c r="R296" s="470">
        <f t="shared" si="54"/>
        <v>0</v>
      </c>
      <c r="S296" s="779">
        <f t="shared" si="45"/>
        <v>0</v>
      </c>
    </row>
    <row r="297" spans="1:19">
      <c r="A297" s="944"/>
      <c r="B297" s="131"/>
      <c r="C297" s="52">
        <f t="shared" si="46"/>
        <v>1</v>
      </c>
      <c r="D297" s="942"/>
      <c r="E297" s="52">
        <f t="shared" si="47"/>
        <v>0</v>
      </c>
      <c r="F297" s="942"/>
      <c r="G297" s="52">
        <f t="shared" si="48"/>
        <v>0</v>
      </c>
      <c r="H297" s="942"/>
      <c r="I297" s="52">
        <f t="shared" si="49"/>
        <v>0</v>
      </c>
      <c r="J297" s="942"/>
      <c r="K297" s="52">
        <f t="shared" si="50"/>
        <v>1</v>
      </c>
      <c r="L297" s="942"/>
      <c r="M297" s="52">
        <f t="shared" si="51"/>
        <v>1</v>
      </c>
      <c r="N297" s="942"/>
      <c r="O297" s="52">
        <f t="shared" si="52"/>
        <v>1</v>
      </c>
      <c r="P297" s="942"/>
      <c r="Q297" s="52">
        <f t="shared" si="53"/>
        <v>1</v>
      </c>
      <c r="R297" s="470">
        <f t="shared" si="54"/>
        <v>0</v>
      </c>
      <c r="S297" s="779">
        <f t="shared" si="45"/>
        <v>0</v>
      </c>
    </row>
    <row r="298" spans="1:19">
      <c r="A298" s="944"/>
      <c r="B298" s="131"/>
      <c r="C298" s="52">
        <f t="shared" si="46"/>
        <v>1</v>
      </c>
      <c r="D298" s="942"/>
      <c r="E298" s="52">
        <f t="shared" si="47"/>
        <v>0</v>
      </c>
      <c r="F298" s="942"/>
      <c r="G298" s="52">
        <f t="shared" si="48"/>
        <v>0</v>
      </c>
      <c r="H298" s="942"/>
      <c r="I298" s="52">
        <f t="shared" si="49"/>
        <v>0</v>
      </c>
      <c r="J298" s="942"/>
      <c r="K298" s="52">
        <f t="shared" si="50"/>
        <v>1</v>
      </c>
      <c r="L298" s="942"/>
      <c r="M298" s="52">
        <f t="shared" si="51"/>
        <v>1</v>
      </c>
      <c r="N298" s="942"/>
      <c r="O298" s="52">
        <f t="shared" si="52"/>
        <v>1</v>
      </c>
      <c r="P298" s="942"/>
      <c r="Q298" s="52">
        <f t="shared" si="53"/>
        <v>1</v>
      </c>
      <c r="R298" s="470">
        <f t="shared" si="54"/>
        <v>0</v>
      </c>
      <c r="S298" s="779">
        <f t="shared" si="45"/>
        <v>0</v>
      </c>
    </row>
    <row r="299" spans="1:19">
      <c r="A299" s="944"/>
      <c r="B299" s="131"/>
      <c r="C299" s="52">
        <f t="shared" si="46"/>
        <v>1</v>
      </c>
      <c r="D299" s="942"/>
      <c r="E299" s="52">
        <f t="shared" si="47"/>
        <v>0</v>
      </c>
      <c r="F299" s="942"/>
      <c r="G299" s="52">
        <f t="shared" si="48"/>
        <v>0</v>
      </c>
      <c r="H299" s="942"/>
      <c r="I299" s="52">
        <f t="shared" si="49"/>
        <v>0</v>
      </c>
      <c r="J299" s="942"/>
      <c r="K299" s="52">
        <f t="shared" si="50"/>
        <v>1</v>
      </c>
      <c r="L299" s="942"/>
      <c r="M299" s="52">
        <f t="shared" si="51"/>
        <v>1</v>
      </c>
      <c r="N299" s="942"/>
      <c r="O299" s="52">
        <f t="shared" si="52"/>
        <v>1</v>
      </c>
      <c r="P299" s="942"/>
      <c r="Q299" s="52">
        <f t="shared" si="53"/>
        <v>1</v>
      </c>
      <c r="R299" s="470">
        <f t="shared" si="54"/>
        <v>0</v>
      </c>
      <c r="S299" s="779">
        <f t="shared" si="45"/>
        <v>0</v>
      </c>
    </row>
    <row r="300" spans="1:19">
      <c r="A300" s="944"/>
      <c r="B300" s="131"/>
      <c r="C300" s="52">
        <f t="shared" si="46"/>
        <v>1</v>
      </c>
      <c r="D300" s="942"/>
      <c r="E300" s="52">
        <f t="shared" si="47"/>
        <v>0</v>
      </c>
      <c r="F300" s="942"/>
      <c r="G300" s="52">
        <f t="shared" si="48"/>
        <v>0</v>
      </c>
      <c r="H300" s="942"/>
      <c r="I300" s="52">
        <f t="shared" si="49"/>
        <v>0</v>
      </c>
      <c r="J300" s="942"/>
      <c r="K300" s="52">
        <f t="shared" si="50"/>
        <v>1</v>
      </c>
      <c r="L300" s="942"/>
      <c r="M300" s="52">
        <f t="shared" si="51"/>
        <v>1</v>
      </c>
      <c r="N300" s="942"/>
      <c r="O300" s="52">
        <f t="shared" si="52"/>
        <v>1</v>
      </c>
      <c r="P300" s="942"/>
      <c r="Q300" s="52">
        <f t="shared" si="53"/>
        <v>1</v>
      </c>
      <c r="R300" s="470">
        <f t="shared" si="54"/>
        <v>0</v>
      </c>
      <c r="S300" s="779">
        <f t="shared" si="45"/>
        <v>0</v>
      </c>
    </row>
    <row r="301" spans="1:19">
      <c r="A301" s="944"/>
      <c r="B301" s="131"/>
      <c r="C301" s="52">
        <f t="shared" si="46"/>
        <v>1</v>
      </c>
      <c r="D301" s="942"/>
      <c r="E301" s="52">
        <f t="shared" si="47"/>
        <v>0</v>
      </c>
      <c r="F301" s="942"/>
      <c r="G301" s="52">
        <f t="shared" si="48"/>
        <v>0</v>
      </c>
      <c r="H301" s="942"/>
      <c r="I301" s="52">
        <f t="shared" si="49"/>
        <v>0</v>
      </c>
      <c r="J301" s="942"/>
      <c r="K301" s="52">
        <f t="shared" si="50"/>
        <v>1</v>
      </c>
      <c r="L301" s="942"/>
      <c r="M301" s="52">
        <f t="shared" si="51"/>
        <v>1</v>
      </c>
      <c r="N301" s="942"/>
      <c r="O301" s="52">
        <f t="shared" si="52"/>
        <v>1</v>
      </c>
      <c r="P301" s="942"/>
      <c r="Q301" s="52">
        <f t="shared" si="53"/>
        <v>1</v>
      </c>
      <c r="R301" s="470">
        <f t="shared" si="54"/>
        <v>0</v>
      </c>
      <c r="S301" s="779">
        <f t="shared" si="45"/>
        <v>0</v>
      </c>
    </row>
    <row r="302" spans="1:19">
      <c r="A302" s="944"/>
      <c r="B302" s="131"/>
      <c r="C302" s="52">
        <f t="shared" si="46"/>
        <v>1</v>
      </c>
      <c r="D302" s="942"/>
      <c r="E302" s="52">
        <f t="shared" si="47"/>
        <v>0</v>
      </c>
      <c r="F302" s="942"/>
      <c r="G302" s="52">
        <f t="shared" si="48"/>
        <v>0</v>
      </c>
      <c r="H302" s="942"/>
      <c r="I302" s="52">
        <f t="shared" si="49"/>
        <v>0</v>
      </c>
      <c r="J302" s="942"/>
      <c r="K302" s="52">
        <f t="shared" si="50"/>
        <v>1</v>
      </c>
      <c r="L302" s="942"/>
      <c r="M302" s="52">
        <f t="shared" si="51"/>
        <v>1</v>
      </c>
      <c r="N302" s="942"/>
      <c r="O302" s="52">
        <f t="shared" si="52"/>
        <v>1</v>
      </c>
      <c r="P302" s="942"/>
      <c r="Q302" s="52">
        <f t="shared" si="53"/>
        <v>1</v>
      </c>
      <c r="R302" s="470">
        <f t="shared" si="54"/>
        <v>0</v>
      </c>
      <c r="S302" s="779">
        <f t="shared" si="45"/>
        <v>0</v>
      </c>
    </row>
    <row r="303" spans="1:19">
      <c r="A303" s="944"/>
      <c r="B303" s="131"/>
      <c r="C303" s="52">
        <f t="shared" si="46"/>
        <v>1</v>
      </c>
      <c r="D303" s="942"/>
      <c r="E303" s="52">
        <f t="shared" si="47"/>
        <v>0</v>
      </c>
      <c r="F303" s="942"/>
      <c r="G303" s="52">
        <f t="shared" si="48"/>
        <v>0</v>
      </c>
      <c r="H303" s="942"/>
      <c r="I303" s="52">
        <f t="shared" si="49"/>
        <v>0</v>
      </c>
      <c r="J303" s="942"/>
      <c r="K303" s="52">
        <f t="shared" si="50"/>
        <v>1</v>
      </c>
      <c r="L303" s="942"/>
      <c r="M303" s="52">
        <f t="shared" si="51"/>
        <v>1</v>
      </c>
      <c r="N303" s="942"/>
      <c r="O303" s="52">
        <f t="shared" si="52"/>
        <v>1</v>
      </c>
      <c r="P303" s="942"/>
      <c r="Q303" s="52">
        <f t="shared" si="53"/>
        <v>1</v>
      </c>
      <c r="R303" s="470">
        <f t="shared" si="54"/>
        <v>0</v>
      </c>
      <c r="S303" s="779">
        <f t="shared" si="45"/>
        <v>0</v>
      </c>
    </row>
    <row r="304" spans="1:19">
      <c r="A304" s="944"/>
      <c r="B304" s="131"/>
      <c r="C304" s="52">
        <f t="shared" si="46"/>
        <v>1</v>
      </c>
      <c r="D304" s="942"/>
      <c r="E304" s="52">
        <f t="shared" si="47"/>
        <v>0</v>
      </c>
      <c r="F304" s="942"/>
      <c r="G304" s="52">
        <f t="shared" si="48"/>
        <v>0</v>
      </c>
      <c r="H304" s="942"/>
      <c r="I304" s="52">
        <f t="shared" si="49"/>
        <v>0</v>
      </c>
      <c r="J304" s="942"/>
      <c r="K304" s="52">
        <f t="shared" si="50"/>
        <v>1</v>
      </c>
      <c r="L304" s="942"/>
      <c r="M304" s="52">
        <f t="shared" si="51"/>
        <v>1</v>
      </c>
      <c r="N304" s="942"/>
      <c r="O304" s="52">
        <f t="shared" si="52"/>
        <v>1</v>
      </c>
      <c r="P304" s="942"/>
      <c r="Q304" s="52">
        <f t="shared" si="53"/>
        <v>1</v>
      </c>
      <c r="R304" s="470">
        <f t="shared" si="54"/>
        <v>0</v>
      </c>
      <c r="S304" s="779">
        <f t="shared" si="45"/>
        <v>0</v>
      </c>
    </row>
    <row r="305" spans="1:19">
      <c r="A305" s="944"/>
      <c r="B305" s="131"/>
      <c r="C305" s="52">
        <f t="shared" si="46"/>
        <v>1</v>
      </c>
      <c r="D305" s="942"/>
      <c r="E305" s="52">
        <f t="shared" si="47"/>
        <v>0</v>
      </c>
      <c r="F305" s="942"/>
      <c r="G305" s="52">
        <f t="shared" si="48"/>
        <v>0</v>
      </c>
      <c r="H305" s="942"/>
      <c r="I305" s="52">
        <f t="shared" si="49"/>
        <v>0</v>
      </c>
      <c r="J305" s="942"/>
      <c r="K305" s="52">
        <f t="shared" si="50"/>
        <v>1</v>
      </c>
      <c r="L305" s="942"/>
      <c r="M305" s="52">
        <f t="shared" si="51"/>
        <v>1</v>
      </c>
      <c r="N305" s="942"/>
      <c r="O305" s="52">
        <f t="shared" si="52"/>
        <v>1</v>
      </c>
      <c r="P305" s="942"/>
      <c r="Q305" s="52">
        <f t="shared" si="53"/>
        <v>1</v>
      </c>
      <c r="R305" s="470">
        <f t="shared" si="54"/>
        <v>0</v>
      </c>
      <c r="S305" s="779">
        <f t="shared" si="45"/>
        <v>0</v>
      </c>
    </row>
    <row r="306" spans="1:19">
      <c r="A306" s="944"/>
      <c r="B306" s="131"/>
      <c r="C306" s="52">
        <f t="shared" si="46"/>
        <v>1</v>
      </c>
      <c r="D306" s="942"/>
      <c r="E306" s="52">
        <f t="shared" si="47"/>
        <v>0</v>
      </c>
      <c r="F306" s="942"/>
      <c r="G306" s="52">
        <f t="shared" si="48"/>
        <v>0</v>
      </c>
      <c r="H306" s="942"/>
      <c r="I306" s="52">
        <f t="shared" si="49"/>
        <v>0</v>
      </c>
      <c r="J306" s="942"/>
      <c r="K306" s="52">
        <f t="shared" si="50"/>
        <v>1</v>
      </c>
      <c r="L306" s="942"/>
      <c r="M306" s="52">
        <f t="shared" si="51"/>
        <v>1</v>
      </c>
      <c r="N306" s="942"/>
      <c r="O306" s="52">
        <f t="shared" si="52"/>
        <v>1</v>
      </c>
      <c r="P306" s="942"/>
      <c r="Q306" s="52">
        <f t="shared" si="53"/>
        <v>1</v>
      </c>
      <c r="R306" s="470">
        <f t="shared" si="54"/>
        <v>0</v>
      </c>
      <c r="S306" s="779">
        <f t="shared" si="45"/>
        <v>0</v>
      </c>
    </row>
    <row r="307" spans="1:19">
      <c r="A307" s="944"/>
      <c r="B307" s="131"/>
      <c r="C307" s="52">
        <f t="shared" si="46"/>
        <v>1</v>
      </c>
      <c r="D307" s="942"/>
      <c r="E307" s="52">
        <f t="shared" si="47"/>
        <v>0</v>
      </c>
      <c r="F307" s="942"/>
      <c r="G307" s="52">
        <f t="shared" si="48"/>
        <v>0</v>
      </c>
      <c r="H307" s="942"/>
      <c r="I307" s="52">
        <f t="shared" si="49"/>
        <v>0</v>
      </c>
      <c r="J307" s="942"/>
      <c r="K307" s="52">
        <f t="shared" si="50"/>
        <v>1</v>
      </c>
      <c r="L307" s="942"/>
      <c r="M307" s="52">
        <f t="shared" si="51"/>
        <v>1</v>
      </c>
      <c r="N307" s="942"/>
      <c r="O307" s="52">
        <f t="shared" si="52"/>
        <v>1</v>
      </c>
      <c r="P307" s="942"/>
      <c r="Q307" s="52">
        <f t="shared" si="53"/>
        <v>1</v>
      </c>
      <c r="R307" s="470">
        <f t="shared" si="54"/>
        <v>0</v>
      </c>
      <c r="S307" s="779">
        <f t="shared" si="45"/>
        <v>0</v>
      </c>
    </row>
    <row r="308" spans="1:19">
      <c r="A308" s="944"/>
      <c r="B308" s="131"/>
      <c r="C308" s="52">
        <f t="shared" si="46"/>
        <v>1</v>
      </c>
      <c r="D308" s="942"/>
      <c r="E308" s="52">
        <f t="shared" si="47"/>
        <v>0</v>
      </c>
      <c r="F308" s="942"/>
      <c r="G308" s="52">
        <f t="shared" si="48"/>
        <v>0</v>
      </c>
      <c r="H308" s="942"/>
      <c r="I308" s="52">
        <f t="shared" si="49"/>
        <v>0</v>
      </c>
      <c r="J308" s="942"/>
      <c r="K308" s="52">
        <f t="shared" si="50"/>
        <v>1</v>
      </c>
      <c r="L308" s="942"/>
      <c r="M308" s="52">
        <f t="shared" si="51"/>
        <v>1</v>
      </c>
      <c r="N308" s="942"/>
      <c r="O308" s="52">
        <f t="shared" si="52"/>
        <v>1</v>
      </c>
      <c r="P308" s="942"/>
      <c r="Q308" s="52">
        <f t="shared" si="53"/>
        <v>1</v>
      </c>
      <c r="R308" s="470">
        <f t="shared" si="54"/>
        <v>0</v>
      </c>
      <c r="S308" s="779">
        <f t="shared" si="45"/>
        <v>0</v>
      </c>
    </row>
    <row r="309" spans="1:19">
      <c r="A309" s="944"/>
      <c r="B309" s="131"/>
      <c r="C309" s="52">
        <f t="shared" si="46"/>
        <v>1</v>
      </c>
      <c r="D309" s="942"/>
      <c r="E309" s="52">
        <f t="shared" si="47"/>
        <v>0</v>
      </c>
      <c r="F309" s="942"/>
      <c r="G309" s="52">
        <f t="shared" si="48"/>
        <v>0</v>
      </c>
      <c r="H309" s="942"/>
      <c r="I309" s="52">
        <f t="shared" si="49"/>
        <v>0</v>
      </c>
      <c r="J309" s="942"/>
      <c r="K309" s="52">
        <f t="shared" si="50"/>
        <v>1</v>
      </c>
      <c r="L309" s="942"/>
      <c r="M309" s="52">
        <f t="shared" si="51"/>
        <v>1</v>
      </c>
      <c r="N309" s="942"/>
      <c r="O309" s="52">
        <f t="shared" si="52"/>
        <v>1</v>
      </c>
      <c r="P309" s="942"/>
      <c r="Q309" s="52">
        <f t="shared" si="53"/>
        <v>1</v>
      </c>
      <c r="R309" s="470">
        <f t="shared" si="54"/>
        <v>0</v>
      </c>
      <c r="S309" s="779">
        <f t="shared" si="45"/>
        <v>0</v>
      </c>
    </row>
    <row r="310" spans="1:19">
      <c r="A310" s="944"/>
      <c r="B310" s="131"/>
      <c r="C310" s="52">
        <f t="shared" si="46"/>
        <v>1</v>
      </c>
      <c r="D310" s="942"/>
      <c r="E310" s="52">
        <f t="shared" si="47"/>
        <v>0</v>
      </c>
      <c r="F310" s="942"/>
      <c r="G310" s="52">
        <f t="shared" si="48"/>
        <v>0</v>
      </c>
      <c r="H310" s="942"/>
      <c r="I310" s="52">
        <f t="shared" si="49"/>
        <v>0</v>
      </c>
      <c r="J310" s="942"/>
      <c r="K310" s="52">
        <f t="shared" si="50"/>
        <v>1</v>
      </c>
      <c r="L310" s="942"/>
      <c r="M310" s="52">
        <f t="shared" si="51"/>
        <v>1</v>
      </c>
      <c r="N310" s="942"/>
      <c r="O310" s="52">
        <f t="shared" si="52"/>
        <v>1</v>
      </c>
      <c r="P310" s="942"/>
      <c r="Q310" s="52">
        <f t="shared" si="53"/>
        <v>1</v>
      </c>
      <c r="R310" s="470">
        <f t="shared" si="54"/>
        <v>0</v>
      </c>
      <c r="S310" s="779">
        <f t="shared" si="45"/>
        <v>0</v>
      </c>
    </row>
    <row r="311" spans="1:19">
      <c r="A311" s="944"/>
      <c r="B311" s="131"/>
      <c r="C311" s="52">
        <f t="shared" si="46"/>
        <v>1</v>
      </c>
      <c r="D311" s="942"/>
      <c r="E311" s="52">
        <f t="shared" si="47"/>
        <v>0</v>
      </c>
      <c r="F311" s="942"/>
      <c r="G311" s="52">
        <f t="shared" si="48"/>
        <v>0</v>
      </c>
      <c r="H311" s="942"/>
      <c r="I311" s="52">
        <f t="shared" si="49"/>
        <v>0</v>
      </c>
      <c r="J311" s="942"/>
      <c r="K311" s="52">
        <f t="shared" si="50"/>
        <v>1</v>
      </c>
      <c r="L311" s="942"/>
      <c r="M311" s="52">
        <f t="shared" si="51"/>
        <v>1</v>
      </c>
      <c r="N311" s="942"/>
      <c r="O311" s="52">
        <f t="shared" si="52"/>
        <v>1</v>
      </c>
      <c r="P311" s="942"/>
      <c r="Q311" s="52">
        <f t="shared" si="53"/>
        <v>1</v>
      </c>
      <c r="R311" s="470">
        <f t="shared" si="54"/>
        <v>0</v>
      </c>
      <c r="S311" s="779">
        <f t="shared" si="45"/>
        <v>0</v>
      </c>
    </row>
    <row r="312" spans="1:19">
      <c r="A312" s="944"/>
      <c r="B312" s="131"/>
      <c r="C312" s="52">
        <f t="shared" si="46"/>
        <v>1</v>
      </c>
      <c r="D312" s="942"/>
      <c r="E312" s="52">
        <f t="shared" si="47"/>
        <v>0</v>
      </c>
      <c r="F312" s="942"/>
      <c r="G312" s="52">
        <f t="shared" si="48"/>
        <v>0</v>
      </c>
      <c r="H312" s="942"/>
      <c r="I312" s="52">
        <f t="shared" si="49"/>
        <v>0</v>
      </c>
      <c r="J312" s="942"/>
      <c r="K312" s="52">
        <f t="shared" si="50"/>
        <v>1</v>
      </c>
      <c r="L312" s="942"/>
      <c r="M312" s="52">
        <f t="shared" si="51"/>
        <v>1</v>
      </c>
      <c r="N312" s="942"/>
      <c r="O312" s="52">
        <f t="shared" si="52"/>
        <v>1</v>
      </c>
      <c r="P312" s="942"/>
      <c r="Q312" s="52">
        <f t="shared" si="53"/>
        <v>1</v>
      </c>
      <c r="R312" s="470">
        <f t="shared" si="54"/>
        <v>0</v>
      </c>
      <c r="S312" s="779">
        <f t="shared" si="45"/>
        <v>0</v>
      </c>
    </row>
    <row r="313" spans="1:19">
      <c r="A313" s="944"/>
      <c r="B313" s="131"/>
      <c r="C313" s="52">
        <f t="shared" si="46"/>
        <v>1</v>
      </c>
      <c r="D313" s="942"/>
      <c r="E313" s="52">
        <f t="shared" si="47"/>
        <v>0</v>
      </c>
      <c r="F313" s="942"/>
      <c r="G313" s="52">
        <f t="shared" si="48"/>
        <v>0</v>
      </c>
      <c r="H313" s="942"/>
      <c r="I313" s="52">
        <f t="shared" si="49"/>
        <v>0</v>
      </c>
      <c r="J313" s="942"/>
      <c r="K313" s="52">
        <f t="shared" si="50"/>
        <v>1</v>
      </c>
      <c r="L313" s="942"/>
      <c r="M313" s="52">
        <f t="shared" si="51"/>
        <v>1</v>
      </c>
      <c r="N313" s="942"/>
      <c r="O313" s="52">
        <f t="shared" si="52"/>
        <v>1</v>
      </c>
      <c r="P313" s="942"/>
      <c r="Q313" s="52">
        <f t="shared" si="53"/>
        <v>1</v>
      </c>
      <c r="R313" s="470">
        <f t="shared" si="54"/>
        <v>0</v>
      </c>
      <c r="S313" s="779">
        <f t="shared" si="45"/>
        <v>0</v>
      </c>
    </row>
    <row r="314" spans="1:19">
      <c r="A314" s="944"/>
      <c r="B314" s="131"/>
      <c r="C314" s="52">
        <f t="shared" si="46"/>
        <v>1</v>
      </c>
      <c r="D314" s="942"/>
      <c r="E314" s="52">
        <f t="shared" si="47"/>
        <v>0</v>
      </c>
      <c r="F314" s="942"/>
      <c r="G314" s="52">
        <f t="shared" si="48"/>
        <v>0</v>
      </c>
      <c r="H314" s="942"/>
      <c r="I314" s="52">
        <f t="shared" si="49"/>
        <v>0</v>
      </c>
      <c r="J314" s="942"/>
      <c r="K314" s="52">
        <f t="shared" si="50"/>
        <v>1</v>
      </c>
      <c r="L314" s="942"/>
      <c r="M314" s="52">
        <f t="shared" si="51"/>
        <v>1</v>
      </c>
      <c r="N314" s="942"/>
      <c r="O314" s="52">
        <f t="shared" si="52"/>
        <v>1</v>
      </c>
      <c r="P314" s="942"/>
      <c r="Q314" s="52">
        <f t="shared" si="53"/>
        <v>1</v>
      </c>
      <c r="R314" s="470">
        <f t="shared" si="54"/>
        <v>0</v>
      </c>
      <c r="S314" s="779">
        <f t="shared" si="45"/>
        <v>0</v>
      </c>
    </row>
    <row r="315" spans="1:19">
      <c r="A315" s="944"/>
      <c r="B315" s="131"/>
      <c r="C315" s="52">
        <f t="shared" si="46"/>
        <v>1</v>
      </c>
      <c r="D315" s="942"/>
      <c r="E315" s="52">
        <f t="shared" si="47"/>
        <v>0</v>
      </c>
      <c r="F315" s="942"/>
      <c r="G315" s="52">
        <f t="shared" si="48"/>
        <v>0</v>
      </c>
      <c r="H315" s="942"/>
      <c r="I315" s="52">
        <f t="shared" si="49"/>
        <v>0</v>
      </c>
      <c r="J315" s="942"/>
      <c r="K315" s="52">
        <f t="shared" si="50"/>
        <v>1</v>
      </c>
      <c r="L315" s="942"/>
      <c r="M315" s="52">
        <f t="shared" si="51"/>
        <v>1</v>
      </c>
      <c r="N315" s="942"/>
      <c r="O315" s="52">
        <f t="shared" si="52"/>
        <v>1</v>
      </c>
      <c r="P315" s="942"/>
      <c r="Q315" s="52">
        <f t="shared" si="53"/>
        <v>1</v>
      </c>
      <c r="R315" s="470">
        <f t="shared" si="54"/>
        <v>0</v>
      </c>
      <c r="S315" s="779">
        <f t="shared" si="45"/>
        <v>0</v>
      </c>
    </row>
    <row r="316" spans="1:19">
      <c r="A316" s="944"/>
      <c r="B316" s="131"/>
      <c r="C316" s="52">
        <f t="shared" si="46"/>
        <v>1</v>
      </c>
      <c r="D316" s="942"/>
      <c r="E316" s="52">
        <f t="shared" si="47"/>
        <v>0</v>
      </c>
      <c r="F316" s="942"/>
      <c r="G316" s="52">
        <f t="shared" si="48"/>
        <v>0</v>
      </c>
      <c r="H316" s="942"/>
      <c r="I316" s="52">
        <f t="shared" si="49"/>
        <v>0</v>
      </c>
      <c r="J316" s="942"/>
      <c r="K316" s="52">
        <f t="shared" si="50"/>
        <v>1</v>
      </c>
      <c r="L316" s="942"/>
      <c r="M316" s="52">
        <f t="shared" si="51"/>
        <v>1</v>
      </c>
      <c r="N316" s="942"/>
      <c r="O316" s="52">
        <f t="shared" si="52"/>
        <v>1</v>
      </c>
      <c r="P316" s="942"/>
      <c r="Q316" s="52">
        <f t="shared" si="53"/>
        <v>1</v>
      </c>
      <c r="R316" s="470">
        <f t="shared" si="54"/>
        <v>0</v>
      </c>
      <c r="S316" s="779">
        <f t="shared" si="45"/>
        <v>0</v>
      </c>
    </row>
    <row r="317" spans="1:19">
      <c r="A317" s="944"/>
      <c r="B317" s="131"/>
      <c r="C317" s="52">
        <f t="shared" si="46"/>
        <v>1</v>
      </c>
      <c r="D317" s="942"/>
      <c r="E317" s="52">
        <f t="shared" si="47"/>
        <v>0</v>
      </c>
      <c r="F317" s="942"/>
      <c r="G317" s="52">
        <f t="shared" si="48"/>
        <v>0</v>
      </c>
      <c r="H317" s="942"/>
      <c r="I317" s="52">
        <f t="shared" si="49"/>
        <v>0</v>
      </c>
      <c r="J317" s="942"/>
      <c r="K317" s="52">
        <f t="shared" si="50"/>
        <v>1</v>
      </c>
      <c r="L317" s="942"/>
      <c r="M317" s="52">
        <f t="shared" si="51"/>
        <v>1</v>
      </c>
      <c r="N317" s="942"/>
      <c r="O317" s="52">
        <f t="shared" si="52"/>
        <v>1</v>
      </c>
      <c r="P317" s="942"/>
      <c r="Q317" s="52">
        <f t="shared" si="53"/>
        <v>1</v>
      </c>
      <c r="R317" s="470">
        <f t="shared" si="54"/>
        <v>0</v>
      </c>
      <c r="S317" s="779">
        <f t="shared" si="45"/>
        <v>0</v>
      </c>
    </row>
    <row r="318" spans="1:19">
      <c r="A318" s="944"/>
      <c r="B318" s="131"/>
      <c r="C318" s="52">
        <f t="shared" si="46"/>
        <v>1</v>
      </c>
      <c r="D318" s="942"/>
      <c r="E318" s="52">
        <f t="shared" si="47"/>
        <v>0</v>
      </c>
      <c r="F318" s="942"/>
      <c r="G318" s="52">
        <f t="shared" si="48"/>
        <v>0</v>
      </c>
      <c r="H318" s="942"/>
      <c r="I318" s="52">
        <f t="shared" si="49"/>
        <v>0</v>
      </c>
      <c r="J318" s="942"/>
      <c r="K318" s="52">
        <f t="shared" si="50"/>
        <v>1</v>
      </c>
      <c r="L318" s="942"/>
      <c r="M318" s="52">
        <f t="shared" si="51"/>
        <v>1</v>
      </c>
      <c r="N318" s="942"/>
      <c r="O318" s="52">
        <f t="shared" si="52"/>
        <v>1</v>
      </c>
      <c r="P318" s="942"/>
      <c r="Q318" s="52">
        <f t="shared" si="53"/>
        <v>1</v>
      </c>
      <c r="R318" s="470">
        <f t="shared" si="54"/>
        <v>0</v>
      </c>
      <c r="S318" s="779">
        <f t="shared" si="45"/>
        <v>0</v>
      </c>
    </row>
    <row r="319" spans="1:19">
      <c r="A319" s="944"/>
      <c r="B319" s="131"/>
      <c r="C319" s="52">
        <f t="shared" si="46"/>
        <v>1</v>
      </c>
      <c r="D319" s="942"/>
      <c r="E319" s="52">
        <f t="shared" si="47"/>
        <v>0</v>
      </c>
      <c r="F319" s="942"/>
      <c r="G319" s="52">
        <f t="shared" si="48"/>
        <v>0</v>
      </c>
      <c r="H319" s="942"/>
      <c r="I319" s="52">
        <f t="shared" si="49"/>
        <v>0</v>
      </c>
      <c r="J319" s="942"/>
      <c r="K319" s="52">
        <f t="shared" si="50"/>
        <v>1</v>
      </c>
      <c r="L319" s="942"/>
      <c r="M319" s="52">
        <f t="shared" si="51"/>
        <v>1</v>
      </c>
      <c r="N319" s="942"/>
      <c r="O319" s="52">
        <f t="shared" si="52"/>
        <v>1</v>
      </c>
      <c r="P319" s="942"/>
      <c r="Q319" s="52">
        <f t="shared" si="53"/>
        <v>1</v>
      </c>
      <c r="R319" s="470">
        <f t="shared" si="54"/>
        <v>0</v>
      </c>
      <c r="S319" s="779">
        <f t="shared" si="45"/>
        <v>0</v>
      </c>
    </row>
    <row r="320" spans="1:19">
      <c r="A320" s="944"/>
      <c r="B320" s="131"/>
      <c r="C320" s="52">
        <f t="shared" si="46"/>
        <v>1</v>
      </c>
      <c r="D320" s="942"/>
      <c r="E320" s="52">
        <f t="shared" si="47"/>
        <v>0</v>
      </c>
      <c r="F320" s="942"/>
      <c r="G320" s="52">
        <f t="shared" si="48"/>
        <v>0</v>
      </c>
      <c r="H320" s="942"/>
      <c r="I320" s="52">
        <f t="shared" si="49"/>
        <v>0</v>
      </c>
      <c r="J320" s="942"/>
      <c r="K320" s="52">
        <f t="shared" si="50"/>
        <v>1</v>
      </c>
      <c r="L320" s="942"/>
      <c r="M320" s="52">
        <f t="shared" si="51"/>
        <v>1</v>
      </c>
      <c r="N320" s="942"/>
      <c r="O320" s="52">
        <f t="shared" si="52"/>
        <v>1</v>
      </c>
      <c r="P320" s="942"/>
      <c r="Q320" s="52">
        <f t="shared" si="53"/>
        <v>1</v>
      </c>
      <c r="R320" s="470">
        <f t="shared" si="54"/>
        <v>0</v>
      </c>
      <c r="S320" s="779">
        <f t="shared" si="45"/>
        <v>0</v>
      </c>
    </row>
    <row r="321" spans="1:19">
      <c r="A321" s="944"/>
      <c r="B321" s="131"/>
      <c r="C321" s="52">
        <f t="shared" si="46"/>
        <v>1</v>
      </c>
      <c r="D321" s="942"/>
      <c r="E321" s="52">
        <f t="shared" si="47"/>
        <v>0</v>
      </c>
      <c r="F321" s="942"/>
      <c r="G321" s="52">
        <f t="shared" si="48"/>
        <v>0</v>
      </c>
      <c r="H321" s="942"/>
      <c r="I321" s="52">
        <f t="shared" si="49"/>
        <v>0</v>
      </c>
      <c r="J321" s="942"/>
      <c r="K321" s="52">
        <f t="shared" si="50"/>
        <v>1</v>
      </c>
      <c r="L321" s="942"/>
      <c r="M321" s="52">
        <f t="shared" si="51"/>
        <v>1</v>
      </c>
      <c r="N321" s="942"/>
      <c r="O321" s="52">
        <f t="shared" si="52"/>
        <v>1</v>
      </c>
      <c r="P321" s="942"/>
      <c r="Q321" s="52">
        <f t="shared" si="53"/>
        <v>1</v>
      </c>
      <c r="R321" s="470">
        <f t="shared" si="54"/>
        <v>0</v>
      </c>
      <c r="S321" s="779">
        <f t="shared" si="45"/>
        <v>0</v>
      </c>
    </row>
    <row r="322" spans="1:19">
      <c r="A322" s="944"/>
      <c r="B322" s="131"/>
      <c r="C322" s="52">
        <f t="shared" si="46"/>
        <v>1</v>
      </c>
      <c r="D322" s="942"/>
      <c r="E322" s="52">
        <f t="shared" si="47"/>
        <v>0</v>
      </c>
      <c r="F322" s="942"/>
      <c r="G322" s="52">
        <f t="shared" si="48"/>
        <v>0</v>
      </c>
      <c r="H322" s="942"/>
      <c r="I322" s="52">
        <f t="shared" si="49"/>
        <v>0</v>
      </c>
      <c r="J322" s="942"/>
      <c r="K322" s="52">
        <f t="shared" si="50"/>
        <v>1</v>
      </c>
      <c r="L322" s="942"/>
      <c r="M322" s="52">
        <f t="shared" si="51"/>
        <v>1</v>
      </c>
      <c r="N322" s="942"/>
      <c r="O322" s="52">
        <f t="shared" si="52"/>
        <v>1</v>
      </c>
      <c r="P322" s="942"/>
      <c r="Q322" s="52">
        <f t="shared" si="53"/>
        <v>1</v>
      </c>
      <c r="R322" s="470">
        <f t="shared" si="54"/>
        <v>0</v>
      </c>
      <c r="S322" s="779">
        <f t="shared" si="45"/>
        <v>0</v>
      </c>
    </row>
    <row r="323" spans="1:19">
      <c r="A323" s="944"/>
      <c r="B323" s="131"/>
      <c r="C323" s="52">
        <f t="shared" si="46"/>
        <v>1</v>
      </c>
      <c r="D323" s="942"/>
      <c r="E323" s="52">
        <f t="shared" si="47"/>
        <v>0</v>
      </c>
      <c r="F323" s="942"/>
      <c r="G323" s="52">
        <f t="shared" si="48"/>
        <v>0</v>
      </c>
      <c r="H323" s="942"/>
      <c r="I323" s="52">
        <f t="shared" si="49"/>
        <v>0</v>
      </c>
      <c r="J323" s="942"/>
      <c r="K323" s="52">
        <f t="shared" si="50"/>
        <v>1</v>
      </c>
      <c r="L323" s="942"/>
      <c r="M323" s="52">
        <f t="shared" si="51"/>
        <v>1</v>
      </c>
      <c r="N323" s="942"/>
      <c r="O323" s="52">
        <f t="shared" si="52"/>
        <v>1</v>
      </c>
      <c r="P323" s="942"/>
      <c r="Q323" s="52">
        <f t="shared" si="53"/>
        <v>1</v>
      </c>
      <c r="R323" s="470">
        <f t="shared" si="54"/>
        <v>0</v>
      </c>
      <c r="S323" s="779">
        <f t="shared" si="45"/>
        <v>0</v>
      </c>
    </row>
    <row r="324" spans="1:19">
      <c r="A324" s="944"/>
      <c r="B324" s="131"/>
      <c r="C324" s="52">
        <f t="shared" si="46"/>
        <v>1</v>
      </c>
      <c r="D324" s="942"/>
      <c r="E324" s="52">
        <f t="shared" si="47"/>
        <v>0</v>
      </c>
      <c r="F324" s="942"/>
      <c r="G324" s="52">
        <f t="shared" si="48"/>
        <v>0</v>
      </c>
      <c r="H324" s="942"/>
      <c r="I324" s="52">
        <f t="shared" si="49"/>
        <v>0</v>
      </c>
      <c r="J324" s="942"/>
      <c r="K324" s="52">
        <f t="shared" si="50"/>
        <v>1</v>
      </c>
      <c r="L324" s="942"/>
      <c r="M324" s="52">
        <f t="shared" si="51"/>
        <v>1</v>
      </c>
      <c r="N324" s="942"/>
      <c r="O324" s="52">
        <f t="shared" si="52"/>
        <v>1</v>
      </c>
      <c r="P324" s="942"/>
      <c r="Q324" s="52">
        <f t="shared" si="53"/>
        <v>1</v>
      </c>
      <c r="R324" s="470">
        <f t="shared" si="54"/>
        <v>0</v>
      </c>
      <c r="S324" s="779">
        <f t="shared" si="45"/>
        <v>0</v>
      </c>
    </row>
    <row r="325" spans="1:19">
      <c r="A325" s="944"/>
      <c r="B325" s="131"/>
      <c r="C325" s="52">
        <f t="shared" si="46"/>
        <v>1</v>
      </c>
      <c r="D325" s="942"/>
      <c r="E325" s="52">
        <f t="shared" si="47"/>
        <v>0</v>
      </c>
      <c r="F325" s="942"/>
      <c r="G325" s="52">
        <f t="shared" si="48"/>
        <v>0</v>
      </c>
      <c r="H325" s="942"/>
      <c r="I325" s="52">
        <f t="shared" si="49"/>
        <v>0</v>
      </c>
      <c r="J325" s="942"/>
      <c r="K325" s="52">
        <f t="shared" si="50"/>
        <v>1</v>
      </c>
      <c r="L325" s="942"/>
      <c r="M325" s="52">
        <f t="shared" si="51"/>
        <v>1</v>
      </c>
      <c r="N325" s="942"/>
      <c r="O325" s="52">
        <f t="shared" si="52"/>
        <v>1</v>
      </c>
      <c r="P325" s="942"/>
      <c r="Q325" s="52">
        <f t="shared" si="53"/>
        <v>1</v>
      </c>
      <c r="R325" s="470">
        <f t="shared" si="54"/>
        <v>0</v>
      </c>
      <c r="S325" s="779">
        <f t="shared" si="45"/>
        <v>0</v>
      </c>
    </row>
    <row r="326" spans="1:19">
      <c r="A326" s="944"/>
      <c r="B326" s="131"/>
      <c r="C326" s="52">
        <f t="shared" si="46"/>
        <v>1</v>
      </c>
      <c r="D326" s="942"/>
      <c r="E326" s="52">
        <f t="shared" si="47"/>
        <v>0</v>
      </c>
      <c r="F326" s="942"/>
      <c r="G326" s="52">
        <f t="shared" si="48"/>
        <v>0</v>
      </c>
      <c r="H326" s="942"/>
      <c r="I326" s="52">
        <f t="shared" si="49"/>
        <v>0</v>
      </c>
      <c r="J326" s="942"/>
      <c r="K326" s="52">
        <f t="shared" si="50"/>
        <v>1</v>
      </c>
      <c r="L326" s="942"/>
      <c r="M326" s="52">
        <f t="shared" si="51"/>
        <v>1</v>
      </c>
      <c r="N326" s="942"/>
      <c r="O326" s="52">
        <f t="shared" si="52"/>
        <v>1</v>
      </c>
      <c r="P326" s="942"/>
      <c r="Q326" s="52">
        <f t="shared" si="53"/>
        <v>1</v>
      </c>
      <c r="R326" s="470">
        <f t="shared" si="54"/>
        <v>0</v>
      </c>
      <c r="S326" s="779">
        <f t="shared" si="45"/>
        <v>0</v>
      </c>
    </row>
    <row r="327" spans="1:19">
      <c r="A327" s="944"/>
      <c r="B327" s="131"/>
      <c r="C327" s="52">
        <f t="shared" si="46"/>
        <v>1</v>
      </c>
      <c r="D327" s="942"/>
      <c r="E327" s="52">
        <f t="shared" si="47"/>
        <v>0</v>
      </c>
      <c r="F327" s="942"/>
      <c r="G327" s="52">
        <f t="shared" si="48"/>
        <v>0</v>
      </c>
      <c r="H327" s="942"/>
      <c r="I327" s="52">
        <f t="shared" si="49"/>
        <v>0</v>
      </c>
      <c r="J327" s="942"/>
      <c r="K327" s="52">
        <f t="shared" si="50"/>
        <v>1</v>
      </c>
      <c r="L327" s="942"/>
      <c r="M327" s="52">
        <f t="shared" si="51"/>
        <v>1</v>
      </c>
      <c r="N327" s="942"/>
      <c r="O327" s="52">
        <f t="shared" si="52"/>
        <v>1</v>
      </c>
      <c r="P327" s="942"/>
      <c r="Q327" s="52">
        <f t="shared" si="53"/>
        <v>1</v>
      </c>
      <c r="R327" s="470">
        <f t="shared" si="54"/>
        <v>0</v>
      </c>
      <c r="S327" s="779">
        <f t="shared" si="45"/>
        <v>0</v>
      </c>
    </row>
    <row r="328" spans="1:19">
      <c r="A328" s="944"/>
      <c r="B328" s="131"/>
      <c r="C328" s="52">
        <f t="shared" si="46"/>
        <v>1</v>
      </c>
      <c r="D328" s="942"/>
      <c r="E328" s="52">
        <f t="shared" si="47"/>
        <v>0</v>
      </c>
      <c r="F328" s="942"/>
      <c r="G328" s="52">
        <f t="shared" si="48"/>
        <v>0</v>
      </c>
      <c r="H328" s="942"/>
      <c r="I328" s="52">
        <f t="shared" si="49"/>
        <v>0</v>
      </c>
      <c r="J328" s="942"/>
      <c r="K328" s="52">
        <f t="shared" si="50"/>
        <v>1</v>
      </c>
      <c r="L328" s="942"/>
      <c r="M328" s="52">
        <f t="shared" si="51"/>
        <v>1</v>
      </c>
      <c r="N328" s="942"/>
      <c r="O328" s="52">
        <f t="shared" si="52"/>
        <v>1</v>
      </c>
      <c r="P328" s="942"/>
      <c r="Q328" s="52">
        <f t="shared" si="53"/>
        <v>1</v>
      </c>
      <c r="R328" s="470">
        <f t="shared" si="54"/>
        <v>0</v>
      </c>
      <c r="S328" s="779">
        <f t="shared" si="45"/>
        <v>0</v>
      </c>
    </row>
    <row r="329" spans="1:19">
      <c r="A329" s="944"/>
      <c r="B329" s="131"/>
      <c r="C329" s="52">
        <f t="shared" si="46"/>
        <v>1</v>
      </c>
      <c r="D329" s="942"/>
      <c r="E329" s="52">
        <f t="shared" si="47"/>
        <v>0</v>
      </c>
      <c r="F329" s="942"/>
      <c r="G329" s="52">
        <f t="shared" si="48"/>
        <v>0</v>
      </c>
      <c r="H329" s="942"/>
      <c r="I329" s="52">
        <f t="shared" si="49"/>
        <v>0</v>
      </c>
      <c r="J329" s="942"/>
      <c r="K329" s="52">
        <f t="shared" si="50"/>
        <v>1</v>
      </c>
      <c r="L329" s="942"/>
      <c r="M329" s="52">
        <f t="shared" si="51"/>
        <v>1</v>
      </c>
      <c r="N329" s="942"/>
      <c r="O329" s="52">
        <f t="shared" si="52"/>
        <v>1</v>
      </c>
      <c r="P329" s="942"/>
      <c r="Q329" s="52">
        <f t="shared" si="53"/>
        <v>1</v>
      </c>
      <c r="R329" s="470">
        <f t="shared" si="54"/>
        <v>0</v>
      </c>
      <c r="S329" s="779">
        <f t="shared" si="45"/>
        <v>0</v>
      </c>
    </row>
    <row r="330" spans="1:19">
      <c r="A330" s="944"/>
      <c r="B330" s="131"/>
      <c r="C330" s="52">
        <f t="shared" si="46"/>
        <v>1</v>
      </c>
      <c r="D330" s="942"/>
      <c r="E330" s="52">
        <f t="shared" si="47"/>
        <v>0</v>
      </c>
      <c r="F330" s="942"/>
      <c r="G330" s="52">
        <f t="shared" si="48"/>
        <v>0</v>
      </c>
      <c r="H330" s="942"/>
      <c r="I330" s="52">
        <f t="shared" si="49"/>
        <v>0</v>
      </c>
      <c r="J330" s="942"/>
      <c r="K330" s="52">
        <f t="shared" si="50"/>
        <v>1</v>
      </c>
      <c r="L330" s="942"/>
      <c r="M330" s="52">
        <f t="shared" si="51"/>
        <v>1</v>
      </c>
      <c r="N330" s="942"/>
      <c r="O330" s="52">
        <f t="shared" si="52"/>
        <v>1</v>
      </c>
      <c r="P330" s="942"/>
      <c r="Q330" s="52">
        <f t="shared" si="53"/>
        <v>1</v>
      </c>
      <c r="R330" s="470">
        <f t="shared" si="54"/>
        <v>0</v>
      </c>
      <c r="S330" s="779">
        <f t="shared" si="45"/>
        <v>0</v>
      </c>
    </row>
    <row r="331" spans="1:19">
      <c r="A331" s="944"/>
      <c r="B331" s="131"/>
      <c r="C331" s="52">
        <f t="shared" si="46"/>
        <v>1</v>
      </c>
      <c r="D331" s="942"/>
      <c r="E331" s="52">
        <f t="shared" si="47"/>
        <v>0</v>
      </c>
      <c r="F331" s="942"/>
      <c r="G331" s="52">
        <f t="shared" si="48"/>
        <v>0</v>
      </c>
      <c r="H331" s="942"/>
      <c r="I331" s="52">
        <f t="shared" si="49"/>
        <v>0</v>
      </c>
      <c r="J331" s="942"/>
      <c r="K331" s="52">
        <f t="shared" si="50"/>
        <v>1</v>
      </c>
      <c r="L331" s="942"/>
      <c r="M331" s="52">
        <f t="shared" si="51"/>
        <v>1</v>
      </c>
      <c r="N331" s="942"/>
      <c r="O331" s="52">
        <f t="shared" si="52"/>
        <v>1</v>
      </c>
      <c r="P331" s="942"/>
      <c r="Q331" s="52">
        <f t="shared" si="53"/>
        <v>1</v>
      </c>
      <c r="R331" s="470">
        <f t="shared" si="54"/>
        <v>0</v>
      </c>
      <c r="S331" s="779">
        <f t="shared" si="45"/>
        <v>0</v>
      </c>
    </row>
    <row r="332" spans="1:19">
      <c r="A332" s="944"/>
      <c r="B332" s="131"/>
      <c r="C332" s="52">
        <f t="shared" si="46"/>
        <v>1</v>
      </c>
      <c r="D332" s="942"/>
      <c r="E332" s="52">
        <f t="shared" si="47"/>
        <v>0</v>
      </c>
      <c r="F332" s="942"/>
      <c r="G332" s="52">
        <f t="shared" si="48"/>
        <v>0</v>
      </c>
      <c r="H332" s="942"/>
      <c r="I332" s="52">
        <f t="shared" si="49"/>
        <v>0</v>
      </c>
      <c r="J332" s="942"/>
      <c r="K332" s="52">
        <f t="shared" si="50"/>
        <v>1</v>
      </c>
      <c r="L332" s="942"/>
      <c r="M332" s="52">
        <f t="shared" si="51"/>
        <v>1</v>
      </c>
      <c r="N332" s="942"/>
      <c r="O332" s="52">
        <f t="shared" si="52"/>
        <v>1</v>
      </c>
      <c r="P332" s="942"/>
      <c r="Q332" s="52">
        <f t="shared" si="53"/>
        <v>1</v>
      </c>
      <c r="R332" s="470">
        <f t="shared" si="54"/>
        <v>0</v>
      </c>
      <c r="S332" s="779">
        <f t="shared" si="45"/>
        <v>0</v>
      </c>
    </row>
    <row r="333" spans="1:19">
      <c r="A333" s="944"/>
      <c r="B333" s="131"/>
      <c r="C333" s="52">
        <f t="shared" si="46"/>
        <v>1</v>
      </c>
      <c r="D333" s="942"/>
      <c r="E333" s="52">
        <f t="shared" si="47"/>
        <v>0</v>
      </c>
      <c r="F333" s="942"/>
      <c r="G333" s="52">
        <f t="shared" si="48"/>
        <v>0</v>
      </c>
      <c r="H333" s="942"/>
      <c r="I333" s="52">
        <f t="shared" si="49"/>
        <v>0</v>
      </c>
      <c r="J333" s="942"/>
      <c r="K333" s="52">
        <f t="shared" si="50"/>
        <v>1</v>
      </c>
      <c r="L333" s="942"/>
      <c r="M333" s="52">
        <f t="shared" si="51"/>
        <v>1</v>
      </c>
      <c r="N333" s="942"/>
      <c r="O333" s="52">
        <f t="shared" si="52"/>
        <v>1</v>
      </c>
      <c r="P333" s="942"/>
      <c r="Q333" s="52">
        <f t="shared" si="53"/>
        <v>1</v>
      </c>
      <c r="R333" s="470">
        <f t="shared" si="54"/>
        <v>0</v>
      </c>
      <c r="S333" s="779">
        <f t="shared" si="45"/>
        <v>0</v>
      </c>
    </row>
    <row r="334" spans="1:19">
      <c r="A334" s="944"/>
      <c r="B334" s="131"/>
      <c r="C334" s="52">
        <f t="shared" si="46"/>
        <v>1</v>
      </c>
      <c r="D334" s="942"/>
      <c r="E334" s="52">
        <f t="shared" si="47"/>
        <v>0</v>
      </c>
      <c r="F334" s="942"/>
      <c r="G334" s="52">
        <f t="shared" si="48"/>
        <v>0</v>
      </c>
      <c r="H334" s="942"/>
      <c r="I334" s="52">
        <f t="shared" si="49"/>
        <v>0</v>
      </c>
      <c r="J334" s="942"/>
      <c r="K334" s="52">
        <f t="shared" si="50"/>
        <v>1</v>
      </c>
      <c r="L334" s="942"/>
      <c r="M334" s="52">
        <f t="shared" si="51"/>
        <v>1</v>
      </c>
      <c r="N334" s="942"/>
      <c r="O334" s="52">
        <f t="shared" si="52"/>
        <v>1</v>
      </c>
      <c r="P334" s="942"/>
      <c r="Q334" s="52">
        <f t="shared" si="53"/>
        <v>1</v>
      </c>
      <c r="R334" s="470">
        <f t="shared" si="54"/>
        <v>0</v>
      </c>
      <c r="S334" s="779">
        <f t="shared" si="45"/>
        <v>0</v>
      </c>
    </row>
    <row r="335" spans="1:19">
      <c r="A335" s="944"/>
      <c r="B335" s="131"/>
      <c r="C335" s="52">
        <f t="shared" si="46"/>
        <v>1</v>
      </c>
      <c r="D335" s="942"/>
      <c r="E335" s="52">
        <f t="shared" si="47"/>
        <v>0</v>
      </c>
      <c r="F335" s="942"/>
      <c r="G335" s="52">
        <f t="shared" si="48"/>
        <v>0</v>
      </c>
      <c r="H335" s="942"/>
      <c r="I335" s="52">
        <f t="shared" si="49"/>
        <v>0</v>
      </c>
      <c r="J335" s="942"/>
      <c r="K335" s="52">
        <f t="shared" si="50"/>
        <v>1</v>
      </c>
      <c r="L335" s="942"/>
      <c r="M335" s="52">
        <f t="shared" si="51"/>
        <v>1</v>
      </c>
      <c r="N335" s="942"/>
      <c r="O335" s="52">
        <f t="shared" si="52"/>
        <v>1</v>
      </c>
      <c r="P335" s="942"/>
      <c r="Q335" s="52">
        <f t="shared" si="53"/>
        <v>1</v>
      </c>
      <c r="R335" s="470">
        <f t="shared" si="54"/>
        <v>0</v>
      </c>
      <c r="S335" s="779">
        <f t="shared" si="45"/>
        <v>0</v>
      </c>
    </row>
    <row r="336" spans="1:19">
      <c r="A336" s="944"/>
      <c r="B336" s="131"/>
      <c r="C336" s="52">
        <f t="shared" si="46"/>
        <v>1</v>
      </c>
      <c r="D336" s="942"/>
      <c r="E336" s="52">
        <f t="shared" si="47"/>
        <v>0</v>
      </c>
      <c r="F336" s="942"/>
      <c r="G336" s="52">
        <f t="shared" si="48"/>
        <v>0</v>
      </c>
      <c r="H336" s="942"/>
      <c r="I336" s="52">
        <f t="shared" si="49"/>
        <v>0</v>
      </c>
      <c r="J336" s="942"/>
      <c r="K336" s="52">
        <f t="shared" si="50"/>
        <v>1</v>
      </c>
      <c r="L336" s="942"/>
      <c r="M336" s="52">
        <f t="shared" si="51"/>
        <v>1</v>
      </c>
      <c r="N336" s="942"/>
      <c r="O336" s="52">
        <f t="shared" si="52"/>
        <v>1</v>
      </c>
      <c r="P336" s="942"/>
      <c r="Q336" s="52">
        <f t="shared" si="53"/>
        <v>1</v>
      </c>
      <c r="R336" s="470">
        <f t="shared" si="54"/>
        <v>0</v>
      </c>
      <c r="S336" s="779">
        <f t="shared" si="45"/>
        <v>0</v>
      </c>
    </row>
    <row r="337" spans="1:19">
      <c r="A337" s="944"/>
      <c r="B337" s="131"/>
      <c r="C337" s="52">
        <f t="shared" si="46"/>
        <v>1</v>
      </c>
      <c r="D337" s="942"/>
      <c r="E337" s="52">
        <f t="shared" si="47"/>
        <v>0</v>
      </c>
      <c r="F337" s="942"/>
      <c r="G337" s="52">
        <f t="shared" si="48"/>
        <v>0</v>
      </c>
      <c r="H337" s="942"/>
      <c r="I337" s="52">
        <f t="shared" si="49"/>
        <v>0</v>
      </c>
      <c r="J337" s="942"/>
      <c r="K337" s="52">
        <f t="shared" si="50"/>
        <v>1</v>
      </c>
      <c r="L337" s="942"/>
      <c r="M337" s="52">
        <f t="shared" si="51"/>
        <v>1</v>
      </c>
      <c r="N337" s="942"/>
      <c r="O337" s="52">
        <f t="shared" si="52"/>
        <v>1</v>
      </c>
      <c r="P337" s="942"/>
      <c r="Q337" s="52">
        <f t="shared" si="53"/>
        <v>1</v>
      </c>
      <c r="R337" s="470">
        <f t="shared" si="54"/>
        <v>0</v>
      </c>
      <c r="S337" s="779">
        <f t="shared" si="45"/>
        <v>0</v>
      </c>
    </row>
    <row r="338" spans="1:19">
      <c r="A338" s="944"/>
      <c r="B338" s="131"/>
      <c r="C338" s="52">
        <f t="shared" si="46"/>
        <v>1</v>
      </c>
      <c r="D338" s="942"/>
      <c r="E338" s="52">
        <f t="shared" si="47"/>
        <v>0</v>
      </c>
      <c r="F338" s="942"/>
      <c r="G338" s="52">
        <f t="shared" si="48"/>
        <v>0</v>
      </c>
      <c r="H338" s="942"/>
      <c r="I338" s="52">
        <f t="shared" si="49"/>
        <v>0</v>
      </c>
      <c r="J338" s="942"/>
      <c r="K338" s="52">
        <f t="shared" si="50"/>
        <v>1</v>
      </c>
      <c r="L338" s="942"/>
      <c r="M338" s="52">
        <f t="shared" si="51"/>
        <v>1</v>
      </c>
      <c r="N338" s="942"/>
      <c r="O338" s="52">
        <f t="shared" si="52"/>
        <v>1</v>
      </c>
      <c r="P338" s="942"/>
      <c r="Q338" s="52">
        <f t="shared" si="53"/>
        <v>1</v>
      </c>
      <c r="R338" s="470">
        <f t="shared" si="54"/>
        <v>0</v>
      </c>
      <c r="S338" s="779">
        <f t="shared" si="45"/>
        <v>0</v>
      </c>
    </row>
    <row r="339" spans="1:19">
      <c r="A339" s="944"/>
      <c r="B339" s="131"/>
      <c r="C339" s="52">
        <f t="shared" si="46"/>
        <v>1</v>
      </c>
      <c r="D339" s="942"/>
      <c r="E339" s="52">
        <f t="shared" si="47"/>
        <v>0</v>
      </c>
      <c r="F339" s="942"/>
      <c r="G339" s="52">
        <f t="shared" si="48"/>
        <v>0</v>
      </c>
      <c r="H339" s="942"/>
      <c r="I339" s="52">
        <f t="shared" si="49"/>
        <v>0</v>
      </c>
      <c r="J339" s="942"/>
      <c r="K339" s="52">
        <f t="shared" si="50"/>
        <v>1</v>
      </c>
      <c r="L339" s="942"/>
      <c r="M339" s="52">
        <f t="shared" si="51"/>
        <v>1</v>
      </c>
      <c r="N339" s="942"/>
      <c r="O339" s="52">
        <f t="shared" si="52"/>
        <v>1</v>
      </c>
      <c r="P339" s="942"/>
      <c r="Q339" s="52">
        <f t="shared" si="53"/>
        <v>1</v>
      </c>
      <c r="R339" s="470">
        <f t="shared" si="54"/>
        <v>0</v>
      </c>
      <c r="S339" s="779">
        <f t="shared" si="45"/>
        <v>0</v>
      </c>
    </row>
    <row r="340" spans="1:19">
      <c r="A340" s="944"/>
      <c r="B340" s="131"/>
      <c r="C340" s="52">
        <f t="shared" si="46"/>
        <v>1</v>
      </c>
      <c r="D340" s="942"/>
      <c r="E340" s="52">
        <f t="shared" si="47"/>
        <v>0</v>
      </c>
      <c r="F340" s="942"/>
      <c r="G340" s="52">
        <f t="shared" si="48"/>
        <v>0</v>
      </c>
      <c r="H340" s="942"/>
      <c r="I340" s="52">
        <f t="shared" si="49"/>
        <v>0</v>
      </c>
      <c r="J340" s="942"/>
      <c r="K340" s="52">
        <f t="shared" si="50"/>
        <v>1</v>
      </c>
      <c r="L340" s="942"/>
      <c r="M340" s="52">
        <f t="shared" si="51"/>
        <v>1</v>
      </c>
      <c r="N340" s="942"/>
      <c r="O340" s="52">
        <f t="shared" si="52"/>
        <v>1</v>
      </c>
      <c r="P340" s="942"/>
      <c r="Q340" s="52">
        <f t="shared" si="53"/>
        <v>1</v>
      </c>
      <c r="R340" s="470">
        <f t="shared" si="54"/>
        <v>0</v>
      </c>
      <c r="S340" s="779">
        <f t="shared" si="45"/>
        <v>0</v>
      </c>
    </row>
    <row r="341" spans="1:19">
      <c r="A341" s="944"/>
      <c r="B341" s="131"/>
      <c r="C341" s="52">
        <f t="shared" si="46"/>
        <v>1</v>
      </c>
      <c r="D341" s="942"/>
      <c r="E341" s="52">
        <f t="shared" si="47"/>
        <v>0</v>
      </c>
      <c r="F341" s="942"/>
      <c r="G341" s="52">
        <f t="shared" si="48"/>
        <v>0</v>
      </c>
      <c r="H341" s="942"/>
      <c r="I341" s="52">
        <f t="shared" si="49"/>
        <v>0</v>
      </c>
      <c r="J341" s="942"/>
      <c r="K341" s="52">
        <f t="shared" si="50"/>
        <v>1</v>
      </c>
      <c r="L341" s="942"/>
      <c r="M341" s="52">
        <f t="shared" si="51"/>
        <v>1</v>
      </c>
      <c r="N341" s="942"/>
      <c r="O341" s="52">
        <f t="shared" si="52"/>
        <v>1</v>
      </c>
      <c r="P341" s="942"/>
      <c r="Q341" s="52">
        <f t="shared" si="53"/>
        <v>1</v>
      </c>
      <c r="R341" s="470">
        <f t="shared" si="54"/>
        <v>0</v>
      </c>
      <c r="S341" s="779">
        <f t="shared" si="45"/>
        <v>0</v>
      </c>
    </row>
    <row r="342" spans="1:19">
      <c r="A342" s="944"/>
      <c r="B342" s="131"/>
      <c r="C342" s="52">
        <f t="shared" si="46"/>
        <v>1</v>
      </c>
      <c r="D342" s="942"/>
      <c r="E342" s="52">
        <f t="shared" si="47"/>
        <v>0</v>
      </c>
      <c r="F342" s="942"/>
      <c r="G342" s="52">
        <f t="shared" si="48"/>
        <v>0</v>
      </c>
      <c r="H342" s="942"/>
      <c r="I342" s="52">
        <f t="shared" si="49"/>
        <v>0</v>
      </c>
      <c r="J342" s="942"/>
      <c r="K342" s="52">
        <f t="shared" si="50"/>
        <v>1</v>
      </c>
      <c r="L342" s="942"/>
      <c r="M342" s="52">
        <f t="shared" si="51"/>
        <v>1</v>
      </c>
      <c r="N342" s="942"/>
      <c r="O342" s="52">
        <f t="shared" si="52"/>
        <v>1</v>
      </c>
      <c r="P342" s="942"/>
      <c r="Q342" s="52">
        <f t="shared" si="53"/>
        <v>1</v>
      </c>
      <c r="R342" s="470">
        <f t="shared" si="54"/>
        <v>0</v>
      </c>
      <c r="S342" s="779">
        <f t="shared" si="45"/>
        <v>0</v>
      </c>
    </row>
    <row r="343" spans="1:19">
      <c r="A343" s="944"/>
      <c r="B343" s="131"/>
      <c r="C343" s="52">
        <f t="shared" si="46"/>
        <v>1</v>
      </c>
      <c r="D343" s="942"/>
      <c r="E343" s="52">
        <f t="shared" si="47"/>
        <v>0</v>
      </c>
      <c r="F343" s="942"/>
      <c r="G343" s="52">
        <f t="shared" si="48"/>
        <v>0</v>
      </c>
      <c r="H343" s="942"/>
      <c r="I343" s="52">
        <f t="shared" si="49"/>
        <v>0</v>
      </c>
      <c r="J343" s="942"/>
      <c r="K343" s="52">
        <f t="shared" si="50"/>
        <v>1</v>
      </c>
      <c r="L343" s="942"/>
      <c r="M343" s="52">
        <f t="shared" si="51"/>
        <v>1</v>
      </c>
      <c r="N343" s="942"/>
      <c r="O343" s="52">
        <f t="shared" si="52"/>
        <v>1</v>
      </c>
      <c r="P343" s="942"/>
      <c r="Q343" s="52">
        <f t="shared" si="53"/>
        <v>1</v>
      </c>
      <c r="R343" s="470">
        <f t="shared" si="54"/>
        <v>0</v>
      </c>
      <c r="S343" s="779">
        <f t="shared" si="45"/>
        <v>0</v>
      </c>
    </row>
    <row r="344" spans="1:19">
      <c r="A344" s="944"/>
      <c r="B344" s="131"/>
      <c r="C344" s="52">
        <f t="shared" si="46"/>
        <v>1</v>
      </c>
      <c r="D344" s="942"/>
      <c r="E344" s="52">
        <f t="shared" si="47"/>
        <v>0</v>
      </c>
      <c r="F344" s="942"/>
      <c r="G344" s="52">
        <f t="shared" si="48"/>
        <v>0</v>
      </c>
      <c r="H344" s="942"/>
      <c r="I344" s="52">
        <f t="shared" si="49"/>
        <v>0</v>
      </c>
      <c r="J344" s="942"/>
      <c r="K344" s="52">
        <f t="shared" si="50"/>
        <v>1</v>
      </c>
      <c r="L344" s="942"/>
      <c r="M344" s="52">
        <f t="shared" si="51"/>
        <v>1</v>
      </c>
      <c r="N344" s="942"/>
      <c r="O344" s="52">
        <f t="shared" si="52"/>
        <v>1</v>
      </c>
      <c r="P344" s="942"/>
      <c r="Q344" s="52">
        <f t="shared" si="53"/>
        <v>1</v>
      </c>
      <c r="R344" s="470">
        <f t="shared" si="54"/>
        <v>0</v>
      </c>
      <c r="S344" s="779">
        <f t="shared" ref="S344:S407" si="55">ROUND(R344*B344/10000,0)</f>
        <v>0</v>
      </c>
    </row>
    <row r="345" spans="1:19">
      <c r="A345" s="944"/>
      <c r="B345" s="131"/>
      <c r="C345" s="52">
        <f t="shared" si="46"/>
        <v>1</v>
      </c>
      <c r="D345" s="942"/>
      <c r="E345" s="52">
        <f t="shared" si="47"/>
        <v>0</v>
      </c>
      <c r="F345" s="942"/>
      <c r="G345" s="52">
        <f t="shared" si="48"/>
        <v>0</v>
      </c>
      <c r="H345" s="942"/>
      <c r="I345" s="52">
        <f t="shared" si="49"/>
        <v>0</v>
      </c>
      <c r="J345" s="942"/>
      <c r="K345" s="52">
        <f t="shared" si="50"/>
        <v>1</v>
      </c>
      <c r="L345" s="942"/>
      <c r="M345" s="52">
        <f t="shared" si="51"/>
        <v>1</v>
      </c>
      <c r="N345" s="942"/>
      <c r="O345" s="52">
        <f t="shared" si="52"/>
        <v>1</v>
      </c>
      <c r="P345" s="942"/>
      <c r="Q345" s="52">
        <f t="shared" si="53"/>
        <v>1</v>
      </c>
      <c r="R345" s="470">
        <f t="shared" si="54"/>
        <v>0</v>
      </c>
      <c r="S345" s="779">
        <f t="shared" si="55"/>
        <v>0</v>
      </c>
    </row>
    <row r="346" spans="1:19">
      <c r="A346" s="944"/>
      <c r="B346" s="131"/>
      <c r="C346" s="52">
        <f t="shared" ref="C346:C409" si="56">IF(B346="",1,(LOOKUP(B346,$3:$3,$4:$4)-LOOKUP($B$24,$3:$3,$4:$4)+100)/100)</f>
        <v>1</v>
      </c>
      <c r="D346" s="942"/>
      <c r="E346" s="52">
        <f t="shared" ref="E346:E409" si="57">(SUMIF($5:$5,D346,$6:$6)-SUMIF($5:$5,$D$24,$6:$6)+100)/100</f>
        <v>0</v>
      </c>
      <c r="F346" s="942"/>
      <c r="G346" s="52">
        <f t="shared" ref="G346:G409" si="58">(SUMIF($7:$7,F346,$8:$8)-SUMIF($7:$7,$F$24,$8:$8)+100)/100</f>
        <v>0</v>
      </c>
      <c r="H346" s="942"/>
      <c r="I346" s="52">
        <f t="shared" ref="I346:I409" si="59">(SUMIF($9:$9,H346,$10:$10)-SUMIF($9:$9,$H$24,$10:$10)+100)/100</f>
        <v>0</v>
      </c>
      <c r="J346" s="942"/>
      <c r="K346" s="52">
        <f t="shared" ref="K346:K409" si="60">(SUMIF($11:$11,J346,$12:$12)-SUMIF($11:$11,$J$24,$12:$12)+100)/100</f>
        <v>1</v>
      </c>
      <c r="L346" s="942"/>
      <c r="M346" s="52">
        <f t="shared" ref="M346:M409" si="61">(SUMIF($13:$13,L346,$14:$14)-SUMIF($13:$13,$L$24,$14:$14)+100)/100</f>
        <v>1</v>
      </c>
      <c r="N346" s="942"/>
      <c r="O346" s="52">
        <f t="shared" ref="O346:O409" si="62">(SUMIF($15:$15,N346,$16:$16)-SUMIF($15:$15,$N$24,$16:$16)+100)/100</f>
        <v>1</v>
      </c>
      <c r="P346" s="942"/>
      <c r="Q346" s="52">
        <f t="shared" ref="Q346:Q409" si="63">(SUMIF($17:$17,P346,$18:$18)-SUMIF($17:$17,$P$24,$18:$18)+100)/100</f>
        <v>1</v>
      </c>
      <c r="R346" s="470">
        <f t="shared" ref="R346:R409" si="64">IF(B346="",0,ROUND($R$24*C346*E346*G346*I346*K346*M346*O346*Q346,0))</f>
        <v>0</v>
      </c>
      <c r="S346" s="779">
        <f t="shared" si="55"/>
        <v>0</v>
      </c>
    </row>
    <row r="347" spans="1:19">
      <c r="A347" s="944"/>
      <c r="B347" s="131"/>
      <c r="C347" s="52">
        <f t="shared" si="56"/>
        <v>1</v>
      </c>
      <c r="D347" s="942"/>
      <c r="E347" s="52">
        <f t="shared" si="57"/>
        <v>0</v>
      </c>
      <c r="F347" s="942"/>
      <c r="G347" s="52">
        <f t="shared" si="58"/>
        <v>0</v>
      </c>
      <c r="H347" s="942"/>
      <c r="I347" s="52">
        <f t="shared" si="59"/>
        <v>0</v>
      </c>
      <c r="J347" s="942"/>
      <c r="K347" s="52">
        <f t="shared" si="60"/>
        <v>1</v>
      </c>
      <c r="L347" s="942"/>
      <c r="M347" s="52">
        <f t="shared" si="61"/>
        <v>1</v>
      </c>
      <c r="N347" s="942"/>
      <c r="O347" s="52">
        <f t="shared" si="62"/>
        <v>1</v>
      </c>
      <c r="P347" s="942"/>
      <c r="Q347" s="52">
        <f t="shared" si="63"/>
        <v>1</v>
      </c>
      <c r="R347" s="470">
        <f t="shared" si="64"/>
        <v>0</v>
      </c>
      <c r="S347" s="779">
        <f t="shared" si="55"/>
        <v>0</v>
      </c>
    </row>
    <row r="348" spans="1:19">
      <c r="A348" s="944"/>
      <c r="B348" s="131"/>
      <c r="C348" s="52">
        <f t="shared" si="56"/>
        <v>1</v>
      </c>
      <c r="D348" s="942"/>
      <c r="E348" s="52">
        <f t="shared" si="57"/>
        <v>0</v>
      </c>
      <c r="F348" s="942"/>
      <c r="G348" s="52">
        <f t="shared" si="58"/>
        <v>0</v>
      </c>
      <c r="H348" s="942"/>
      <c r="I348" s="52">
        <f t="shared" si="59"/>
        <v>0</v>
      </c>
      <c r="J348" s="942"/>
      <c r="K348" s="52">
        <f t="shared" si="60"/>
        <v>1</v>
      </c>
      <c r="L348" s="942"/>
      <c r="M348" s="52">
        <f t="shared" si="61"/>
        <v>1</v>
      </c>
      <c r="N348" s="942"/>
      <c r="O348" s="52">
        <f t="shared" si="62"/>
        <v>1</v>
      </c>
      <c r="P348" s="942"/>
      <c r="Q348" s="52">
        <f t="shared" si="63"/>
        <v>1</v>
      </c>
      <c r="R348" s="470">
        <f t="shared" si="64"/>
        <v>0</v>
      </c>
      <c r="S348" s="779">
        <f t="shared" si="55"/>
        <v>0</v>
      </c>
    </row>
    <row r="349" spans="1:19">
      <c r="A349" s="944"/>
      <c r="B349" s="131"/>
      <c r="C349" s="52">
        <f t="shared" si="56"/>
        <v>1</v>
      </c>
      <c r="D349" s="942"/>
      <c r="E349" s="52">
        <f t="shared" si="57"/>
        <v>0</v>
      </c>
      <c r="F349" s="942"/>
      <c r="G349" s="52">
        <f t="shared" si="58"/>
        <v>0</v>
      </c>
      <c r="H349" s="942"/>
      <c r="I349" s="52">
        <f t="shared" si="59"/>
        <v>0</v>
      </c>
      <c r="J349" s="942"/>
      <c r="K349" s="52">
        <f t="shared" si="60"/>
        <v>1</v>
      </c>
      <c r="L349" s="942"/>
      <c r="M349" s="52">
        <f t="shared" si="61"/>
        <v>1</v>
      </c>
      <c r="N349" s="942"/>
      <c r="O349" s="52">
        <f t="shared" si="62"/>
        <v>1</v>
      </c>
      <c r="P349" s="942"/>
      <c r="Q349" s="52">
        <f t="shared" si="63"/>
        <v>1</v>
      </c>
      <c r="R349" s="470">
        <f t="shared" si="64"/>
        <v>0</v>
      </c>
      <c r="S349" s="779">
        <f t="shared" si="55"/>
        <v>0</v>
      </c>
    </row>
    <row r="350" spans="1:19">
      <c r="A350" s="944"/>
      <c r="B350" s="131"/>
      <c r="C350" s="52">
        <f t="shared" si="56"/>
        <v>1</v>
      </c>
      <c r="D350" s="942"/>
      <c r="E350" s="52">
        <f t="shared" si="57"/>
        <v>0</v>
      </c>
      <c r="F350" s="942"/>
      <c r="G350" s="52">
        <f t="shared" si="58"/>
        <v>0</v>
      </c>
      <c r="H350" s="942"/>
      <c r="I350" s="52">
        <f t="shared" si="59"/>
        <v>0</v>
      </c>
      <c r="J350" s="942"/>
      <c r="K350" s="52">
        <f t="shared" si="60"/>
        <v>1</v>
      </c>
      <c r="L350" s="942"/>
      <c r="M350" s="52">
        <f t="shared" si="61"/>
        <v>1</v>
      </c>
      <c r="N350" s="942"/>
      <c r="O350" s="52">
        <f t="shared" si="62"/>
        <v>1</v>
      </c>
      <c r="P350" s="942"/>
      <c r="Q350" s="52">
        <f t="shared" si="63"/>
        <v>1</v>
      </c>
      <c r="R350" s="470">
        <f t="shared" si="64"/>
        <v>0</v>
      </c>
      <c r="S350" s="779">
        <f t="shared" si="55"/>
        <v>0</v>
      </c>
    </row>
    <row r="351" spans="1:19">
      <c r="A351" s="944"/>
      <c r="B351" s="131"/>
      <c r="C351" s="52">
        <f t="shared" si="56"/>
        <v>1</v>
      </c>
      <c r="D351" s="942"/>
      <c r="E351" s="52">
        <f t="shared" si="57"/>
        <v>0</v>
      </c>
      <c r="F351" s="942"/>
      <c r="G351" s="52">
        <f t="shared" si="58"/>
        <v>0</v>
      </c>
      <c r="H351" s="942"/>
      <c r="I351" s="52">
        <f t="shared" si="59"/>
        <v>0</v>
      </c>
      <c r="J351" s="942"/>
      <c r="K351" s="52">
        <f t="shared" si="60"/>
        <v>1</v>
      </c>
      <c r="L351" s="942"/>
      <c r="M351" s="52">
        <f t="shared" si="61"/>
        <v>1</v>
      </c>
      <c r="N351" s="942"/>
      <c r="O351" s="52">
        <f t="shared" si="62"/>
        <v>1</v>
      </c>
      <c r="P351" s="942"/>
      <c r="Q351" s="52">
        <f t="shared" si="63"/>
        <v>1</v>
      </c>
      <c r="R351" s="470">
        <f t="shared" si="64"/>
        <v>0</v>
      </c>
      <c r="S351" s="779">
        <f t="shared" si="55"/>
        <v>0</v>
      </c>
    </row>
    <row r="352" spans="1:19">
      <c r="A352" s="944"/>
      <c r="B352" s="131"/>
      <c r="C352" s="52">
        <f t="shared" si="56"/>
        <v>1</v>
      </c>
      <c r="D352" s="942"/>
      <c r="E352" s="52">
        <f t="shared" si="57"/>
        <v>0</v>
      </c>
      <c r="F352" s="942"/>
      <c r="G352" s="52">
        <f t="shared" si="58"/>
        <v>0</v>
      </c>
      <c r="H352" s="942"/>
      <c r="I352" s="52">
        <f t="shared" si="59"/>
        <v>0</v>
      </c>
      <c r="J352" s="942"/>
      <c r="K352" s="52">
        <f t="shared" si="60"/>
        <v>1</v>
      </c>
      <c r="L352" s="942"/>
      <c r="M352" s="52">
        <f t="shared" si="61"/>
        <v>1</v>
      </c>
      <c r="N352" s="942"/>
      <c r="O352" s="52">
        <f t="shared" si="62"/>
        <v>1</v>
      </c>
      <c r="P352" s="942"/>
      <c r="Q352" s="52">
        <f t="shared" si="63"/>
        <v>1</v>
      </c>
      <c r="R352" s="470">
        <f t="shared" si="64"/>
        <v>0</v>
      </c>
      <c r="S352" s="779">
        <f t="shared" si="55"/>
        <v>0</v>
      </c>
    </row>
    <row r="353" spans="1:19">
      <c r="A353" s="944"/>
      <c r="B353" s="131"/>
      <c r="C353" s="52">
        <f t="shared" si="56"/>
        <v>1</v>
      </c>
      <c r="D353" s="942"/>
      <c r="E353" s="52">
        <f t="shared" si="57"/>
        <v>0</v>
      </c>
      <c r="F353" s="942"/>
      <c r="G353" s="52">
        <f t="shared" si="58"/>
        <v>0</v>
      </c>
      <c r="H353" s="942"/>
      <c r="I353" s="52">
        <f t="shared" si="59"/>
        <v>0</v>
      </c>
      <c r="J353" s="942"/>
      <c r="K353" s="52">
        <f t="shared" si="60"/>
        <v>1</v>
      </c>
      <c r="L353" s="942"/>
      <c r="M353" s="52">
        <f t="shared" si="61"/>
        <v>1</v>
      </c>
      <c r="N353" s="942"/>
      <c r="O353" s="52">
        <f t="shared" si="62"/>
        <v>1</v>
      </c>
      <c r="P353" s="942"/>
      <c r="Q353" s="52">
        <f t="shared" si="63"/>
        <v>1</v>
      </c>
      <c r="R353" s="470">
        <f t="shared" si="64"/>
        <v>0</v>
      </c>
      <c r="S353" s="779">
        <f t="shared" si="55"/>
        <v>0</v>
      </c>
    </row>
    <row r="354" spans="1:19">
      <c r="A354" s="944"/>
      <c r="B354" s="131"/>
      <c r="C354" s="52">
        <f t="shared" si="56"/>
        <v>1</v>
      </c>
      <c r="D354" s="942"/>
      <c r="E354" s="52">
        <f t="shared" si="57"/>
        <v>0</v>
      </c>
      <c r="F354" s="942"/>
      <c r="G354" s="52">
        <f t="shared" si="58"/>
        <v>0</v>
      </c>
      <c r="H354" s="942"/>
      <c r="I354" s="52">
        <f t="shared" si="59"/>
        <v>0</v>
      </c>
      <c r="J354" s="942"/>
      <c r="K354" s="52">
        <f t="shared" si="60"/>
        <v>1</v>
      </c>
      <c r="L354" s="942"/>
      <c r="M354" s="52">
        <f t="shared" si="61"/>
        <v>1</v>
      </c>
      <c r="N354" s="942"/>
      <c r="O354" s="52">
        <f t="shared" si="62"/>
        <v>1</v>
      </c>
      <c r="P354" s="942"/>
      <c r="Q354" s="52">
        <f t="shared" si="63"/>
        <v>1</v>
      </c>
      <c r="R354" s="470">
        <f t="shared" si="64"/>
        <v>0</v>
      </c>
      <c r="S354" s="779">
        <f t="shared" si="55"/>
        <v>0</v>
      </c>
    </row>
    <row r="355" spans="1:19">
      <c r="A355" s="944"/>
      <c r="B355" s="131"/>
      <c r="C355" s="52">
        <f t="shared" si="56"/>
        <v>1</v>
      </c>
      <c r="D355" s="942"/>
      <c r="E355" s="52">
        <f t="shared" si="57"/>
        <v>0</v>
      </c>
      <c r="F355" s="942"/>
      <c r="G355" s="52">
        <f t="shared" si="58"/>
        <v>0</v>
      </c>
      <c r="H355" s="942"/>
      <c r="I355" s="52">
        <f t="shared" si="59"/>
        <v>0</v>
      </c>
      <c r="J355" s="942"/>
      <c r="K355" s="52">
        <f t="shared" si="60"/>
        <v>1</v>
      </c>
      <c r="L355" s="942"/>
      <c r="M355" s="52">
        <f t="shared" si="61"/>
        <v>1</v>
      </c>
      <c r="N355" s="942"/>
      <c r="O355" s="52">
        <f t="shared" si="62"/>
        <v>1</v>
      </c>
      <c r="P355" s="942"/>
      <c r="Q355" s="52">
        <f t="shared" si="63"/>
        <v>1</v>
      </c>
      <c r="R355" s="470">
        <f t="shared" si="64"/>
        <v>0</v>
      </c>
      <c r="S355" s="779">
        <f t="shared" si="55"/>
        <v>0</v>
      </c>
    </row>
    <row r="356" spans="1:19">
      <c r="A356" s="944"/>
      <c r="B356" s="131"/>
      <c r="C356" s="52">
        <f t="shared" si="56"/>
        <v>1</v>
      </c>
      <c r="D356" s="942"/>
      <c r="E356" s="52">
        <f t="shared" si="57"/>
        <v>0</v>
      </c>
      <c r="F356" s="942"/>
      <c r="G356" s="52">
        <f t="shared" si="58"/>
        <v>0</v>
      </c>
      <c r="H356" s="942"/>
      <c r="I356" s="52">
        <f t="shared" si="59"/>
        <v>0</v>
      </c>
      <c r="J356" s="942"/>
      <c r="K356" s="52">
        <f t="shared" si="60"/>
        <v>1</v>
      </c>
      <c r="L356" s="942"/>
      <c r="M356" s="52">
        <f t="shared" si="61"/>
        <v>1</v>
      </c>
      <c r="N356" s="942"/>
      <c r="O356" s="52">
        <f t="shared" si="62"/>
        <v>1</v>
      </c>
      <c r="P356" s="942"/>
      <c r="Q356" s="52">
        <f t="shared" si="63"/>
        <v>1</v>
      </c>
      <c r="R356" s="470">
        <f t="shared" si="64"/>
        <v>0</v>
      </c>
      <c r="S356" s="779">
        <f t="shared" si="55"/>
        <v>0</v>
      </c>
    </row>
    <row r="357" spans="1:19">
      <c r="A357" s="944"/>
      <c r="B357" s="131"/>
      <c r="C357" s="52">
        <f t="shared" si="56"/>
        <v>1</v>
      </c>
      <c r="D357" s="942"/>
      <c r="E357" s="52">
        <f t="shared" si="57"/>
        <v>0</v>
      </c>
      <c r="F357" s="942"/>
      <c r="G357" s="52">
        <f t="shared" si="58"/>
        <v>0</v>
      </c>
      <c r="H357" s="942"/>
      <c r="I357" s="52">
        <f t="shared" si="59"/>
        <v>0</v>
      </c>
      <c r="J357" s="942"/>
      <c r="K357" s="52">
        <f t="shared" si="60"/>
        <v>1</v>
      </c>
      <c r="L357" s="942"/>
      <c r="M357" s="52">
        <f t="shared" si="61"/>
        <v>1</v>
      </c>
      <c r="N357" s="942"/>
      <c r="O357" s="52">
        <f t="shared" si="62"/>
        <v>1</v>
      </c>
      <c r="P357" s="942"/>
      <c r="Q357" s="52">
        <f t="shared" si="63"/>
        <v>1</v>
      </c>
      <c r="R357" s="470">
        <f t="shared" si="64"/>
        <v>0</v>
      </c>
      <c r="S357" s="779">
        <f t="shared" si="55"/>
        <v>0</v>
      </c>
    </row>
    <row r="358" spans="1:19">
      <c r="A358" s="944"/>
      <c r="B358" s="131"/>
      <c r="C358" s="52">
        <f t="shared" si="56"/>
        <v>1</v>
      </c>
      <c r="D358" s="942"/>
      <c r="E358" s="52">
        <f t="shared" si="57"/>
        <v>0</v>
      </c>
      <c r="F358" s="942"/>
      <c r="G358" s="52">
        <f t="shared" si="58"/>
        <v>0</v>
      </c>
      <c r="H358" s="942"/>
      <c r="I358" s="52">
        <f t="shared" si="59"/>
        <v>0</v>
      </c>
      <c r="J358" s="942"/>
      <c r="K358" s="52">
        <f t="shared" si="60"/>
        <v>1</v>
      </c>
      <c r="L358" s="942"/>
      <c r="M358" s="52">
        <f t="shared" si="61"/>
        <v>1</v>
      </c>
      <c r="N358" s="942"/>
      <c r="O358" s="52">
        <f t="shared" si="62"/>
        <v>1</v>
      </c>
      <c r="P358" s="942"/>
      <c r="Q358" s="52">
        <f t="shared" si="63"/>
        <v>1</v>
      </c>
      <c r="R358" s="470">
        <f t="shared" si="64"/>
        <v>0</v>
      </c>
      <c r="S358" s="779">
        <f t="shared" si="55"/>
        <v>0</v>
      </c>
    </row>
    <row r="359" spans="1:19">
      <c r="A359" s="944"/>
      <c r="B359" s="131"/>
      <c r="C359" s="52">
        <f t="shared" si="56"/>
        <v>1</v>
      </c>
      <c r="D359" s="942"/>
      <c r="E359" s="52">
        <f t="shared" si="57"/>
        <v>0</v>
      </c>
      <c r="F359" s="942"/>
      <c r="G359" s="52">
        <f t="shared" si="58"/>
        <v>0</v>
      </c>
      <c r="H359" s="942"/>
      <c r="I359" s="52">
        <f t="shared" si="59"/>
        <v>0</v>
      </c>
      <c r="J359" s="942"/>
      <c r="K359" s="52">
        <f t="shared" si="60"/>
        <v>1</v>
      </c>
      <c r="L359" s="942"/>
      <c r="M359" s="52">
        <f t="shared" si="61"/>
        <v>1</v>
      </c>
      <c r="N359" s="942"/>
      <c r="O359" s="52">
        <f t="shared" si="62"/>
        <v>1</v>
      </c>
      <c r="P359" s="942"/>
      <c r="Q359" s="52">
        <f t="shared" si="63"/>
        <v>1</v>
      </c>
      <c r="R359" s="470">
        <f t="shared" si="64"/>
        <v>0</v>
      </c>
      <c r="S359" s="779">
        <f t="shared" si="55"/>
        <v>0</v>
      </c>
    </row>
    <row r="360" spans="1:19">
      <c r="A360" s="944"/>
      <c r="B360" s="131"/>
      <c r="C360" s="52">
        <f t="shared" si="56"/>
        <v>1</v>
      </c>
      <c r="D360" s="942"/>
      <c r="E360" s="52">
        <f t="shared" si="57"/>
        <v>0</v>
      </c>
      <c r="F360" s="942"/>
      <c r="G360" s="52">
        <f t="shared" si="58"/>
        <v>0</v>
      </c>
      <c r="H360" s="942"/>
      <c r="I360" s="52">
        <f t="shared" si="59"/>
        <v>0</v>
      </c>
      <c r="J360" s="942"/>
      <c r="K360" s="52">
        <f t="shared" si="60"/>
        <v>1</v>
      </c>
      <c r="L360" s="942"/>
      <c r="M360" s="52">
        <f t="shared" si="61"/>
        <v>1</v>
      </c>
      <c r="N360" s="942"/>
      <c r="O360" s="52">
        <f t="shared" si="62"/>
        <v>1</v>
      </c>
      <c r="P360" s="942"/>
      <c r="Q360" s="52">
        <f t="shared" si="63"/>
        <v>1</v>
      </c>
      <c r="R360" s="470">
        <f t="shared" si="64"/>
        <v>0</v>
      </c>
      <c r="S360" s="779">
        <f t="shared" si="55"/>
        <v>0</v>
      </c>
    </row>
    <row r="361" spans="1:19">
      <c r="A361" s="944"/>
      <c r="B361" s="131"/>
      <c r="C361" s="52">
        <f t="shared" si="56"/>
        <v>1</v>
      </c>
      <c r="D361" s="942"/>
      <c r="E361" s="52">
        <f t="shared" si="57"/>
        <v>0</v>
      </c>
      <c r="F361" s="942"/>
      <c r="G361" s="52">
        <f t="shared" si="58"/>
        <v>0</v>
      </c>
      <c r="H361" s="942"/>
      <c r="I361" s="52">
        <f t="shared" si="59"/>
        <v>0</v>
      </c>
      <c r="J361" s="942"/>
      <c r="K361" s="52">
        <f t="shared" si="60"/>
        <v>1</v>
      </c>
      <c r="L361" s="942"/>
      <c r="M361" s="52">
        <f t="shared" si="61"/>
        <v>1</v>
      </c>
      <c r="N361" s="942"/>
      <c r="O361" s="52">
        <f t="shared" si="62"/>
        <v>1</v>
      </c>
      <c r="P361" s="942"/>
      <c r="Q361" s="52">
        <f t="shared" si="63"/>
        <v>1</v>
      </c>
      <c r="R361" s="470">
        <f t="shared" si="64"/>
        <v>0</v>
      </c>
      <c r="S361" s="779">
        <f t="shared" si="55"/>
        <v>0</v>
      </c>
    </row>
    <row r="362" spans="1:19">
      <c r="A362" s="944"/>
      <c r="B362" s="131"/>
      <c r="C362" s="52">
        <f t="shared" si="56"/>
        <v>1</v>
      </c>
      <c r="D362" s="942"/>
      <c r="E362" s="52">
        <f t="shared" si="57"/>
        <v>0</v>
      </c>
      <c r="F362" s="942"/>
      <c r="G362" s="52">
        <f t="shared" si="58"/>
        <v>0</v>
      </c>
      <c r="H362" s="942"/>
      <c r="I362" s="52">
        <f t="shared" si="59"/>
        <v>0</v>
      </c>
      <c r="J362" s="942"/>
      <c r="K362" s="52">
        <f t="shared" si="60"/>
        <v>1</v>
      </c>
      <c r="L362" s="942"/>
      <c r="M362" s="52">
        <f t="shared" si="61"/>
        <v>1</v>
      </c>
      <c r="N362" s="942"/>
      <c r="O362" s="52">
        <f t="shared" si="62"/>
        <v>1</v>
      </c>
      <c r="P362" s="942"/>
      <c r="Q362" s="52">
        <f t="shared" si="63"/>
        <v>1</v>
      </c>
      <c r="R362" s="470">
        <f t="shared" si="64"/>
        <v>0</v>
      </c>
      <c r="S362" s="779">
        <f t="shared" si="55"/>
        <v>0</v>
      </c>
    </row>
    <row r="363" spans="1:19">
      <c r="A363" s="944"/>
      <c r="B363" s="131"/>
      <c r="C363" s="52">
        <f t="shared" si="56"/>
        <v>1</v>
      </c>
      <c r="D363" s="942"/>
      <c r="E363" s="52">
        <f t="shared" si="57"/>
        <v>0</v>
      </c>
      <c r="F363" s="942"/>
      <c r="G363" s="52">
        <f t="shared" si="58"/>
        <v>0</v>
      </c>
      <c r="H363" s="942"/>
      <c r="I363" s="52">
        <f t="shared" si="59"/>
        <v>0</v>
      </c>
      <c r="J363" s="942"/>
      <c r="K363" s="52">
        <f t="shared" si="60"/>
        <v>1</v>
      </c>
      <c r="L363" s="942"/>
      <c r="M363" s="52">
        <f t="shared" si="61"/>
        <v>1</v>
      </c>
      <c r="N363" s="942"/>
      <c r="O363" s="52">
        <f t="shared" si="62"/>
        <v>1</v>
      </c>
      <c r="P363" s="942"/>
      <c r="Q363" s="52">
        <f t="shared" si="63"/>
        <v>1</v>
      </c>
      <c r="R363" s="470">
        <f t="shared" si="64"/>
        <v>0</v>
      </c>
      <c r="S363" s="779">
        <f t="shared" si="55"/>
        <v>0</v>
      </c>
    </row>
    <row r="364" spans="1:19">
      <c r="A364" s="944"/>
      <c r="B364" s="131"/>
      <c r="C364" s="52">
        <f t="shared" si="56"/>
        <v>1</v>
      </c>
      <c r="D364" s="942"/>
      <c r="E364" s="52">
        <f t="shared" si="57"/>
        <v>0</v>
      </c>
      <c r="F364" s="942"/>
      <c r="G364" s="52">
        <f t="shared" si="58"/>
        <v>0</v>
      </c>
      <c r="H364" s="942"/>
      <c r="I364" s="52">
        <f t="shared" si="59"/>
        <v>0</v>
      </c>
      <c r="J364" s="942"/>
      <c r="K364" s="52">
        <f t="shared" si="60"/>
        <v>1</v>
      </c>
      <c r="L364" s="942"/>
      <c r="M364" s="52">
        <f t="shared" si="61"/>
        <v>1</v>
      </c>
      <c r="N364" s="942"/>
      <c r="O364" s="52">
        <f t="shared" si="62"/>
        <v>1</v>
      </c>
      <c r="P364" s="942"/>
      <c r="Q364" s="52">
        <f t="shared" si="63"/>
        <v>1</v>
      </c>
      <c r="R364" s="470">
        <f t="shared" si="64"/>
        <v>0</v>
      </c>
      <c r="S364" s="779">
        <f t="shared" si="55"/>
        <v>0</v>
      </c>
    </row>
    <row r="365" spans="1:19">
      <c r="A365" s="944"/>
      <c r="B365" s="131"/>
      <c r="C365" s="52">
        <f t="shared" si="56"/>
        <v>1</v>
      </c>
      <c r="D365" s="942"/>
      <c r="E365" s="52">
        <f t="shared" si="57"/>
        <v>0</v>
      </c>
      <c r="F365" s="942"/>
      <c r="G365" s="52">
        <f t="shared" si="58"/>
        <v>0</v>
      </c>
      <c r="H365" s="942"/>
      <c r="I365" s="52">
        <f t="shared" si="59"/>
        <v>0</v>
      </c>
      <c r="J365" s="942"/>
      <c r="K365" s="52">
        <f t="shared" si="60"/>
        <v>1</v>
      </c>
      <c r="L365" s="942"/>
      <c r="M365" s="52">
        <f t="shared" si="61"/>
        <v>1</v>
      </c>
      <c r="N365" s="942"/>
      <c r="O365" s="52">
        <f t="shared" si="62"/>
        <v>1</v>
      </c>
      <c r="P365" s="942"/>
      <c r="Q365" s="52">
        <f t="shared" si="63"/>
        <v>1</v>
      </c>
      <c r="R365" s="470">
        <f t="shared" si="64"/>
        <v>0</v>
      </c>
      <c r="S365" s="779">
        <f t="shared" si="55"/>
        <v>0</v>
      </c>
    </row>
    <row r="366" spans="1:19">
      <c r="A366" s="944"/>
      <c r="B366" s="131"/>
      <c r="C366" s="52">
        <f t="shared" si="56"/>
        <v>1</v>
      </c>
      <c r="D366" s="942"/>
      <c r="E366" s="52">
        <f t="shared" si="57"/>
        <v>0</v>
      </c>
      <c r="F366" s="942"/>
      <c r="G366" s="52">
        <f t="shared" si="58"/>
        <v>0</v>
      </c>
      <c r="H366" s="942"/>
      <c r="I366" s="52">
        <f t="shared" si="59"/>
        <v>0</v>
      </c>
      <c r="J366" s="942"/>
      <c r="K366" s="52">
        <f t="shared" si="60"/>
        <v>1</v>
      </c>
      <c r="L366" s="942"/>
      <c r="M366" s="52">
        <f t="shared" si="61"/>
        <v>1</v>
      </c>
      <c r="N366" s="942"/>
      <c r="O366" s="52">
        <f t="shared" si="62"/>
        <v>1</v>
      </c>
      <c r="P366" s="942"/>
      <c r="Q366" s="52">
        <f t="shared" si="63"/>
        <v>1</v>
      </c>
      <c r="R366" s="470">
        <f t="shared" si="64"/>
        <v>0</v>
      </c>
      <c r="S366" s="779">
        <f t="shared" si="55"/>
        <v>0</v>
      </c>
    </row>
    <row r="367" spans="1:19">
      <c r="A367" s="944"/>
      <c r="B367" s="131"/>
      <c r="C367" s="52">
        <f t="shared" si="56"/>
        <v>1</v>
      </c>
      <c r="D367" s="942"/>
      <c r="E367" s="52">
        <f t="shared" si="57"/>
        <v>0</v>
      </c>
      <c r="F367" s="942"/>
      <c r="G367" s="52">
        <f t="shared" si="58"/>
        <v>0</v>
      </c>
      <c r="H367" s="942"/>
      <c r="I367" s="52">
        <f t="shared" si="59"/>
        <v>0</v>
      </c>
      <c r="J367" s="942"/>
      <c r="K367" s="52">
        <f t="shared" si="60"/>
        <v>1</v>
      </c>
      <c r="L367" s="942"/>
      <c r="M367" s="52">
        <f t="shared" si="61"/>
        <v>1</v>
      </c>
      <c r="N367" s="942"/>
      <c r="O367" s="52">
        <f t="shared" si="62"/>
        <v>1</v>
      </c>
      <c r="P367" s="942"/>
      <c r="Q367" s="52">
        <f t="shared" si="63"/>
        <v>1</v>
      </c>
      <c r="R367" s="470">
        <f t="shared" si="64"/>
        <v>0</v>
      </c>
      <c r="S367" s="779">
        <f t="shared" si="55"/>
        <v>0</v>
      </c>
    </row>
    <row r="368" spans="1:19">
      <c r="A368" s="944"/>
      <c r="B368" s="131"/>
      <c r="C368" s="52">
        <f t="shared" si="56"/>
        <v>1</v>
      </c>
      <c r="D368" s="942"/>
      <c r="E368" s="52">
        <f t="shared" si="57"/>
        <v>0</v>
      </c>
      <c r="F368" s="942"/>
      <c r="G368" s="52">
        <f t="shared" si="58"/>
        <v>0</v>
      </c>
      <c r="H368" s="942"/>
      <c r="I368" s="52">
        <f t="shared" si="59"/>
        <v>0</v>
      </c>
      <c r="J368" s="942"/>
      <c r="K368" s="52">
        <f t="shared" si="60"/>
        <v>1</v>
      </c>
      <c r="L368" s="942"/>
      <c r="M368" s="52">
        <f t="shared" si="61"/>
        <v>1</v>
      </c>
      <c r="N368" s="942"/>
      <c r="O368" s="52">
        <f t="shared" si="62"/>
        <v>1</v>
      </c>
      <c r="P368" s="942"/>
      <c r="Q368" s="52">
        <f t="shared" si="63"/>
        <v>1</v>
      </c>
      <c r="R368" s="470">
        <f t="shared" si="64"/>
        <v>0</v>
      </c>
      <c r="S368" s="779">
        <f t="shared" si="55"/>
        <v>0</v>
      </c>
    </row>
    <row r="369" spans="1:19">
      <c r="A369" s="944"/>
      <c r="B369" s="131"/>
      <c r="C369" s="52">
        <f t="shared" si="56"/>
        <v>1</v>
      </c>
      <c r="D369" s="942"/>
      <c r="E369" s="52">
        <f t="shared" si="57"/>
        <v>0</v>
      </c>
      <c r="F369" s="942"/>
      <c r="G369" s="52">
        <f t="shared" si="58"/>
        <v>0</v>
      </c>
      <c r="H369" s="942"/>
      <c r="I369" s="52">
        <f t="shared" si="59"/>
        <v>0</v>
      </c>
      <c r="J369" s="942"/>
      <c r="K369" s="52">
        <f t="shared" si="60"/>
        <v>1</v>
      </c>
      <c r="L369" s="942"/>
      <c r="M369" s="52">
        <f t="shared" si="61"/>
        <v>1</v>
      </c>
      <c r="N369" s="942"/>
      <c r="O369" s="52">
        <f t="shared" si="62"/>
        <v>1</v>
      </c>
      <c r="P369" s="942"/>
      <c r="Q369" s="52">
        <f t="shared" si="63"/>
        <v>1</v>
      </c>
      <c r="R369" s="470">
        <f t="shared" si="64"/>
        <v>0</v>
      </c>
      <c r="S369" s="779">
        <f t="shared" si="55"/>
        <v>0</v>
      </c>
    </row>
    <row r="370" spans="1:19">
      <c r="A370" s="944"/>
      <c r="B370" s="131"/>
      <c r="C370" s="52">
        <f t="shared" si="56"/>
        <v>1</v>
      </c>
      <c r="D370" s="942"/>
      <c r="E370" s="52">
        <f t="shared" si="57"/>
        <v>0</v>
      </c>
      <c r="F370" s="942"/>
      <c r="G370" s="52">
        <f t="shared" si="58"/>
        <v>0</v>
      </c>
      <c r="H370" s="942"/>
      <c r="I370" s="52">
        <f t="shared" si="59"/>
        <v>0</v>
      </c>
      <c r="J370" s="942"/>
      <c r="K370" s="52">
        <f t="shared" si="60"/>
        <v>1</v>
      </c>
      <c r="L370" s="942"/>
      <c r="M370" s="52">
        <f t="shared" si="61"/>
        <v>1</v>
      </c>
      <c r="N370" s="942"/>
      <c r="O370" s="52">
        <f t="shared" si="62"/>
        <v>1</v>
      </c>
      <c r="P370" s="942"/>
      <c r="Q370" s="52">
        <f t="shared" si="63"/>
        <v>1</v>
      </c>
      <c r="R370" s="470">
        <f t="shared" si="64"/>
        <v>0</v>
      </c>
      <c r="S370" s="779">
        <f t="shared" si="55"/>
        <v>0</v>
      </c>
    </row>
    <row r="371" spans="1:19">
      <c r="A371" s="944"/>
      <c r="B371" s="131"/>
      <c r="C371" s="52">
        <f t="shared" si="56"/>
        <v>1</v>
      </c>
      <c r="D371" s="942"/>
      <c r="E371" s="52">
        <f t="shared" si="57"/>
        <v>0</v>
      </c>
      <c r="F371" s="942"/>
      <c r="G371" s="52">
        <f t="shared" si="58"/>
        <v>0</v>
      </c>
      <c r="H371" s="942"/>
      <c r="I371" s="52">
        <f t="shared" si="59"/>
        <v>0</v>
      </c>
      <c r="J371" s="942"/>
      <c r="K371" s="52">
        <f t="shared" si="60"/>
        <v>1</v>
      </c>
      <c r="L371" s="942"/>
      <c r="M371" s="52">
        <f t="shared" si="61"/>
        <v>1</v>
      </c>
      <c r="N371" s="942"/>
      <c r="O371" s="52">
        <f t="shared" si="62"/>
        <v>1</v>
      </c>
      <c r="P371" s="942"/>
      <c r="Q371" s="52">
        <f t="shared" si="63"/>
        <v>1</v>
      </c>
      <c r="R371" s="470">
        <f t="shared" si="64"/>
        <v>0</v>
      </c>
      <c r="S371" s="779">
        <f t="shared" si="55"/>
        <v>0</v>
      </c>
    </row>
    <row r="372" spans="1:19">
      <c r="A372" s="944"/>
      <c r="B372" s="131"/>
      <c r="C372" s="52">
        <f t="shared" si="56"/>
        <v>1</v>
      </c>
      <c r="D372" s="942"/>
      <c r="E372" s="52">
        <f t="shared" si="57"/>
        <v>0</v>
      </c>
      <c r="F372" s="942"/>
      <c r="G372" s="52">
        <f t="shared" si="58"/>
        <v>0</v>
      </c>
      <c r="H372" s="942"/>
      <c r="I372" s="52">
        <f t="shared" si="59"/>
        <v>0</v>
      </c>
      <c r="J372" s="942"/>
      <c r="K372" s="52">
        <f t="shared" si="60"/>
        <v>1</v>
      </c>
      <c r="L372" s="942"/>
      <c r="M372" s="52">
        <f t="shared" si="61"/>
        <v>1</v>
      </c>
      <c r="N372" s="942"/>
      <c r="O372" s="52">
        <f t="shared" si="62"/>
        <v>1</v>
      </c>
      <c r="P372" s="942"/>
      <c r="Q372" s="52">
        <f t="shared" si="63"/>
        <v>1</v>
      </c>
      <c r="R372" s="470">
        <f t="shared" si="64"/>
        <v>0</v>
      </c>
      <c r="S372" s="779">
        <f t="shared" si="55"/>
        <v>0</v>
      </c>
    </row>
    <row r="373" spans="1:19">
      <c r="A373" s="944"/>
      <c r="B373" s="131"/>
      <c r="C373" s="52">
        <f t="shared" si="56"/>
        <v>1</v>
      </c>
      <c r="D373" s="942"/>
      <c r="E373" s="52">
        <f t="shared" si="57"/>
        <v>0</v>
      </c>
      <c r="F373" s="942"/>
      <c r="G373" s="52">
        <f t="shared" si="58"/>
        <v>0</v>
      </c>
      <c r="H373" s="942"/>
      <c r="I373" s="52">
        <f t="shared" si="59"/>
        <v>0</v>
      </c>
      <c r="J373" s="942"/>
      <c r="K373" s="52">
        <f t="shared" si="60"/>
        <v>1</v>
      </c>
      <c r="L373" s="942"/>
      <c r="M373" s="52">
        <f t="shared" si="61"/>
        <v>1</v>
      </c>
      <c r="N373" s="942"/>
      <c r="O373" s="52">
        <f t="shared" si="62"/>
        <v>1</v>
      </c>
      <c r="P373" s="942"/>
      <c r="Q373" s="52">
        <f t="shared" si="63"/>
        <v>1</v>
      </c>
      <c r="R373" s="470">
        <f t="shared" si="64"/>
        <v>0</v>
      </c>
      <c r="S373" s="779">
        <f t="shared" si="55"/>
        <v>0</v>
      </c>
    </row>
    <row r="374" spans="1:19">
      <c r="A374" s="944"/>
      <c r="B374" s="131"/>
      <c r="C374" s="52">
        <f t="shared" si="56"/>
        <v>1</v>
      </c>
      <c r="D374" s="942"/>
      <c r="E374" s="52">
        <f t="shared" si="57"/>
        <v>0</v>
      </c>
      <c r="F374" s="942"/>
      <c r="G374" s="52">
        <f t="shared" si="58"/>
        <v>0</v>
      </c>
      <c r="H374" s="942"/>
      <c r="I374" s="52">
        <f t="shared" si="59"/>
        <v>0</v>
      </c>
      <c r="J374" s="942"/>
      <c r="K374" s="52">
        <f t="shared" si="60"/>
        <v>1</v>
      </c>
      <c r="L374" s="942"/>
      <c r="M374" s="52">
        <f t="shared" si="61"/>
        <v>1</v>
      </c>
      <c r="N374" s="942"/>
      <c r="O374" s="52">
        <f t="shared" si="62"/>
        <v>1</v>
      </c>
      <c r="P374" s="942"/>
      <c r="Q374" s="52">
        <f t="shared" si="63"/>
        <v>1</v>
      </c>
      <c r="R374" s="470">
        <f t="shared" si="64"/>
        <v>0</v>
      </c>
      <c r="S374" s="779">
        <f t="shared" si="55"/>
        <v>0</v>
      </c>
    </row>
    <row r="375" spans="1:19">
      <c r="A375" s="944"/>
      <c r="B375" s="131"/>
      <c r="C375" s="52">
        <f t="shared" si="56"/>
        <v>1</v>
      </c>
      <c r="D375" s="942"/>
      <c r="E375" s="52">
        <f t="shared" si="57"/>
        <v>0</v>
      </c>
      <c r="F375" s="942"/>
      <c r="G375" s="52">
        <f t="shared" si="58"/>
        <v>0</v>
      </c>
      <c r="H375" s="942"/>
      <c r="I375" s="52">
        <f t="shared" si="59"/>
        <v>0</v>
      </c>
      <c r="J375" s="942"/>
      <c r="K375" s="52">
        <f t="shared" si="60"/>
        <v>1</v>
      </c>
      <c r="L375" s="942"/>
      <c r="M375" s="52">
        <f t="shared" si="61"/>
        <v>1</v>
      </c>
      <c r="N375" s="942"/>
      <c r="O375" s="52">
        <f t="shared" si="62"/>
        <v>1</v>
      </c>
      <c r="P375" s="942"/>
      <c r="Q375" s="52">
        <f t="shared" si="63"/>
        <v>1</v>
      </c>
      <c r="R375" s="470">
        <f t="shared" si="64"/>
        <v>0</v>
      </c>
      <c r="S375" s="779">
        <f t="shared" si="55"/>
        <v>0</v>
      </c>
    </row>
    <row r="376" spans="1:19">
      <c r="A376" s="944"/>
      <c r="B376" s="131"/>
      <c r="C376" s="52">
        <f t="shared" si="56"/>
        <v>1</v>
      </c>
      <c r="D376" s="942"/>
      <c r="E376" s="52">
        <f t="shared" si="57"/>
        <v>0</v>
      </c>
      <c r="F376" s="942"/>
      <c r="G376" s="52">
        <f t="shared" si="58"/>
        <v>0</v>
      </c>
      <c r="H376" s="942"/>
      <c r="I376" s="52">
        <f t="shared" si="59"/>
        <v>0</v>
      </c>
      <c r="J376" s="942"/>
      <c r="K376" s="52">
        <f t="shared" si="60"/>
        <v>1</v>
      </c>
      <c r="L376" s="942"/>
      <c r="M376" s="52">
        <f t="shared" si="61"/>
        <v>1</v>
      </c>
      <c r="N376" s="942"/>
      <c r="O376" s="52">
        <f t="shared" si="62"/>
        <v>1</v>
      </c>
      <c r="P376" s="942"/>
      <c r="Q376" s="52">
        <f t="shared" si="63"/>
        <v>1</v>
      </c>
      <c r="R376" s="470">
        <f t="shared" si="64"/>
        <v>0</v>
      </c>
      <c r="S376" s="779">
        <f t="shared" si="55"/>
        <v>0</v>
      </c>
    </row>
    <row r="377" spans="1:19">
      <c r="A377" s="944"/>
      <c r="B377" s="131"/>
      <c r="C377" s="52">
        <f t="shared" si="56"/>
        <v>1</v>
      </c>
      <c r="D377" s="942"/>
      <c r="E377" s="52">
        <f t="shared" si="57"/>
        <v>0</v>
      </c>
      <c r="F377" s="942"/>
      <c r="G377" s="52">
        <f t="shared" si="58"/>
        <v>0</v>
      </c>
      <c r="H377" s="942"/>
      <c r="I377" s="52">
        <f t="shared" si="59"/>
        <v>0</v>
      </c>
      <c r="J377" s="942"/>
      <c r="K377" s="52">
        <f t="shared" si="60"/>
        <v>1</v>
      </c>
      <c r="L377" s="942"/>
      <c r="M377" s="52">
        <f t="shared" si="61"/>
        <v>1</v>
      </c>
      <c r="N377" s="942"/>
      <c r="O377" s="52">
        <f t="shared" si="62"/>
        <v>1</v>
      </c>
      <c r="P377" s="942"/>
      <c r="Q377" s="52">
        <f t="shared" si="63"/>
        <v>1</v>
      </c>
      <c r="R377" s="470">
        <f t="shared" si="64"/>
        <v>0</v>
      </c>
      <c r="S377" s="779">
        <f t="shared" si="55"/>
        <v>0</v>
      </c>
    </row>
    <row r="378" spans="1:19">
      <c r="A378" s="944"/>
      <c r="B378" s="131"/>
      <c r="C378" s="52">
        <f t="shared" si="56"/>
        <v>1</v>
      </c>
      <c r="D378" s="942"/>
      <c r="E378" s="52">
        <f t="shared" si="57"/>
        <v>0</v>
      </c>
      <c r="F378" s="942"/>
      <c r="G378" s="52">
        <f t="shared" si="58"/>
        <v>0</v>
      </c>
      <c r="H378" s="942"/>
      <c r="I378" s="52">
        <f t="shared" si="59"/>
        <v>0</v>
      </c>
      <c r="J378" s="942"/>
      <c r="K378" s="52">
        <f t="shared" si="60"/>
        <v>1</v>
      </c>
      <c r="L378" s="942"/>
      <c r="M378" s="52">
        <f t="shared" si="61"/>
        <v>1</v>
      </c>
      <c r="N378" s="942"/>
      <c r="O378" s="52">
        <f t="shared" si="62"/>
        <v>1</v>
      </c>
      <c r="P378" s="942"/>
      <c r="Q378" s="52">
        <f t="shared" si="63"/>
        <v>1</v>
      </c>
      <c r="R378" s="470">
        <f t="shared" si="64"/>
        <v>0</v>
      </c>
      <c r="S378" s="779">
        <f t="shared" si="55"/>
        <v>0</v>
      </c>
    </row>
    <row r="379" spans="1:19">
      <c r="A379" s="944"/>
      <c r="B379" s="131"/>
      <c r="C379" s="52">
        <f t="shared" si="56"/>
        <v>1</v>
      </c>
      <c r="D379" s="942"/>
      <c r="E379" s="52">
        <f t="shared" si="57"/>
        <v>0</v>
      </c>
      <c r="F379" s="942"/>
      <c r="G379" s="52">
        <f t="shared" si="58"/>
        <v>0</v>
      </c>
      <c r="H379" s="942"/>
      <c r="I379" s="52">
        <f t="shared" si="59"/>
        <v>0</v>
      </c>
      <c r="J379" s="942"/>
      <c r="K379" s="52">
        <f t="shared" si="60"/>
        <v>1</v>
      </c>
      <c r="L379" s="942"/>
      <c r="M379" s="52">
        <f t="shared" si="61"/>
        <v>1</v>
      </c>
      <c r="N379" s="942"/>
      <c r="O379" s="52">
        <f t="shared" si="62"/>
        <v>1</v>
      </c>
      <c r="P379" s="942"/>
      <c r="Q379" s="52">
        <f t="shared" si="63"/>
        <v>1</v>
      </c>
      <c r="R379" s="470">
        <f t="shared" si="64"/>
        <v>0</v>
      </c>
      <c r="S379" s="779">
        <f t="shared" si="55"/>
        <v>0</v>
      </c>
    </row>
    <row r="380" spans="1:19">
      <c r="A380" s="944"/>
      <c r="B380" s="131"/>
      <c r="C380" s="52">
        <f t="shared" si="56"/>
        <v>1</v>
      </c>
      <c r="D380" s="942"/>
      <c r="E380" s="52">
        <f t="shared" si="57"/>
        <v>0</v>
      </c>
      <c r="F380" s="942"/>
      <c r="G380" s="52">
        <f t="shared" si="58"/>
        <v>0</v>
      </c>
      <c r="H380" s="942"/>
      <c r="I380" s="52">
        <f t="shared" si="59"/>
        <v>0</v>
      </c>
      <c r="J380" s="942"/>
      <c r="K380" s="52">
        <f t="shared" si="60"/>
        <v>1</v>
      </c>
      <c r="L380" s="942"/>
      <c r="M380" s="52">
        <f t="shared" si="61"/>
        <v>1</v>
      </c>
      <c r="N380" s="942"/>
      <c r="O380" s="52">
        <f t="shared" si="62"/>
        <v>1</v>
      </c>
      <c r="P380" s="942"/>
      <c r="Q380" s="52">
        <f t="shared" si="63"/>
        <v>1</v>
      </c>
      <c r="R380" s="470">
        <f t="shared" si="64"/>
        <v>0</v>
      </c>
      <c r="S380" s="779">
        <f t="shared" si="55"/>
        <v>0</v>
      </c>
    </row>
    <row r="381" spans="1:19">
      <c r="A381" s="944"/>
      <c r="B381" s="131"/>
      <c r="C381" s="52">
        <f t="shared" si="56"/>
        <v>1</v>
      </c>
      <c r="D381" s="942"/>
      <c r="E381" s="52">
        <f t="shared" si="57"/>
        <v>0</v>
      </c>
      <c r="F381" s="942"/>
      <c r="G381" s="52">
        <f t="shared" si="58"/>
        <v>0</v>
      </c>
      <c r="H381" s="942"/>
      <c r="I381" s="52">
        <f t="shared" si="59"/>
        <v>0</v>
      </c>
      <c r="J381" s="942"/>
      <c r="K381" s="52">
        <f t="shared" si="60"/>
        <v>1</v>
      </c>
      <c r="L381" s="942"/>
      <c r="M381" s="52">
        <f t="shared" si="61"/>
        <v>1</v>
      </c>
      <c r="N381" s="942"/>
      <c r="O381" s="52">
        <f t="shared" si="62"/>
        <v>1</v>
      </c>
      <c r="P381" s="942"/>
      <c r="Q381" s="52">
        <f t="shared" si="63"/>
        <v>1</v>
      </c>
      <c r="R381" s="470">
        <f t="shared" si="64"/>
        <v>0</v>
      </c>
      <c r="S381" s="779">
        <f t="shared" si="55"/>
        <v>0</v>
      </c>
    </row>
    <row r="382" spans="1:19">
      <c r="A382" s="944"/>
      <c r="B382" s="131"/>
      <c r="C382" s="52">
        <f t="shared" si="56"/>
        <v>1</v>
      </c>
      <c r="D382" s="942"/>
      <c r="E382" s="52">
        <f t="shared" si="57"/>
        <v>0</v>
      </c>
      <c r="F382" s="942"/>
      <c r="G382" s="52">
        <f t="shared" si="58"/>
        <v>0</v>
      </c>
      <c r="H382" s="942"/>
      <c r="I382" s="52">
        <f t="shared" si="59"/>
        <v>0</v>
      </c>
      <c r="J382" s="942"/>
      <c r="K382" s="52">
        <f t="shared" si="60"/>
        <v>1</v>
      </c>
      <c r="L382" s="942"/>
      <c r="M382" s="52">
        <f t="shared" si="61"/>
        <v>1</v>
      </c>
      <c r="N382" s="942"/>
      <c r="O382" s="52">
        <f t="shared" si="62"/>
        <v>1</v>
      </c>
      <c r="P382" s="942"/>
      <c r="Q382" s="52">
        <f t="shared" si="63"/>
        <v>1</v>
      </c>
      <c r="R382" s="470">
        <f t="shared" si="64"/>
        <v>0</v>
      </c>
      <c r="S382" s="779">
        <f t="shared" si="55"/>
        <v>0</v>
      </c>
    </row>
    <row r="383" spans="1:19">
      <c r="A383" s="944"/>
      <c r="B383" s="131"/>
      <c r="C383" s="52">
        <f t="shared" si="56"/>
        <v>1</v>
      </c>
      <c r="D383" s="942"/>
      <c r="E383" s="52">
        <f t="shared" si="57"/>
        <v>0</v>
      </c>
      <c r="F383" s="942"/>
      <c r="G383" s="52">
        <f t="shared" si="58"/>
        <v>0</v>
      </c>
      <c r="H383" s="942"/>
      <c r="I383" s="52">
        <f t="shared" si="59"/>
        <v>0</v>
      </c>
      <c r="J383" s="942"/>
      <c r="K383" s="52">
        <f t="shared" si="60"/>
        <v>1</v>
      </c>
      <c r="L383" s="942"/>
      <c r="M383" s="52">
        <f t="shared" si="61"/>
        <v>1</v>
      </c>
      <c r="N383" s="942"/>
      <c r="O383" s="52">
        <f t="shared" si="62"/>
        <v>1</v>
      </c>
      <c r="P383" s="942"/>
      <c r="Q383" s="52">
        <f t="shared" si="63"/>
        <v>1</v>
      </c>
      <c r="R383" s="470">
        <f t="shared" si="64"/>
        <v>0</v>
      </c>
      <c r="S383" s="779">
        <f t="shared" si="55"/>
        <v>0</v>
      </c>
    </row>
    <row r="384" spans="1:19">
      <c r="A384" s="944"/>
      <c r="B384" s="131"/>
      <c r="C384" s="52">
        <f t="shared" si="56"/>
        <v>1</v>
      </c>
      <c r="D384" s="942"/>
      <c r="E384" s="52">
        <f t="shared" si="57"/>
        <v>0</v>
      </c>
      <c r="F384" s="942"/>
      <c r="G384" s="52">
        <f t="shared" si="58"/>
        <v>0</v>
      </c>
      <c r="H384" s="942"/>
      <c r="I384" s="52">
        <f t="shared" si="59"/>
        <v>0</v>
      </c>
      <c r="J384" s="942"/>
      <c r="K384" s="52">
        <f t="shared" si="60"/>
        <v>1</v>
      </c>
      <c r="L384" s="942"/>
      <c r="M384" s="52">
        <f t="shared" si="61"/>
        <v>1</v>
      </c>
      <c r="N384" s="942"/>
      <c r="O384" s="52">
        <f t="shared" si="62"/>
        <v>1</v>
      </c>
      <c r="P384" s="942"/>
      <c r="Q384" s="52">
        <f t="shared" si="63"/>
        <v>1</v>
      </c>
      <c r="R384" s="470">
        <f t="shared" si="64"/>
        <v>0</v>
      </c>
      <c r="S384" s="779">
        <f t="shared" si="55"/>
        <v>0</v>
      </c>
    </row>
    <row r="385" spans="1:19">
      <c r="A385" s="944"/>
      <c r="B385" s="131"/>
      <c r="C385" s="52">
        <f t="shared" si="56"/>
        <v>1</v>
      </c>
      <c r="D385" s="942"/>
      <c r="E385" s="52">
        <f t="shared" si="57"/>
        <v>0</v>
      </c>
      <c r="F385" s="942"/>
      <c r="G385" s="52">
        <f t="shared" si="58"/>
        <v>0</v>
      </c>
      <c r="H385" s="942"/>
      <c r="I385" s="52">
        <f t="shared" si="59"/>
        <v>0</v>
      </c>
      <c r="J385" s="942"/>
      <c r="K385" s="52">
        <f t="shared" si="60"/>
        <v>1</v>
      </c>
      <c r="L385" s="942"/>
      <c r="M385" s="52">
        <f t="shared" si="61"/>
        <v>1</v>
      </c>
      <c r="N385" s="942"/>
      <c r="O385" s="52">
        <f t="shared" si="62"/>
        <v>1</v>
      </c>
      <c r="P385" s="942"/>
      <c r="Q385" s="52">
        <f t="shared" si="63"/>
        <v>1</v>
      </c>
      <c r="R385" s="470">
        <f t="shared" si="64"/>
        <v>0</v>
      </c>
      <c r="S385" s="779">
        <f t="shared" si="55"/>
        <v>0</v>
      </c>
    </row>
    <row r="386" spans="1:19">
      <c r="A386" s="944"/>
      <c r="B386" s="131"/>
      <c r="C386" s="52">
        <f t="shared" si="56"/>
        <v>1</v>
      </c>
      <c r="D386" s="942"/>
      <c r="E386" s="52">
        <f t="shared" si="57"/>
        <v>0</v>
      </c>
      <c r="F386" s="942"/>
      <c r="G386" s="52">
        <f t="shared" si="58"/>
        <v>0</v>
      </c>
      <c r="H386" s="942"/>
      <c r="I386" s="52">
        <f t="shared" si="59"/>
        <v>0</v>
      </c>
      <c r="J386" s="942"/>
      <c r="K386" s="52">
        <f t="shared" si="60"/>
        <v>1</v>
      </c>
      <c r="L386" s="942"/>
      <c r="M386" s="52">
        <f t="shared" si="61"/>
        <v>1</v>
      </c>
      <c r="N386" s="942"/>
      <c r="O386" s="52">
        <f t="shared" si="62"/>
        <v>1</v>
      </c>
      <c r="P386" s="942"/>
      <c r="Q386" s="52">
        <f t="shared" si="63"/>
        <v>1</v>
      </c>
      <c r="R386" s="470">
        <f t="shared" si="64"/>
        <v>0</v>
      </c>
      <c r="S386" s="779">
        <f t="shared" si="55"/>
        <v>0</v>
      </c>
    </row>
    <row r="387" spans="1:19">
      <c r="A387" s="944"/>
      <c r="B387" s="131"/>
      <c r="C387" s="52">
        <f t="shared" si="56"/>
        <v>1</v>
      </c>
      <c r="D387" s="942"/>
      <c r="E387" s="52">
        <f t="shared" si="57"/>
        <v>0</v>
      </c>
      <c r="F387" s="942"/>
      <c r="G387" s="52">
        <f t="shared" si="58"/>
        <v>0</v>
      </c>
      <c r="H387" s="942"/>
      <c r="I387" s="52">
        <f t="shared" si="59"/>
        <v>0</v>
      </c>
      <c r="J387" s="942"/>
      <c r="K387" s="52">
        <f t="shared" si="60"/>
        <v>1</v>
      </c>
      <c r="L387" s="942"/>
      <c r="M387" s="52">
        <f t="shared" si="61"/>
        <v>1</v>
      </c>
      <c r="N387" s="942"/>
      <c r="O387" s="52">
        <f t="shared" si="62"/>
        <v>1</v>
      </c>
      <c r="P387" s="942"/>
      <c r="Q387" s="52">
        <f t="shared" si="63"/>
        <v>1</v>
      </c>
      <c r="R387" s="470">
        <f t="shared" si="64"/>
        <v>0</v>
      </c>
      <c r="S387" s="779">
        <f t="shared" si="55"/>
        <v>0</v>
      </c>
    </row>
    <row r="388" spans="1:19">
      <c r="A388" s="944"/>
      <c r="B388" s="131"/>
      <c r="C388" s="52">
        <f t="shared" si="56"/>
        <v>1</v>
      </c>
      <c r="D388" s="942"/>
      <c r="E388" s="52">
        <f t="shared" si="57"/>
        <v>0</v>
      </c>
      <c r="F388" s="942"/>
      <c r="G388" s="52">
        <f t="shared" si="58"/>
        <v>0</v>
      </c>
      <c r="H388" s="942"/>
      <c r="I388" s="52">
        <f t="shared" si="59"/>
        <v>0</v>
      </c>
      <c r="J388" s="942"/>
      <c r="K388" s="52">
        <f t="shared" si="60"/>
        <v>1</v>
      </c>
      <c r="L388" s="942"/>
      <c r="M388" s="52">
        <f t="shared" si="61"/>
        <v>1</v>
      </c>
      <c r="N388" s="942"/>
      <c r="O388" s="52">
        <f t="shared" si="62"/>
        <v>1</v>
      </c>
      <c r="P388" s="942"/>
      <c r="Q388" s="52">
        <f t="shared" si="63"/>
        <v>1</v>
      </c>
      <c r="R388" s="470">
        <f t="shared" si="64"/>
        <v>0</v>
      </c>
      <c r="S388" s="779">
        <f t="shared" si="55"/>
        <v>0</v>
      </c>
    </row>
    <row r="389" spans="1:19">
      <c r="A389" s="944"/>
      <c r="B389" s="131"/>
      <c r="C389" s="52">
        <f t="shared" si="56"/>
        <v>1</v>
      </c>
      <c r="D389" s="942"/>
      <c r="E389" s="52">
        <f t="shared" si="57"/>
        <v>0</v>
      </c>
      <c r="F389" s="942"/>
      <c r="G389" s="52">
        <f t="shared" si="58"/>
        <v>0</v>
      </c>
      <c r="H389" s="942"/>
      <c r="I389" s="52">
        <f t="shared" si="59"/>
        <v>0</v>
      </c>
      <c r="J389" s="942"/>
      <c r="K389" s="52">
        <f t="shared" si="60"/>
        <v>1</v>
      </c>
      <c r="L389" s="942"/>
      <c r="M389" s="52">
        <f t="shared" si="61"/>
        <v>1</v>
      </c>
      <c r="N389" s="942"/>
      <c r="O389" s="52">
        <f t="shared" si="62"/>
        <v>1</v>
      </c>
      <c r="P389" s="942"/>
      <c r="Q389" s="52">
        <f t="shared" si="63"/>
        <v>1</v>
      </c>
      <c r="R389" s="470">
        <f t="shared" si="64"/>
        <v>0</v>
      </c>
      <c r="S389" s="779">
        <f t="shared" si="55"/>
        <v>0</v>
      </c>
    </row>
    <row r="390" spans="1:19">
      <c r="A390" s="944"/>
      <c r="B390" s="131"/>
      <c r="C390" s="52">
        <f t="shared" si="56"/>
        <v>1</v>
      </c>
      <c r="D390" s="942"/>
      <c r="E390" s="52">
        <f t="shared" si="57"/>
        <v>0</v>
      </c>
      <c r="F390" s="942"/>
      <c r="G390" s="52">
        <f t="shared" si="58"/>
        <v>0</v>
      </c>
      <c r="H390" s="942"/>
      <c r="I390" s="52">
        <f t="shared" si="59"/>
        <v>0</v>
      </c>
      <c r="J390" s="942"/>
      <c r="K390" s="52">
        <f t="shared" si="60"/>
        <v>1</v>
      </c>
      <c r="L390" s="942"/>
      <c r="M390" s="52">
        <f t="shared" si="61"/>
        <v>1</v>
      </c>
      <c r="N390" s="942"/>
      <c r="O390" s="52">
        <f t="shared" si="62"/>
        <v>1</v>
      </c>
      <c r="P390" s="942"/>
      <c r="Q390" s="52">
        <f t="shared" si="63"/>
        <v>1</v>
      </c>
      <c r="R390" s="470">
        <f t="shared" si="64"/>
        <v>0</v>
      </c>
      <c r="S390" s="779">
        <f t="shared" si="55"/>
        <v>0</v>
      </c>
    </row>
    <row r="391" spans="1:19">
      <c r="A391" s="944"/>
      <c r="B391" s="131"/>
      <c r="C391" s="52">
        <f t="shared" si="56"/>
        <v>1</v>
      </c>
      <c r="D391" s="942"/>
      <c r="E391" s="52">
        <f t="shared" si="57"/>
        <v>0</v>
      </c>
      <c r="F391" s="942"/>
      <c r="G391" s="52">
        <f t="shared" si="58"/>
        <v>0</v>
      </c>
      <c r="H391" s="942"/>
      <c r="I391" s="52">
        <f t="shared" si="59"/>
        <v>0</v>
      </c>
      <c r="J391" s="942"/>
      <c r="K391" s="52">
        <f t="shared" si="60"/>
        <v>1</v>
      </c>
      <c r="L391" s="942"/>
      <c r="M391" s="52">
        <f t="shared" si="61"/>
        <v>1</v>
      </c>
      <c r="N391" s="942"/>
      <c r="O391" s="52">
        <f t="shared" si="62"/>
        <v>1</v>
      </c>
      <c r="P391" s="942"/>
      <c r="Q391" s="52">
        <f t="shared" si="63"/>
        <v>1</v>
      </c>
      <c r="R391" s="470">
        <f t="shared" si="64"/>
        <v>0</v>
      </c>
      <c r="S391" s="779">
        <f t="shared" si="55"/>
        <v>0</v>
      </c>
    </row>
    <row r="392" spans="1:19">
      <c r="A392" s="944"/>
      <c r="B392" s="131"/>
      <c r="C392" s="52">
        <f t="shared" si="56"/>
        <v>1</v>
      </c>
      <c r="D392" s="942"/>
      <c r="E392" s="52">
        <f t="shared" si="57"/>
        <v>0</v>
      </c>
      <c r="F392" s="942"/>
      <c r="G392" s="52">
        <f t="shared" si="58"/>
        <v>0</v>
      </c>
      <c r="H392" s="942"/>
      <c r="I392" s="52">
        <f t="shared" si="59"/>
        <v>0</v>
      </c>
      <c r="J392" s="942"/>
      <c r="K392" s="52">
        <f t="shared" si="60"/>
        <v>1</v>
      </c>
      <c r="L392" s="942"/>
      <c r="M392" s="52">
        <f t="shared" si="61"/>
        <v>1</v>
      </c>
      <c r="N392" s="942"/>
      <c r="O392" s="52">
        <f t="shared" si="62"/>
        <v>1</v>
      </c>
      <c r="P392" s="942"/>
      <c r="Q392" s="52">
        <f t="shared" si="63"/>
        <v>1</v>
      </c>
      <c r="R392" s="470">
        <f t="shared" si="64"/>
        <v>0</v>
      </c>
      <c r="S392" s="779">
        <f t="shared" si="55"/>
        <v>0</v>
      </c>
    </row>
    <row r="393" spans="1:19">
      <c r="A393" s="944"/>
      <c r="B393" s="131"/>
      <c r="C393" s="52">
        <f t="shared" si="56"/>
        <v>1</v>
      </c>
      <c r="D393" s="942"/>
      <c r="E393" s="52">
        <f t="shared" si="57"/>
        <v>0</v>
      </c>
      <c r="F393" s="942"/>
      <c r="G393" s="52">
        <f t="shared" si="58"/>
        <v>0</v>
      </c>
      <c r="H393" s="942"/>
      <c r="I393" s="52">
        <f t="shared" si="59"/>
        <v>0</v>
      </c>
      <c r="J393" s="942"/>
      <c r="K393" s="52">
        <f t="shared" si="60"/>
        <v>1</v>
      </c>
      <c r="L393" s="942"/>
      <c r="M393" s="52">
        <f t="shared" si="61"/>
        <v>1</v>
      </c>
      <c r="N393" s="942"/>
      <c r="O393" s="52">
        <f t="shared" si="62"/>
        <v>1</v>
      </c>
      <c r="P393" s="942"/>
      <c r="Q393" s="52">
        <f t="shared" si="63"/>
        <v>1</v>
      </c>
      <c r="R393" s="470">
        <f t="shared" si="64"/>
        <v>0</v>
      </c>
      <c r="S393" s="779">
        <f t="shared" si="55"/>
        <v>0</v>
      </c>
    </row>
    <row r="394" spans="1:19">
      <c r="A394" s="944"/>
      <c r="B394" s="131"/>
      <c r="C394" s="52">
        <f t="shared" si="56"/>
        <v>1</v>
      </c>
      <c r="D394" s="942"/>
      <c r="E394" s="52">
        <f t="shared" si="57"/>
        <v>0</v>
      </c>
      <c r="F394" s="942"/>
      <c r="G394" s="52">
        <f t="shared" si="58"/>
        <v>0</v>
      </c>
      <c r="H394" s="942"/>
      <c r="I394" s="52">
        <f t="shared" si="59"/>
        <v>0</v>
      </c>
      <c r="J394" s="942"/>
      <c r="K394" s="52">
        <f t="shared" si="60"/>
        <v>1</v>
      </c>
      <c r="L394" s="942"/>
      <c r="M394" s="52">
        <f t="shared" si="61"/>
        <v>1</v>
      </c>
      <c r="N394" s="942"/>
      <c r="O394" s="52">
        <f t="shared" si="62"/>
        <v>1</v>
      </c>
      <c r="P394" s="942"/>
      <c r="Q394" s="52">
        <f t="shared" si="63"/>
        <v>1</v>
      </c>
      <c r="R394" s="470">
        <f t="shared" si="64"/>
        <v>0</v>
      </c>
      <c r="S394" s="779">
        <f t="shared" si="55"/>
        <v>0</v>
      </c>
    </row>
    <row r="395" spans="1:19">
      <c r="A395" s="944"/>
      <c r="B395" s="131"/>
      <c r="C395" s="52">
        <f t="shared" si="56"/>
        <v>1</v>
      </c>
      <c r="D395" s="942"/>
      <c r="E395" s="52">
        <f t="shared" si="57"/>
        <v>0</v>
      </c>
      <c r="F395" s="942"/>
      <c r="G395" s="52">
        <f t="shared" si="58"/>
        <v>0</v>
      </c>
      <c r="H395" s="942"/>
      <c r="I395" s="52">
        <f t="shared" si="59"/>
        <v>0</v>
      </c>
      <c r="J395" s="942"/>
      <c r="K395" s="52">
        <f t="shared" si="60"/>
        <v>1</v>
      </c>
      <c r="L395" s="942"/>
      <c r="M395" s="52">
        <f t="shared" si="61"/>
        <v>1</v>
      </c>
      <c r="N395" s="942"/>
      <c r="O395" s="52">
        <f t="shared" si="62"/>
        <v>1</v>
      </c>
      <c r="P395" s="942"/>
      <c r="Q395" s="52">
        <f t="shared" si="63"/>
        <v>1</v>
      </c>
      <c r="R395" s="470">
        <f t="shared" si="64"/>
        <v>0</v>
      </c>
      <c r="S395" s="779">
        <f t="shared" si="55"/>
        <v>0</v>
      </c>
    </row>
    <row r="396" spans="1:19">
      <c r="A396" s="944"/>
      <c r="B396" s="131"/>
      <c r="C396" s="52">
        <f t="shared" si="56"/>
        <v>1</v>
      </c>
      <c r="D396" s="942"/>
      <c r="E396" s="52">
        <f t="shared" si="57"/>
        <v>0</v>
      </c>
      <c r="F396" s="942"/>
      <c r="G396" s="52">
        <f t="shared" si="58"/>
        <v>0</v>
      </c>
      <c r="H396" s="942"/>
      <c r="I396" s="52">
        <f t="shared" si="59"/>
        <v>0</v>
      </c>
      <c r="J396" s="942"/>
      <c r="K396" s="52">
        <f t="shared" si="60"/>
        <v>1</v>
      </c>
      <c r="L396" s="942"/>
      <c r="M396" s="52">
        <f t="shared" si="61"/>
        <v>1</v>
      </c>
      <c r="N396" s="942"/>
      <c r="O396" s="52">
        <f t="shared" si="62"/>
        <v>1</v>
      </c>
      <c r="P396" s="942"/>
      <c r="Q396" s="52">
        <f t="shared" si="63"/>
        <v>1</v>
      </c>
      <c r="R396" s="470">
        <f t="shared" si="64"/>
        <v>0</v>
      </c>
      <c r="S396" s="779">
        <f t="shared" si="55"/>
        <v>0</v>
      </c>
    </row>
    <row r="397" spans="1:19">
      <c r="A397" s="944"/>
      <c r="B397" s="131"/>
      <c r="C397" s="52">
        <f t="shared" si="56"/>
        <v>1</v>
      </c>
      <c r="D397" s="942"/>
      <c r="E397" s="52">
        <f t="shared" si="57"/>
        <v>0</v>
      </c>
      <c r="F397" s="942"/>
      <c r="G397" s="52">
        <f t="shared" si="58"/>
        <v>0</v>
      </c>
      <c r="H397" s="942"/>
      <c r="I397" s="52">
        <f t="shared" si="59"/>
        <v>0</v>
      </c>
      <c r="J397" s="942"/>
      <c r="K397" s="52">
        <f t="shared" si="60"/>
        <v>1</v>
      </c>
      <c r="L397" s="942"/>
      <c r="M397" s="52">
        <f t="shared" si="61"/>
        <v>1</v>
      </c>
      <c r="N397" s="942"/>
      <c r="O397" s="52">
        <f t="shared" si="62"/>
        <v>1</v>
      </c>
      <c r="P397" s="942"/>
      <c r="Q397" s="52">
        <f t="shared" si="63"/>
        <v>1</v>
      </c>
      <c r="R397" s="470">
        <f t="shared" si="64"/>
        <v>0</v>
      </c>
      <c r="S397" s="779">
        <f t="shared" si="55"/>
        <v>0</v>
      </c>
    </row>
    <row r="398" spans="1:19">
      <c r="A398" s="944"/>
      <c r="B398" s="131"/>
      <c r="C398" s="52">
        <f t="shared" si="56"/>
        <v>1</v>
      </c>
      <c r="D398" s="942"/>
      <c r="E398" s="52">
        <f t="shared" si="57"/>
        <v>0</v>
      </c>
      <c r="F398" s="942"/>
      <c r="G398" s="52">
        <f t="shared" si="58"/>
        <v>0</v>
      </c>
      <c r="H398" s="942"/>
      <c r="I398" s="52">
        <f t="shared" si="59"/>
        <v>0</v>
      </c>
      <c r="J398" s="942"/>
      <c r="K398" s="52">
        <f t="shared" si="60"/>
        <v>1</v>
      </c>
      <c r="L398" s="942"/>
      <c r="M398" s="52">
        <f t="shared" si="61"/>
        <v>1</v>
      </c>
      <c r="N398" s="942"/>
      <c r="O398" s="52">
        <f t="shared" si="62"/>
        <v>1</v>
      </c>
      <c r="P398" s="942"/>
      <c r="Q398" s="52">
        <f t="shared" si="63"/>
        <v>1</v>
      </c>
      <c r="R398" s="470">
        <f t="shared" si="64"/>
        <v>0</v>
      </c>
      <c r="S398" s="779">
        <f t="shared" si="55"/>
        <v>0</v>
      </c>
    </row>
    <row r="399" spans="1:19">
      <c r="A399" s="944"/>
      <c r="B399" s="131"/>
      <c r="C399" s="52">
        <f t="shared" si="56"/>
        <v>1</v>
      </c>
      <c r="D399" s="942"/>
      <c r="E399" s="52">
        <f t="shared" si="57"/>
        <v>0</v>
      </c>
      <c r="F399" s="942"/>
      <c r="G399" s="52">
        <f t="shared" si="58"/>
        <v>0</v>
      </c>
      <c r="H399" s="942"/>
      <c r="I399" s="52">
        <f t="shared" si="59"/>
        <v>0</v>
      </c>
      <c r="J399" s="942"/>
      <c r="K399" s="52">
        <f t="shared" si="60"/>
        <v>1</v>
      </c>
      <c r="L399" s="942"/>
      <c r="M399" s="52">
        <f t="shared" si="61"/>
        <v>1</v>
      </c>
      <c r="N399" s="942"/>
      <c r="O399" s="52">
        <f t="shared" si="62"/>
        <v>1</v>
      </c>
      <c r="P399" s="942"/>
      <c r="Q399" s="52">
        <f t="shared" si="63"/>
        <v>1</v>
      </c>
      <c r="R399" s="470">
        <f t="shared" si="64"/>
        <v>0</v>
      </c>
      <c r="S399" s="779">
        <f t="shared" si="55"/>
        <v>0</v>
      </c>
    </row>
    <row r="400" spans="1:19">
      <c r="A400" s="944"/>
      <c r="B400" s="131"/>
      <c r="C400" s="52">
        <f t="shared" si="56"/>
        <v>1</v>
      </c>
      <c r="D400" s="942"/>
      <c r="E400" s="52">
        <f t="shared" si="57"/>
        <v>0</v>
      </c>
      <c r="F400" s="942"/>
      <c r="G400" s="52">
        <f t="shared" si="58"/>
        <v>0</v>
      </c>
      <c r="H400" s="942"/>
      <c r="I400" s="52">
        <f t="shared" si="59"/>
        <v>0</v>
      </c>
      <c r="J400" s="942"/>
      <c r="K400" s="52">
        <f t="shared" si="60"/>
        <v>1</v>
      </c>
      <c r="L400" s="942"/>
      <c r="M400" s="52">
        <f t="shared" si="61"/>
        <v>1</v>
      </c>
      <c r="N400" s="942"/>
      <c r="O400" s="52">
        <f t="shared" si="62"/>
        <v>1</v>
      </c>
      <c r="P400" s="942"/>
      <c r="Q400" s="52">
        <f t="shared" si="63"/>
        <v>1</v>
      </c>
      <c r="R400" s="470">
        <f t="shared" si="64"/>
        <v>0</v>
      </c>
      <c r="S400" s="779">
        <f t="shared" si="55"/>
        <v>0</v>
      </c>
    </row>
    <row r="401" spans="1:19">
      <c r="A401" s="944"/>
      <c r="B401" s="131"/>
      <c r="C401" s="52">
        <f t="shared" si="56"/>
        <v>1</v>
      </c>
      <c r="D401" s="942"/>
      <c r="E401" s="52">
        <f t="shared" si="57"/>
        <v>0</v>
      </c>
      <c r="F401" s="942"/>
      <c r="G401" s="52">
        <f t="shared" si="58"/>
        <v>0</v>
      </c>
      <c r="H401" s="942"/>
      <c r="I401" s="52">
        <f t="shared" si="59"/>
        <v>0</v>
      </c>
      <c r="J401" s="942"/>
      <c r="K401" s="52">
        <f t="shared" si="60"/>
        <v>1</v>
      </c>
      <c r="L401" s="942"/>
      <c r="M401" s="52">
        <f t="shared" si="61"/>
        <v>1</v>
      </c>
      <c r="N401" s="942"/>
      <c r="O401" s="52">
        <f t="shared" si="62"/>
        <v>1</v>
      </c>
      <c r="P401" s="942"/>
      <c r="Q401" s="52">
        <f t="shared" si="63"/>
        <v>1</v>
      </c>
      <c r="R401" s="470">
        <f t="shared" si="64"/>
        <v>0</v>
      </c>
      <c r="S401" s="779">
        <f t="shared" si="55"/>
        <v>0</v>
      </c>
    </row>
    <row r="402" spans="1:19">
      <c r="A402" s="944"/>
      <c r="B402" s="131"/>
      <c r="C402" s="52">
        <f t="shared" si="56"/>
        <v>1</v>
      </c>
      <c r="D402" s="942"/>
      <c r="E402" s="52">
        <f t="shared" si="57"/>
        <v>0</v>
      </c>
      <c r="F402" s="942"/>
      <c r="G402" s="52">
        <f t="shared" si="58"/>
        <v>0</v>
      </c>
      <c r="H402" s="942"/>
      <c r="I402" s="52">
        <f t="shared" si="59"/>
        <v>0</v>
      </c>
      <c r="J402" s="942"/>
      <c r="K402" s="52">
        <f t="shared" si="60"/>
        <v>1</v>
      </c>
      <c r="L402" s="942"/>
      <c r="M402" s="52">
        <f t="shared" si="61"/>
        <v>1</v>
      </c>
      <c r="N402" s="942"/>
      <c r="O402" s="52">
        <f t="shared" si="62"/>
        <v>1</v>
      </c>
      <c r="P402" s="942"/>
      <c r="Q402" s="52">
        <f t="shared" si="63"/>
        <v>1</v>
      </c>
      <c r="R402" s="470">
        <f t="shared" si="64"/>
        <v>0</v>
      </c>
      <c r="S402" s="779">
        <f t="shared" si="55"/>
        <v>0</v>
      </c>
    </row>
    <row r="403" spans="1:19">
      <c r="A403" s="944"/>
      <c r="B403" s="131"/>
      <c r="C403" s="52">
        <f t="shared" si="56"/>
        <v>1</v>
      </c>
      <c r="D403" s="942"/>
      <c r="E403" s="52">
        <f t="shared" si="57"/>
        <v>0</v>
      </c>
      <c r="F403" s="942"/>
      <c r="G403" s="52">
        <f t="shared" si="58"/>
        <v>0</v>
      </c>
      <c r="H403" s="942"/>
      <c r="I403" s="52">
        <f t="shared" si="59"/>
        <v>0</v>
      </c>
      <c r="J403" s="942"/>
      <c r="K403" s="52">
        <f t="shared" si="60"/>
        <v>1</v>
      </c>
      <c r="L403" s="942"/>
      <c r="M403" s="52">
        <f t="shared" si="61"/>
        <v>1</v>
      </c>
      <c r="N403" s="942"/>
      <c r="O403" s="52">
        <f t="shared" si="62"/>
        <v>1</v>
      </c>
      <c r="P403" s="942"/>
      <c r="Q403" s="52">
        <f t="shared" si="63"/>
        <v>1</v>
      </c>
      <c r="R403" s="470">
        <f t="shared" si="64"/>
        <v>0</v>
      </c>
      <c r="S403" s="779">
        <f t="shared" si="55"/>
        <v>0</v>
      </c>
    </row>
    <row r="404" spans="1:19">
      <c r="A404" s="944"/>
      <c r="B404" s="131"/>
      <c r="C404" s="52">
        <f t="shared" si="56"/>
        <v>1</v>
      </c>
      <c r="D404" s="942"/>
      <c r="E404" s="52">
        <f t="shared" si="57"/>
        <v>0</v>
      </c>
      <c r="F404" s="942"/>
      <c r="G404" s="52">
        <f t="shared" si="58"/>
        <v>0</v>
      </c>
      <c r="H404" s="942"/>
      <c r="I404" s="52">
        <f t="shared" si="59"/>
        <v>0</v>
      </c>
      <c r="J404" s="942"/>
      <c r="K404" s="52">
        <f t="shared" si="60"/>
        <v>1</v>
      </c>
      <c r="L404" s="942"/>
      <c r="M404" s="52">
        <f t="shared" si="61"/>
        <v>1</v>
      </c>
      <c r="N404" s="942"/>
      <c r="O404" s="52">
        <f t="shared" si="62"/>
        <v>1</v>
      </c>
      <c r="P404" s="942"/>
      <c r="Q404" s="52">
        <f t="shared" si="63"/>
        <v>1</v>
      </c>
      <c r="R404" s="470">
        <f t="shared" si="64"/>
        <v>0</v>
      </c>
      <c r="S404" s="779">
        <f t="shared" si="55"/>
        <v>0</v>
      </c>
    </row>
    <row r="405" spans="1:19">
      <c r="A405" s="944"/>
      <c r="B405" s="131"/>
      <c r="C405" s="52">
        <f t="shared" si="56"/>
        <v>1</v>
      </c>
      <c r="D405" s="942"/>
      <c r="E405" s="52">
        <f t="shared" si="57"/>
        <v>0</v>
      </c>
      <c r="F405" s="942"/>
      <c r="G405" s="52">
        <f t="shared" si="58"/>
        <v>0</v>
      </c>
      <c r="H405" s="942"/>
      <c r="I405" s="52">
        <f t="shared" si="59"/>
        <v>0</v>
      </c>
      <c r="J405" s="942"/>
      <c r="K405" s="52">
        <f t="shared" si="60"/>
        <v>1</v>
      </c>
      <c r="L405" s="942"/>
      <c r="M405" s="52">
        <f t="shared" si="61"/>
        <v>1</v>
      </c>
      <c r="N405" s="942"/>
      <c r="O405" s="52">
        <f t="shared" si="62"/>
        <v>1</v>
      </c>
      <c r="P405" s="942"/>
      <c r="Q405" s="52">
        <f t="shared" si="63"/>
        <v>1</v>
      </c>
      <c r="R405" s="470">
        <f t="shared" si="64"/>
        <v>0</v>
      </c>
      <c r="S405" s="779">
        <f t="shared" si="55"/>
        <v>0</v>
      </c>
    </row>
    <row r="406" spans="1:19">
      <c r="A406" s="944"/>
      <c r="B406" s="131"/>
      <c r="C406" s="52">
        <f t="shared" si="56"/>
        <v>1</v>
      </c>
      <c r="D406" s="942"/>
      <c r="E406" s="52">
        <f t="shared" si="57"/>
        <v>0</v>
      </c>
      <c r="F406" s="942"/>
      <c r="G406" s="52">
        <f t="shared" si="58"/>
        <v>0</v>
      </c>
      <c r="H406" s="942"/>
      <c r="I406" s="52">
        <f t="shared" si="59"/>
        <v>0</v>
      </c>
      <c r="J406" s="942"/>
      <c r="K406" s="52">
        <f t="shared" si="60"/>
        <v>1</v>
      </c>
      <c r="L406" s="942"/>
      <c r="M406" s="52">
        <f t="shared" si="61"/>
        <v>1</v>
      </c>
      <c r="N406" s="942"/>
      <c r="O406" s="52">
        <f t="shared" si="62"/>
        <v>1</v>
      </c>
      <c r="P406" s="942"/>
      <c r="Q406" s="52">
        <f t="shared" si="63"/>
        <v>1</v>
      </c>
      <c r="R406" s="470">
        <f t="shared" si="64"/>
        <v>0</v>
      </c>
      <c r="S406" s="779">
        <f t="shared" si="55"/>
        <v>0</v>
      </c>
    </row>
    <row r="407" spans="1:19">
      <c r="A407" s="944"/>
      <c r="B407" s="131"/>
      <c r="C407" s="52">
        <f t="shared" si="56"/>
        <v>1</v>
      </c>
      <c r="D407" s="942"/>
      <c r="E407" s="52">
        <f t="shared" si="57"/>
        <v>0</v>
      </c>
      <c r="F407" s="942"/>
      <c r="G407" s="52">
        <f t="shared" si="58"/>
        <v>0</v>
      </c>
      <c r="H407" s="942"/>
      <c r="I407" s="52">
        <f t="shared" si="59"/>
        <v>0</v>
      </c>
      <c r="J407" s="942"/>
      <c r="K407" s="52">
        <f t="shared" si="60"/>
        <v>1</v>
      </c>
      <c r="L407" s="942"/>
      <c r="M407" s="52">
        <f t="shared" si="61"/>
        <v>1</v>
      </c>
      <c r="N407" s="942"/>
      <c r="O407" s="52">
        <f t="shared" si="62"/>
        <v>1</v>
      </c>
      <c r="P407" s="942"/>
      <c r="Q407" s="52">
        <f t="shared" si="63"/>
        <v>1</v>
      </c>
      <c r="R407" s="470">
        <f t="shared" si="64"/>
        <v>0</v>
      </c>
      <c r="S407" s="779">
        <f t="shared" si="55"/>
        <v>0</v>
      </c>
    </row>
    <row r="408" spans="1:19">
      <c r="A408" s="944"/>
      <c r="B408" s="131"/>
      <c r="C408" s="52">
        <f t="shared" si="56"/>
        <v>1</v>
      </c>
      <c r="D408" s="942"/>
      <c r="E408" s="52">
        <f t="shared" si="57"/>
        <v>0</v>
      </c>
      <c r="F408" s="942"/>
      <c r="G408" s="52">
        <f t="shared" si="58"/>
        <v>0</v>
      </c>
      <c r="H408" s="942"/>
      <c r="I408" s="52">
        <f t="shared" si="59"/>
        <v>0</v>
      </c>
      <c r="J408" s="942"/>
      <c r="K408" s="52">
        <f t="shared" si="60"/>
        <v>1</v>
      </c>
      <c r="L408" s="942"/>
      <c r="M408" s="52">
        <f t="shared" si="61"/>
        <v>1</v>
      </c>
      <c r="N408" s="942"/>
      <c r="O408" s="52">
        <f t="shared" si="62"/>
        <v>1</v>
      </c>
      <c r="P408" s="942"/>
      <c r="Q408" s="52">
        <f t="shared" si="63"/>
        <v>1</v>
      </c>
      <c r="R408" s="470">
        <f t="shared" si="64"/>
        <v>0</v>
      </c>
      <c r="S408" s="779">
        <f t="shared" ref="S408:S471" si="65">ROUND(R408*B408/10000,0)</f>
        <v>0</v>
      </c>
    </row>
    <row r="409" spans="1:19">
      <c r="A409" s="944"/>
      <c r="B409" s="131"/>
      <c r="C409" s="52">
        <f t="shared" si="56"/>
        <v>1</v>
      </c>
      <c r="D409" s="942"/>
      <c r="E409" s="52">
        <f t="shared" si="57"/>
        <v>0</v>
      </c>
      <c r="F409" s="942"/>
      <c r="G409" s="52">
        <f t="shared" si="58"/>
        <v>0</v>
      </c>
      <c r="H409" s="942"/>
      <c r="I409" s="52">
        <f t="shared" si="59"/>
        <v>0</v>
      </c>
      <c r="J409" s="942"/>
      <c r="K409" s="52">
        <f t="shared" si="60"/>
        <v>1</v>
      </c>
      <c r="L409" s="942"/>
      <c r="M409" s="52">
        <f t="shared" si="61"/>
        <v>1</v>
      </c>
      <c r="N409" s="942"/>
      <c r="O409" s="52">
        <f t="shared" si="62"/>
        <v>1</v>
      </c>
      <c r="P409" s="942"/>
      <c r="Q409" s="52">
        <f t="shared" si="63"/>
        <v>1</v>
      </c>
      <c r="R409" s="470">
        <f t="shared" si="64"/>
        <v>0</v>
      </c>
      <c r="S409" s="779">
        <f t="shared" si="65"/>
        <v>0</v>
      </c>
    </row>
    <row r="410" spans="1:19">
      <c r="A410" s="944"/>
      <c r="B410" s="131"/>
      <c r="C410" s="52">
        <f t="shared" ref="C410:C473" si="66">IF(B410="",1,(LOOKUP(B410,$3:$3,$4:$4)-LOOKUP($B$24,$3:$3,$4:$4)+100)/100)</f>
        <v>1</v>
      </c>
      <c r="D410" s="942"/>
      <c r="E410" s="52">
        <f t="shared" ref="E410:E473" si="67">(SUMIF($5:$5,D410,$6:$6)-SUMIF($5:$5,$D$24,$6:$6)+100)/100</f>
        <v>0</v>
      </c>
      <c r="F410" s="942"/>
      <c r="G410" s="52">
        <f t="shared" ref="G410:G473" si="68">(SUMIF($7:$7,F410,$8:$8)-SUMIF($7:$7,$F$24,$8:$8)+100)/100</f>
        <v>0</v>
      </c>
      <c r="H410" s="942"/>
      <c r="I410" s="52">
        <f t="shared" ref="I410:I473" si="69">(SUMIF($9:$9,H410,$10:$10)-SUMIF($9:$9,$H$24,$10:$10)+100)/100</f>
        <v>0</v>
      </c>
      <c r="J410" s="942"/>
      <c r="K410" s="52">
        <f t="shared" ref="K410:K473" si="70">(SUMIF($11:$11,J410,$12:$12)-SUMIF($11:$11,$J$24,$12:$12)+100)/100</f>
        <v>1</v>
      </c>
      <c r="L410" s="942"/>
      <c r="M410" s="52">
        <f t="shared" ref="M410:M473" si="71">(SUMIF($13:$13,L410,$14:$14)-SUMIF($13:$13,$L$24,$14:$14)+100)/100</f>
        <v>1</v>
      </c>
      <c r="N410" s="942"/>
      <c r="O410" s="52">
        <f t="shared" ref="O410:O473" si="72">(SUMIF($15:$15,N410,$16:$16)-SUMIF($15:$15,$N$24,$16:$16)+100)/100</f>
        <v>1</v>
      </c>
      <c r="P410" s="942"/>
      <c r="Q410" s="52">
        <f t="shared" ref="Q410:Q473" si="73">(SUMIF($17:$17,P410,$18:$18)-SUMIF($17:$17,$P$24,$18:$18)+100)/100</f>
        <v>1</v>
      </c>
      <c r="R410" s="470">
        <f t="shared" ref="R410:R473" si="74">IF(B410="",0,ROUND($R$24*C410*E410*G410*I410*K410*M410*O410*Q410,0))</f>
        <v>0</v>
      </c>
      <c r="S410" s="779">
        <f t="shared" si="65"/>
        <v>0</v>
      </c>
    </row>
    <row r="411" spans="1:19">
      <c r="A411" s="944"/>
      <c r="B411" s="131"/>
      <c r="C411" s="52">
        <f t="shared" si="66"/>
        <v>1</v>
      </c>
      <c r="D411" s="942"/>
      <c r="E411" s="52">
        <f t="shared" si="67"/>
        <v>0</v>
      </c>
      <c r="F411" s="942"/>
      <c r="G411" s="52">
        <f t="shared" si="68"/>
        <v>0</v>
      </c>
      <c r="H411" s="942"/>
      <c r="I411" s="52">
        <f t="shared" si="69"/>
        <v>0</v>
      </c>
      <c r="J411" s="942"/>
      <c r="K411" s="52">
        <f t="shared" si="70"/>
        <v>1</v>
      </c>
      <c r="L411" s="942"/>
      <c r="M411" s="52">
        <f t="shared" si="71"/>
        <v>1</v>
      </c>
      <c r="N411" s="942"/>
      <c r="O411" s="52">
        <f t="shared" si="72"/>
        <v>1</v>
      </c>
      <c r="P411" s="942"/>
      <c r="Q411" s="52">
        <f t="shared" si="73"/>
        <v>1</v>
      </c>
      <c r="R411" s="470">
        <f t="shared" si="74"/>
        <v>0</v>
      </c>
      <c r="S411" s="779">
        <f t="shared" si="65"/>
        <v>0</v>
      </c>
    </row>
    <row r="412" spans="1:19">
      <c r="A412" s="944"/>
      <c r="B412" s="131"/>
      <c r="C412" s="52">
        <f t="shared" si="66"/>
        <v>1</v>
      </c>
      <c r="D412" s="942"/>
      <c r="E412" s="52">
        <f t="shared" si="67"/>
        <v>0</v>
      </c>
      <c r="F412" s="942"/>
      <c r="G412" s="52">
        <f t="shared" si="68"/>
        <v>0</v>
      </c>
      <c r="H412" s="942"/>
      <c r="I412" s="52">
        <f t="shared" si="69"/>
        <v>0</v>
      </c>
      <c r="J412" s="942"/>
      <c r="K412" s="52">
        <f t="shared" si="70"/>
        <v>1</v>
      </c>
      <c r="L412" s="942"/>
      <c r="M412" s="52">
        <f t="shared" si="71"/>
        <v>1</v>
      </c>
      <c r="N412" s="942"/>
      <c r="O412" s="52">
        <f t="shared" si="72"/>
        <v>1</v>
      </c>
      <c r="P412" s="942"/>
      <c r="Q412" s="52">
        <f t="shared" si="73"/>
        <v>1</v>
      </c>
      <c r="R412" s="470">
        <f t="shared" si="74"/>
        <v>0</v>
      </c>
      <c r="S412" s="779">
        <f t="shared" si="65"/>
        <v>0</v>
      </c>
    </row>
    <row r="413" spans="1:19">
      <c r="A413" s="944"/>
      <c r="B413" s="131"/>
      <c r="C413" s="52">
        <f t="shared" si="66"/>
        <v>1</v>
      </c>
      <c r="D413" s="942"/>
      <c r="E413" s="52">
        <f t="shared" si="67"/>
        <v>0</v>
      </c>
      <c r="F413" s="942"/>
      <c r="G413" s="52">
        <f t="shared" si="68"/>
        <v>0</v>
      </c>
      <c r="H413" s="942"/>
      <c r="I413" s="52">
        <f t="shared" si="69"/>
        <v>0</v>
      </c>
      <c r="J413" s="942"/>
      <c r="K413" s="52">
        <f t="shared" si="70"/>
        <v>1</v>
      </c>
      <c r="L413" s="942"/>
      <c r="M413" s="52">
        <f t="shared" si="71"/>
        <v>1</v>
      </c>
      <c r="N413" s="942"/>
      <c r="O413" s="52">
        <f t="shared" si="72"/>
        <v>1</v>
      </c>
      <c r="P413" s="942"/>
      <c r="Q413" s="52">
        <f t="shared" si="73"/>
        <v>1</v>
      </c>
      <c r="R413" s="470">
        <f t="shared" si="74"/>
        <v>0</v>
      </c>
      <c r="S413" s="779">
        <f t="shared" si="65"/>
        <v>0</v>
      </c>
    </row>
    <row r="414" spans="1:19">
      <c r="A414" s="944"/>
      <c r="B414" s="131"/>
      <c r="C414" s="52">
        <f t="shared" si="66"/>
        <v>1</v>
      </c>
      <c r="D414" s="942"/>
      <c r="E414" s="52">
        <f t="shared" si="67"/>
        <v>0</v>
      </c>
      <c r="F414" s="942"/>
      <c r="G414" s="52">
        <f t="shared" si="68"/>
        <v>0</v>
      </c>
      <c r="H414" s="942"/>
      <c r="I414" s="52">
        <f t="shared" si="69"/>
        <v>0</v>
      </c>
      <c r="J414" s="942"/>
      <c r="K414" s="52">
        <f t="shared" si="70"/>
        <v>1</v>
      </c>
      <c r="L414" s="942"/>
      <c r="M414" s="52">
        <f t="shared" si="71"/>
        <v>1</v>
      </c>
      <c r="N414" s="942"/>
      <c r="O414" s="52">
        <f t="shared" si="72"/>
        <v>1</v>
      </c>
      <c r="P414" s="942"/>
      <c r="Q414" s="52">
        <f t="shared" si="73"/>
        <v>1</v>
      </c>
      <c r="R414" s="470">
        <f t="shared" si="74"/>
        <v>0</v>
      </c>
      <c r="S414" s="779">
        <f t="shared" si="65"/>
        <v>0</v>
      </c>
    </row>
    <row r="415" spans="1:19">
      <c r="A415" s="944"/>
      <c r="B415" s="131"/>
      <c r="C415" s="52">
        <f t="shared" si="66"/>
        <v>1</v>
      </c>
      <c r="D415" s="942"/>
      <c r="E415" s="52">
        <f t="shared" si="67"/>
        <v>0</v>
      </c>
      <c r="F415" s="942"/>
      <c r="G415" s="52">
        <f t="shared" si="68"/>
        <v>0</v>
      </c>
      <c r="H415" s="942"/>
      <c r="I415" s="52">
        <f t="shared" si="69"/>
        <v>0</v>
      </c>
      <c r="J415" s="942"/>
      <c r="K415" s="52">
        <f t="shared" si="70"/>
        <v>1</v>
      </c>
      <c r="L415" s="942"/>
      <c r="M415" s="52">
        <f t="shared" si="71"/>
        <v>1</v>
      </c>
      <c r="N415" s="942"/>
      <c r="O415" s="52">
        <f t="shared" si="72"/>
        <v>1</v>
      </c>
      <c r="P415" s="942"/>
      <c r="Q415" s="52">
        <f t="shared" si="73"/>
        <v>1</v>
      </c>
      <c r="R415" s="470">
        <f t="shared" si="74"/>
        <v>0</v>
      </c>
      <c r="S415" s="779">
        <f t="shared" si="65"/>
        <v>0</v>
      </c>
    </row>
    <row r="416" spans="1:19">
      <c r="A416" s="944"/>
      <c r="B416" s="131"/>
      <c r="C416" s="52">
        <f t="shared" si="66"/>
        <v>1</v>
      </c>
      <c r="D416" s="942"/>
      <c r="E416" s="52">
        <f t="shared" si="67"/>
        <v>0</v>
      </c>
      <c r="F416" s="942"/>
      <c r="G416" s="52">
        <f t="shared" si="68"/>
        <v>0</v>
      </c>
      <c r="H416" s="942"/>
      <c r="I416" s="52">
        <f t="shared" si="69"/>
        <v>0</v>
      </c>
      <c r="J416" s="942"/>
      <c r="K416" s="52">
        <f t="shared" si="70"/>
        <v>1</v>
      </c>
      <c r="L416" s="942"/>
      <c r="M416" s="52">
        <f t="shared" si="71"/>
        <v>1</v>
      </c>
      <c r="N416" s="942"/>
      <c r="O416" s="52">
        <f t="shared" si="72"/>
        <v>1</v>
      </c>
      <c r="P416" s="942"/>
      <c r="Q416" s="52">
        <f t="shared" si="73"/>
        <v>1</v>
      </c>
      <c r="R416" s="470">
        <f t="shared" si="74"/>
        <v>0</v>
      </c>
      <c r="S416" s="779">
        <f t="shared" si="65"/>
        <v>0</v>
      </c>
    </row>
    <row r="417" spans="1:19">
      <c r="A417" s="944"/>
      <c r="B417" s="131"/>
      <c r="C417" s="52">
        <f t="shared" si="66"/>
        <v>1</v>
      </c>
      <c r="D417" s="942"/>
      <c r="E417" s="52">
        <f t="shared" si="67"/>
        <v>0</v>
      </c>
      <c r="F417" s="942"/>
      <c r="G417" s="52">
        <f t="shared" si="68"/>
        <v>0</v>
      </c>
      <c r="H417" s="942"/>
      <c r="I417" s="52">
        <f t="shared" si="69"/>
        <v>0</v>
      </c>
      <c r="J417" s="942"/>
      <c r="K417" s="52">
        <f t="shared" si="70"/>
        <v>1</v>
      </c>
      <c r="L417" s="942"/>
      <c r="M417" s="52">
        <f t="shared" si="71"/>
        <v>1</v>
      </c>
      <c r="N417" s="942"/>
      <c r="O417" s="52">
        <f t="shared" si="72"/>
        <v>1</v>
      </c>
      <c r="P417" s="942"/>
      <c r="Q417" s="52">
        <f t="shared" si="73"/>
        <v>1</v>
      </c>
      <c r="R417" s="470">
        <f t="shared" si="74"/>
        <v>0</v>
      </c>
      <c r="S417" s="779">
        <f t="shared" si="65"/>
        <v>0</v>
      </c>
    </row>
    <row r="418" spans="1:19">
      <c r="A418" s="944"/>
      <c r="B418" s="131"/>
      <c r="C418" s="52">
        <f t="shared" si="66"/>
        <v>1</v>
      </c>
      <c r="D418" s="942"/>
      <c r="E418" s="52">
        <f t="shared" si="67"/>
        <v>0</v>
      </c>
      <c r="F418" s="942"/>
      <c r="G418" s="52">
        <f t="shared" si="68"/>
        <v>0</v>
      </c>
      <c r="H418" s="942"/>
      <c r="I418" s="52">
        <f t="shared" si="69"/>
        <v>0</v>
      </c>
      <c r="J418" s="942"/>
      <c r="K418" s="52">
        <f t="shared" si="70"/>
        <v>1</v>
      </c>
      <c r="L418" s="942"/>
      <c r="M418" s="52">
        <f t="shared" si="71"/>
        <v>1</v>
      </c>
      <c r="N418" s="942"/>
      <c r="O418" s="52">
        <f t="shared" si="72"/>
        <v>1</v>
      </c>
      <c r="P418" s="942"/>
      <c r="Q418" s="52">
        <f t="shared" si="73"/>
        <v>1</v>
      </c>
      <c r="R418" s="470">
        <f t="shared" si="74"/>
        <v>0</v>
      </c>
      <c r="S418" s="779">
        <f t="shared" si="65"/>
        <v>0</v>
      </c>
    </row>
    <row r="419" spans="1:19">
      <c r="A419" s="944"/>
      <c r="B419" s="131"/>
      <c r="C419" s="52">
        <f t="shared" si="66"/>
        <v>1</v>
      </c>
      <c r="D419" s="942"/>
      <c r="E419" s="52">
        <f t="shared" si="67"/>
        <v>0</v>
      </c>
      <c r="F419" s="942"/>
      <c r="G419" s="52">
        <f t="shared" si="68"/>
        <v>0</v>
      </c>
      <c r="H419" s="942"/>
      <c r="I419" s="52">
        <f t="shared" si="69"/>
        <v>0</v>
      </c>
      <c r="J419" s="942"/>
      <c r="K419" s="52">
        <f t="shared" si="70"/>
        <v>1</v>
      </c>
      <c r="L419" s="942"/>
      <c r="M419" s="52">
        <f t="shared" si="71"/>
        <v>1</v>
      </c>
      <c r="N419" s="942"/>
      <c r="O419" s="52">
        <f t="shared" si="72"/>
        <v>1</v>
      </c>
      <c r="P419" s="942"/>
      <c r="Q419" s="52">
        <f t="shared" si="73"/>
        <v>1</v>
      </c>
      <c r="R419" s="470">
        <f t="shared" si="74"/>
        <v>0</v>
      </c>
      <c r="S419" s="779">
        <f t="shared" si="65"/>
        <v>0</v>
      </c>
    </row>
    <row r="420" spans="1:19">
      <c r="A420" s="944"/>
      <c r="B420" s="131"/>
      <c r="C420" s="52">
        <f t="shared" si="66"/>
        <v>1</v>
      </c>
      <c r="D420" s="942"/>
      <c r="E420" s="52">
        <f t="shared" si="67"/>
        <v>0</v>
      </c>
      <c r="F420" s="942"/>
      <c r="G420" s="52">
        <f t="shared" si="68"/>
        <v>0</v>
      </c>
      <c r="H420" s="942"/>
      <c r="I420" s="52">
        <f t="shared" si="69"/>
        <v>0</v>
      </c>
      <c r="J420" s="942"/>
      <c r="K420" s="52">
        <f t="shared" si="70"/>
        <v>1</v>
      </c>
      <c r="L420" s="942"/>
      <c r="M420" s="52">
        <f t="shared" si="71"/>
        <v>1</v>
      </c>
      <c r="N420" s="942"/>
      <c r="O420" s="52">
        <f t="shared" si="72"/>
        <v>1</v>
      </c>
      <c r="P420" s="942"/>
      <c r="Q420" s="52">
        <f t="shared" si="73"/>
        <v>1</v>
      </c>
      <c r="R420" s="470">
        <f t="shared" si="74"/>
        <v>0</v>
      </c>
      <c r="S420" s="779">
        <f t="shared" si="65"/>
        <v>0</v>
      </c>
    </row>
    <row r="421" spans="1:19">
      <c r="A421" s="944"/>
      <c r="B421" s="131"/>
      <c r="C421" s="52">
        <f t="shared" si="66"/>
        <v>1</v>
      </c>
      <c r="D421" s="942"/>
      <c r="E421" s="52">
        <f t="shared" si="67"/>
        <v>0</v>
      </c>
      <c r="F421" s="942"/>
      <c r="G421" s="52">
        <f t="shared" si="68"/>
        <v>0</v>
      </c>
      <c r="H421" s="942"/>
      <c r="I421" s="52">
        <f t="shared" si="69"/>
        <v>0</v>
      </c>
      <c r="J421" s="942"/>
      <c r="K421" s="52">
        <f t="shared" si="70"/>
        <v>1</v>
      </c>
      <c r="L421" s="942"/>
      <c r="M421" s="52">
        <f t="shared" si="71"/>
        <v>1</v>
      </c>
      <c r="N421" s="942"/>
      <c r="O421" s="52">
        <f t="shared" si="72"/>
        <v>1</v>
      </c>
      <c r="P421" s="942"/>
      <c r="Q421" s="52">
        <f t="shared" si="73"/>
        <v>1</v>
      </c>
      <c r="R421" s="470">
        <f t="shared" si="74"/>
        <v>0</v>
      </c>
      <c r="S421" s="779">
        <f t="shared" si="65"/>
        <v>0</v>
      </c>
    </row>
    <row r="422" spans="1:19">
      <c r="A422" s="944"/>
      <c r="B422" s="131"/>
      <c r="C422" s="52">
        <f t="shared" si="66"/>
        <v>1</v>
      </c>
      <c r="D422" s="942"/>
      <c r="E422" s="52">
        <f t="shared" si="67"/>
        <v>0</v>
      </c>
      <c r="F422" s="942"/>
      <c r="G422" s="52">
        <f t="shared" si="68"/>
        <v>0</v>
      </c>
      <c r="H422" s="942"/>
      <c r="I422" s="52">
        <f t="shared" si="69"/>
        <v>0</v>
      </c>
      <c r="J422" s="942"/>
      <c r="K422" s="52">
        <f t="shared" si="70"/>
        <v>1</v>
      </c>
      <c r="L422" s="942"/>
      <c r="M422" s="52">
        <f t="shared" si="71"/>
        <v>1</v>
      </c>
      <c r="N422" s="942"/>
      <c r="O422" s="52">
        <f t="shared" si="72"/>
        <v>1</v>
      </c>
      <c r="P422" s="942"/>
      <c r="Q422" s="52">
        <f t="shared" si="73"/>
        <v>1</v>
      </c>
      <c r="R422" s="470">
        <f t="shared" si="74"/>
        <v>0</v>
      </c>
      <c r="S422" s="779">
        <f t="shared" si="65"/>
        <v>0</v>
      </c>
    </row>
    <row r="423" spans="1:19">
      <c r="A423" s="944"/>
      <c r="B423" s="131"/>
      <c r="C423" s="52">
        <f t="shared" si="66"/>
        <v>1</v>
      </c>
      <c r="D423" s="942"/>
      <c r="E423" s="52">
        <f t="shared" si="67"/>
        <v>0</v>
      </c>
      <c r="F423" s="942"/>
      <c r="G423" s="52">
        <f t="shared" si="68"/>
        <v>0</v>
      </c>
      <c r="H423" s="942"/>
      <c r="I423" s="52">
        <f t="shared" si="69"/>
        <v>0</v>
      </c>
      <c r="J423" s="942"/>
      <c r="K423" s="52">
        <f t="shared" si="70"/>
        <v>1</v>
      </c>
      <c r="L423" s="942"/>
      <c r="M423" s="52">
        <f t="shared" si="71"/>
        <v>1</v>
      </c>
      <c r="N423" s="942"/>
      <c r="O423" s="52">
        <f t="shared" si="72"/>
        <v>1</v>
      </c>
      <c r="P423" s="942"/>
      <c r="Q423" s="52">
        <f t="shared" si="73"/>
        <v>1</v>
      </c>
      <c r="R423" s="470">
        <f t="shared" si="74"/>
        <v>0</v>
      </c>
      <c r="S423" s="779">
        <f t="shared" si="65"/>
        <v>0</v>
      </c>
    </row>
    <row r="424" spans="1:19">
      <c r="A424" s="944"/>
      <c r="B424" s="131"/>
      <c r="C424" s="52">
        <f t="shared" si="66"/>
        <v>1</v>
      </c>
      <c r="D424" s="942"/>
      <c r="E424" s="52">
        <f t="shared" si="67"/>
        <v>0</v>
      </c>
      <c r="F424" s="942"/>
      <c r="G424" s="52">
        <f t="shared" si="68"/>
        <v>0</v>
      </c>
      <c r="H424" s="942"/>
      <c r="I424" s="52">
        <f t="shared" si="69"/>
        <v>0</v>
      </c>
      <c r="J424" s="942"/>
      <c r="K424" s="52">
        <f t="shared" si="70"/>
        <v>1</v>
      </c>
      <c r="L424" s="942"/>
      <c r="M424" s="52">
        <f t="shared" si="71"/>
        <v>1</v>
      </c>
      <c r="N424" s="942"/>
      <c r="O424" s="52">
        <f t="shared" si="72"/>
        <v>1</v>
      </c>
      <c r="P424" s="942"/>
      <c r="Q424" s="52">
        <f t="shared" si="73"/>
        <v>1</v>
      </c>
      <c r="R424" s="470">
        <f t="shared" si="74"/>
        <v>0</v>
      </c>
      <c r="S424" s="779">
        <f t="shared" si="65"/>
        <v>0</v>
      </c>
    </row>
    <row r="425" spans="1:19">
      <c r="A425" s="944"/>
      <c r="B425" s="131"/>
      <c r="C425" s="52">
        <f t="shared" si="66"/>
        <v>1</v>
      </c>
      <c r="D425" s="942"/>
      <c r="E425" s="52">
        <f t="shared" si="67"/>
        <v>0</v>
      </c>
      <c r="F425" s="942"/>
      <c r="G425" s="52">
        <f t="shared" si="68"/>
        <v>0</v>
      </c>
      <c r="H425" s="942"/>
      <c r="I425" s="52">
        <f t="shared" si="69"/>
        <v>0</v>
      </c>
      <c r="J425" s="942"/>
      <c r="K425" s="52">
        <f t="shared" si="70"/>
        <v>1</v>
      </c>
      <c r="L425" s="942"/>
      <c r="M425" s="52">
        <f t="shared" si="71"/>
        <v>1</v>
      </c>
      <c r="N425" s="942"/>
      <c r="O425" s="52">
        <f t="shared" si="72"/>
        <v>1</v>
      </c>
      <c r="P425" s="942"/>
      <c r="Q425" s="52">
        <f t="shared" si="73"/>
        <v>1</v>
      </c>
      <c r="R425" s="470">
        <f t="shared" si="74"/>
        <v>0</v>
      </c>
      <c r="S425" s="779">
        <f t="shared" si="65"/>
        <v>0</v>
      </c>
    </row>
    <row r="426" spans="1:19">
      <c r="A426" s="944"/>
      <c r="B426" s="131"/>
      <c r="C426" s="52">
        <f t="shared" si="66"/>
        <v>1</v>
      </c>
      <c r="D426" s="942"/>
      <c r="E426" s="52">
        <f t="shared" si="67"/>
        <v>0</v>
      </c>
      <c r="F426" s="942"/>
      <c r="G426" s="52">
        <f t="shared" si="68"/>
        <v>0</v>
      </c>
      <c r="H426" s="942"/>
      <c r="I426" s="52">
        <f t="shared" si="69"/>
        <v>0</v>
      </c>
      <c r="J426" s="942"/>
      <c r="K426" s="52">
        <f t="shared" si="70"/>
        <v>1</v>
      </c>
      <c r="L426" s="942"/>
      <c r="M426" s="52">
        <f t="shared" si="71"/>
        <v>1</v>
      </c>
      <c r="N426" s="942"/>
      <c r="O426" s="52">
        <f t="shared" si="72"/>
        <v>1</v>
      </c>
      <c r="P426" s="942"/>
      <c r="Q426" s="52">
        <f t="shared" si="73"/>
        <v>1</v>
      </c>
      <c r="R426" s="470">
        <f t="shared" si="74"/>
        <v>0</v>
      </c>
      <c r="S426" s="779">
        <f t="shared" si="65"/>
        <v>0</v>
      </c>
    </row>
    <row r="427" spans="1:19">
      <c r="A427" s="944"/>
      <c r="B427" s="131"/>
      <c r="C427" s="52">
        <f t="shared" si="66"/>
        <v>1</v>
      </c>
      <c r="D427" s="942"/>
      <c r="E427" s="52">
        <f t="shared" si="67"/>
        <v>0</v>
      </c>
      <c r="F427" s="942"/>
      <c r="G427" s="52">
        <f t="shared" si="68"/>
        <v>0</v>
      </c>
      <c r="H427" s="942"/>
      <c r="I427" s="52">
        <f t="shared" si="69"/>
        <v>0</v>
      </c>
      <c r="J427" s="942"/>
      <c r="K427" s="52">
        <f t="shared" si="70"/>
        <v>1</v>
      </c>
      <c r="L427" s="942"/>
      <c r="M427" s="52">
        <f t="shared" si="71"/>
        <v>1</v>
      </c>
      <c r="N427" s="942"/>
      <c r="O427" s="52">
        <f t="shared" si="72"/>
        <v>1</v>
      </c>
      <c r="P427" s="942"/>
      <c r="Q427" s="52">
        <f t="shared" si="73"/>
        <v>1</v>
      </c>
      <c r="R427" s="470">
        <f t="shared" si="74"/>
        <v>0</v>
      </c>
      <c r="S427" s="779">
        <f t="shared" si="65"/>
        <v>0</v>
      </c>
    </row>
    <row r="428" spans="1:19">
      <c r="A428" s="944"/>
      <c r="B428" s="131"/>
      <c r="C428" s="52">
        <f t="shared" si="66"/>
        <v>1</v>
      </c>
      <c r="D428" s="942"/>
      <c r="E428" s="52">
        <f t="shared" si="67"/>
        <v>0</v>
      </c>
      <c r="F428" s="942"/>
      <c r="G428" s="52">
        <f t="shared" si="68"/>
        <v>0</v>
      </c>
      <c r="H428" s="942"/>
      <c r="I428" s="52">
        <f t="shared" si="69"/>
        <v>0</v>
      </c>
      <c r="J428" s="942"/>
      <c r="K428" s="52">
        <f t="shared" si="70"/>
        <v>1</v>
      </c>
      <c r="L428" s="942"/>
      <c r="M428" s="52">
        <f t="shared" si="71"/>
        <v>1</v>
      </c>
      <c r="N428" s="942"/>
      <c r="O428" s="52">
        <f t="shared" si="72"/>
        <v>1</v>
      </c>
      <c r="P428" s="942"/>
      <c r="Q428" s="52">
        <f t="shared" si="73"/>
        <v>1</v>
      </c>
      <c r="R428" s="470">
        <f t="shared" si="74"/>
        <v>0</v>
      </c>
      <c r="S428" s="779">
        <f t="shared" si="65"/>
        <v>0</v>
      </c>
    </row>
    <row r="429" spans="1:19">
      <c r="A429" s="944"/>
      <c r="B429" s="131"/>
      <c r="C429" s="52">
        <f t="shared" si="66"/>
        <v>1</v>
      </c>
      <c r="D429" s="942"/>
      <c r="E429" s="52">
        <f t="shared" si="67"/>
        <v>0</v>
      </c>
      <c r="F429" s="942"/>
      <c r="G429" s="52">
        <f t="shared" si="68"/>
        <v>0</v>
      </c>
      <c r="H429" s="942"/>
      <c r="I429" s="52">
        <f t="shared" si="69"/>
        <v>0</v>
      </c>
      <c r="J429" s="942"/>
      <c r="K429" s="52">
        <f t="shared" si="70"/>
        <v>1</v>
      </c>
      <c r="L429" s="942"/>
      <c r="M429" s="52">
        <f t="shared" si="71"/>
        <v>1</v>
      </c>
      <c r="N429" s="942"/>
      <c r="O429" s="52">
        <f t="shared" si="72"/>
        <v>1</v>
      </c>
      <c r="P429" s="942"/>
      <c r="Q429" s="52">
        <f t="shared" si="73"/>
        <v>1</v>
      </c>
      <c r="R429" s="470">
        <f t="shared" si="74"/>
        <v>0</v>
      </c>
      <c r="S429" s="779">
        <f t="shared" si="65"/>
        <v>0</v>
      </c>
    </row>
    <row r="430" spans="1:19">
      <c r="A430" s="944"/>
      <c r="B430" s="131"/>
      <c r="C430" s="52">
        <f t="shared" si="66"/>
        <v>1</v>
      </c>
      <c r="D430" s="942"/>
      <c r="E430" s="52">
        <f t="shared" si="67"/>
        <v>0</v>
      </c>
      <c r="F430" s="942"/>
      <c r="G430" s="52">
        <f t="shared" si="68"/>
        <v>0</v>
      </c>
      <c r="H430" s="942"/>
      <c r="I430" s="52">
        <f t="shared" si="69"/>
        <v>0</v>
      </c>
      <c r="J430" s="942"/>
      <c r="K430" s="52">
        <f t="shared" si="70"/>
        <v>1</v>
      </c>
      <c r="L430" s="942"/>
      <c r="M430" s="52">
        <f t="shared" si="71"/>
        <v>1</v>
      </c>
      <c r="N430" s="942"/>
      <c r="O430" s="52">
        <f t="shared" si="72"/>
        <v>1</v>
      </c>
      <c r="P430" s="942"/>
      <c r="Q430" s="52">
        <f t="shared" si="73"/>
        <v>1</v>
      </c>
      <c r="R430" s="470">
        <f t="shared" si="74"/>
        <v>0</v>
      </c>
      <c r="S430" s="779">
        <f t="shared" si="65"/>
        <v>0</v>
      </c>
    </row>
    <row r="431" spans="1:19">
      <c r="A431" s="944"/>
      <c r="B431" s="131"/>
      <c r="C431" s="52">
        <f t="shared" si="66"/>
        <v>1</v>
      </c>
      <c r="D431" s="942"/>
      <c r="E431" s="52">
        <f t="shared" si="67"/>
        <v>0</v>
      </c>
      <c r="F431" s="942"/>
      <c r="G431" s="52">
        <f t="shared" si="68"/>
        <v>0</v>
      </c>
      <c r="H431" s="942"/>
      <c r="I431" s="52">
        <f t="shared" si="69"/>
        <v>0</v>
      </c>
      <c r="J431" s="942"/>
      <c r="K431" s="52">
        <f t="shared" si="70"/>
        <v>1</v>
      </c>
      <c r="L431" s="942"/>
      <c r="M431" s="52">
        <f t="shared" si="71"/>
        <v>1</v>
      </c>
      <c r="N431" s="942"/>
      <c r="O431" s="52">
        <f t="shared" si="72"/>
        <v>1</v>
      </c>
      <c r="P431" s="942"/>
      <c r="Q431" s="52">
        <f t="shared" si="73"/>
        <v>1</v>
      </c>
      <c r="R431" s="470">
        <f t="shared" si="74"/>
        <v>0</v>
      </c>
      <c r="S431" s="779">
        <f t="shared" si="65"/>
        <v>0</v>
      </c>
    </row>
    <row r="432" spans="1:19">
      <c r="A432" s="944"/>
      <c r="B432" s="131"/>
      <c r="C432" s="52">
        <f t="shared" si="66"/>
        <v>1</v>
      </c>
      <c r="D432" s="942"/>
      <c r="E432" s="52">
        <f t="shared" si="67"/>
        <v>0</v>
      </c>
      <c r="F432" s="942"/>
      <c r="G432" s="52">
        <f t="shared" si="68"/>
        <v>0</v>
      </c>
      <c r="H432" s="942"/>
      <c r="I432" s="52">
        <f t="shared" si="69"/>
        <v>0</v>
      </c>
      <c r="J432" s="942"/>
      <c r="K432" s="52">
        <f t="shared" si="70"/>
        <v>1</v>
      </c>
      <c r="L432" s="942"/>
      <c r="M432" s="52">
        <f t="shared" si="71"/>
        <v>1</v>
      </c>
      <c r="N432" s="942"/>
      <c r="O432" s="52">
        <f t="shared" si="72"/>
        <v>1</v>
      </c>
      <c r="P432" s="942"/>
      <c r="Q432" s="52">
        <f t="shared" si="73"/>
        <v>1</v>
      </c>
      <c r="R432" s="470">
        <f t="shared" si="74"/>
        <v>0</v>
      </c>
      <c r="S432" s="779">
        <f t="shared" si="65"/>
        <v>0</v>
      </c>
    </row>
    <row r="433" spans="1:19">
      <c r="A433" s="944"/>
      <c r="B433" s="131"/>
      <c r="C433" s="52">
        <f t="shared" si="66"/>
        <v>1</v>
      </c>
      <c r="D433" s="942"/>
      <c r="E433" s="52">
        <f t="shared" si="67"/>
        <v>0</v>
      </c>
      <c r="F433" s="942"/>
      <c r="G433" s="52">
        <f t="shared" si="68"/>
        <v>0</v>
      </c>
      <c r="H433" s="942"/>
      <c r="I433" s="52">
        <f t="shared" si="69"/>
        <v>0</v>
      </c>
      <c r="J433" s="942"/>
      <c r="K433" s="52">
        <f t="shared" si="70"/>
        <v>1</v>
      </c>
      <c r="L433" s="942"/>
      <c r="M433" s="52">
        <f t="shared" si="71"/>
        <v>1</v>
      </c>
      <c r="N433" s="942"/>
      <c r="O433" s="52">
        <f t="shared" si="72"/>
        <v>1</v>
      </c>
      <c r="P433" s="942"/>
      <c r="Q433" s="52">
        <f t="shared" si="73"/>
        <v>1</v>
      </c>
      <c r="R433" s="470">
        <f t="shared" si="74"/>
        <v>0</v>
      </c>
      <c r="S433" s="779">
        <f t="shared" si="65"/>
        <v>0</v>
      </c>
    </row>
    <row r="434" spans="1:19">
      <c r="A434" s="944"/>
      <c r="B434" s="131"/>
      <c r="C434" s="52">
        <f t="shared" si="66"/>
        <v>1</v>
      </c>
      <c r="D434" s="942"/>
      <c r="E434" s="52">
        <f t="shared" si="67"/>
        <v>0</v>
      </c>
      <c r="F434" s="942"/>
      <c r="G434" s="52">
        <f t="shared" si="68"/>
        <v>0</v>
      </c>
      <c r="H434" s="942"/>
      <c r="I434" s="52">
        <f t="shared" si="69"/>
        <v>0</v>
      </c>
      <c r="J434" s="942"/>
      <c r="K434" s="52">
        <f t="shared" si="70"/>
        <v>1</v>
      </c>
      <c r="L434" s="942"/>
      <c r="M434" s="52">
        <f t="shared" si="71"/>
        <v>1</v>
      </c>
      <c r="N434" s="942"/>
      <c r="O434" s="52">
        <f t="shared" si="72"/>
        <v>1</v>
      </c>
      <c r="P434" s="942"/>
      <c r="Q434" s="52">
        <f t="shared" si="73"/>
        <v>1</v>
      </c>
      <c r="R434" s="470">
        <f t="shared" si="74"/>
        <v>0</v>
      </c>
      <c r="S434" s="779">
        <f t="shared" si="65"/>
        <v>0</v>
      </c>
    </row>
    <row r="435" spans="1:19">
      <c r="A435" s="944"/>
      <c r="B435" s="131"/>
      <c r="C435" s="52">
        <f t="shared" si="66"/>
        <v>1</v>
      </c>
      <c r="D435" s="942"/>
      <c r="E435" s="52">
        <f t="shared" si="67"/>
        <v>0</v>
      </c>
      <c r="F435" s="942"/>
      <c r="G435" s="52">
        <f t="shared" si="68"/>
        <v>0</v>
      </c>
      <c r="H435" s="942"/>
      <c r="I435" s="52">
        <f t="shared" si="69"/>
        <v>0</v>
      </c>
      <c r="J435" s="942"/>
      <c r="K435" s="52">
        <f t="shared" si="70"/>
        <v>1</v>
      </c>
      <c r="L435" s="942"/>
      <c r="M435" s="52">
        <f t="shared" si="71"/>
        <v>1</v>
      </c>
      <c r="N435" s="942"/>
      <c r="O435" s="52">
        <f t="shared" si="72"/>
        <v>1</v>
      </c>
      <c r="P435" s="942"/>
      <c r="Q435" s="52">
        <f t="shared" si="73"/>
        <v>1</v>
      </c>
      <c r="R435" s="470">
        <f t="shared" si="74"/>
        <v>0</v>
      </c>
      <c r="S435" s="779">
        <f t="shared" si="65"/>
        <v>0</v>
      </c>
    </row>
    <row r="436" spans="1:19">
      <c r="A436" s="944"/>
      <c r="B436" s="131"/>
      <c r="C436" s="52">
        <f t="shared" si="66"/>
        <v>1</v>
      </c>
      <c r="D436" s="942"/>
      <c r="E436" s="52">
        <f t="shared" si="67"/>
        <v>0</v>
      </c>
      <c r="F436" s="942"/>
      <c r="G436" s="52">
        <f t="shared" si="68"/>
        <v>0</v>
      </c>
      <c r="H436" s="942"/>
      <c r="I436" s="52">
        <f t="shared" si="69"/>
        <v>0</v>
      </c>
      <c r="J436" s="942"/>
      <c r="K436" s="52">
        <f t="shared" si="70"/>
        <v>1</v>
      </c>
      <c r="L436" s="942"/>
      <c r="M436" s="52">
        <f t="shared" si="71"/>
        <v>1</v>
      </c>
      <c r="N436" s="942"/>
      <c r="O436" s="52">
        <f t="shared" si="72"/>
        <v>1</v>
      </c>
      <c r="P436" s="942"/>
      <c r="Q436" s="52">
        <f t="shared" si="73"/>
        <v>1</v>
      </c>
      <c r="R436" s="470">
        <f t="shared" si="74"/>
        <v>0</v>
      </c>
      <c r="S436" s="779">
        <f t="shared" si="65"/>
        <v>0</v>
      </c>
    </row>
    <row r="437" spans="1:19">
      <c r="A437" s="944"/>
      <c r="B437" s="131"/>
      <c r="C437" s="52">
        <f t="shared" si="66"/>
        <v>1</v>
      </c>
      <c r="D437" s="942"/>
      <c r="E437" s="52">
        <f t="shared" si="67"/>
        <v>0</v>
      </c>
      <c r="F437" s="942"/>
      <c r="G437" s="52">
        <f t="shared" si="68"/>
        <v>0</v>
      </c>
      <c r="H437" s="942"/>
      <c r="I437" s="52">
        <f t="shared" si="69"/>
        <v>0</v>
      </c>
      <c r="J437" s="942"/>
      <c r="K437" s="52">
        <f t="shared" si="70"/>
        <v>1</v>
      </c>
      <c r="L437" s="942"/>
      <c r="M437" s="52">
        <f t="shared" si="71"/>
        <v>1</v>
      </c>
      <c r="N437" s="942"/>
      <c r="O437" s="52">
        <f t="shared" si="72"/>
        <v>1</v>
      </c>
      <c r="P437" s="942"/>
      <c r="Q437" s="52">
        <f t="shared" si="73"/>
        <v>1</v>
      </c>
      <c r="R437" s="470">
        <f t="shared" si="74"/>
        <v>0</v>
      </c>
      <c r="S437" s="779">
        <f t="shared" si="65"/>
        <v>0</v>
      </c>
    </row>
    <row r="438" spans="1:19">
      <c r="A438" s="944"/>
      <c r="B438" s="131"/>
      <c r="C438" s="52">
        <f t="shared" si="66"/>
        <v>1</v>
      </c>
      <c r="D438" s="942"/>
      <c r="E438" s="52">
        <f t="shared" si="67"/>
        <v>0</v>
      </c>
      <c r="F438" s="942"/>
      <c r="G438" s="52">
        <f t="shared" si="68"/>
        <v>0</v>
      </c>
      <c r="H438" s="942"/>
      <c r="I438" s="52">
        <f t="shared" si="69"/>
        <v>0</v>
      </c>
      <c r="J438" s="942"/>
      <c r="K438" s="52">
        <f t="shared" si="70"/>
        <v>1</v>
      </c>
      <c r="L438" s="942"/>
      <c r="M438" s="52">
        <f t="shared" si="71"/>
        <v>1</v>
      </c>
      <c r="N438" s="942"/>
      <c r="O438" s="52">
        <f t="shared" si="72"/>
        <v>1</v>
      </c>
      <c r="P438" s="942"/>
      <c r="Q438" s="52">
        <f t="shared" si="73"/>
        <v>1</v>
      </c>
      <c r="R438" s="470">
        <f t="shared" si="74"/>
        <v>0</v>
      </c>
      <c r="S438" s="779">
        <f t="shared" si="65"/>
        <v>0</v>
      </c>
    </row>
    <row r="439" spans="1:19">
      <c r="A439" s="944"/>
      <c r="B439" s="131"/>
      <c r="C439" s="52">
        <f t="shared" si="66"/>
        <v>1</v>
      </c>
      <c r="D439" s="942"/>
      <c r="E439" s="52">
        <f t="shared" si="67"/>
        <v>0</v>
      </c>
      <c r="F439" s="942"/>
      <c r="G439" s="52">
        <f t="shared" si="68"/>
        <v>0</v>
      </c>
      <c r="H439" s="942"/>
      <c r="I439" s="52">
        <f t="shared" si="69"/>
        <v>0</v>
      </c>
      <c r="J439" s="942"/>
      <c r="K439" s="52">
        <f t="shared" si="70"/>
        <v>1</v>
      </c>
      <c r="L439" s="942"/>
      <c r="M439" s="52">
        <f t="shared" si="71"/>
        <v>1</v>
      </c>
      <c r="N439" s="942"/>
      <c r="O439" s="52">
        <f t="shared" si="72"/>
        <v>1</v>
      </c>
      <c r="P439" s="942"/>
      <c r="Q439" s="52">
        <f t="shared" si="73"/>
        <v>1</v>
      </c>
      <c r="R439" s="470">
        <f t="shared" si="74"/>
        <v>0</v>
      </c>
      <c r="S439" s="779">
        <f t="shared" si="65"/>
        <v>0</v>
      </c>
    </row>
    <row r="440" spans="1:19">
      <c r="A440" s="944"/>
      <c r="B440" s="131"/>
      <c r="C440" s="52">
        <f t="shared" si="66"/>
        <v>1</v>
      </c>
      <c r="D440" s="942"/>
      <c r="E440" s="52">
        <f t="shared" si="67"/>
        <v>0</v>
      </c>
      <c r="F440" s="942"/>
      <c r="G440" s="52">
        <f t="shared" si="68"/>
        <v>0</v>
      </c>
      <c r="H440" s="942"/>
      <c r="I440" s="52">
        <f t="shared" si="69"/>
        <v>0</v>
      </c>
      <c r="J440" s="942"/>
      <c r="K440" s="52">
        <f t="shared" si="70"/>
        <v>1</v>
      </c>
      <c r="L440" s="942"/>
      <c r="M440" s="52">
        <f t="shared" si="71"/>
        <v>1</v>
      </c>
      <c r="N440" s="942"/>
      <c r="O440" s="52">
        <f t="shared" si="72"/>
        <v>1</v>
      </c>
      <c r="P440" s="942"/>
      <c r="Q440" s="52">
        <f t="shared" si="73"/>
        <v>1</v>
      </c>
      <c r="R440" s="470">
        <f t="shared" si="74"/>
        <v>0</v>
      </c>
      <c r="S440" s="779">
        <f t="shared" si="65"/>
        <v>0</v>
      </c>
    </row>
    <row r="441" spans="1:19">
      <c r="A441" s="944"/>
      <c r="B441" s="131"/>
      <c r="C441" s="52">
        <f t="shared" si="66"/>
        <v>1</v>
      </c>
      <c r="D441" s="942"/>
      <c r="E441" s="52">
        <f t="shared" si="67"/>
        <v>0</v>
      </c>
      <c r="F441" s="942"/>
      <c r="G441" s="52">
        <f t="shared" si="68"/>
        <v>0</v>
      </c>
      <c r="H441" s="942"/>
      <c r="I441" s="52">
        <f t="shared" si="69"/>
        <v>0</v>
      </c>
      <c r="J441" s="942"/>
      <c r="K441" s="52">
        <f t="shared" si="70"/>
        <v>1</v>
      </c>
      <c r="L441" s="942"/>
      <c r="M441" s="52">
        <f t="shared" si="71"/>
        <v>1</v>
      </c>
      <c r="N441" s="942"/>
      <c r="O441" s="52">
        <f t="shared" si="72"/>
        <v>1</v>
      </c>
      <c r="P441" s="942"/>
      <c r="Q441" s="52">
        <f t="shared" si="73"/>
        <v>1</v>
      </c>
      <c r="R441" s="470">
        <f t="shared" si="74"/>
        <v>0</v>
      </c>
      <c r="S441" s="779">
        <f t="shared" si="65"/>
        <v>0</v>
      </c>
    </row>
    <row r="442" spans="1:19">
      <c r="A442" s="944"/>
      <c r="B442" s="131"/>
      <c r="C442" s="52">
        <f t="shared" si="66"/>
        <v>1</v>
      </c>
      <c r="D442" s="942"/>
      <c r="E442" s="52">
        <f t="shared" si="67"/>
        <v>0</v>
      </c>
      <c r="F442" s="942"/>
      <c r="G442" s="52">
        <f t="shared" si="68"/>
        <v>0</v>
      </c>
      <c r="H442" s="942"/>
      <c r="I442" s="52">
        <f t="shared" si="69"/>
        <v>0</v>
      </c>
      <c r="J442" s="942"/>
      <c r="K442" s="52">
        <f t="shared" si="70"/>
        <v>1</v>
      </c>
      <c r="L442" s="942"/>
      <c r="M442" s="52">
        <f t="shared" si="71"/>
        <v>1</v>
      </c>
      <c r="N442" s="942"/>
      <c r="O442" s="52">
        <f t="shared" si="72"/>
        <v>1</v>
      </c>
      <c r="P442" s="942"/>
      <c r="Q442" s="52">
        <f t="shared" si="73"/>
        <v>1</v>
      </c>
      <c r="R442" s="470">
        <f t="shared" si="74"/>
        <v>0</v>
      </c>
      <c r="S442" s="779">
        <f t="shared" si="65"/>
        <v>0</v>
      </c>
    </row>
    <row r="443" spans="1:19">
      <c r="A443" s="944"/>
      <c r="B443" s="131"/>
      <c r="C443" s="52">
        <f t="shared" si="66"/>
        <v>1</v>
      </c>
      <c r="D443" s="942"/>
      <c r="E443" s="52">
        <f t="shared" si="67"/>
        <v>0</v>
      </c>
      <c r="F443" s="942"/>
      <c r="G443" s="52">
        <f t="shared" si="68"/>
        <v>0</v>
      </c>
      <c r="H443" s="942"/>
      <c r="I443" s="52">
        <f t="shared" si="69"/>
        <v>0</v>
      </c>
      <c r="J443" s="942"/>
      <c r="K443" s="52">
        <f t="shared" si="70"/>
        <v>1</v>
      </c>
      <c r="L443" s="942"/>
      <c r="M443" s="52">
        <f t="shared" si="71"/>
        <v>1</v>
      </c>
      <c r="N443" s="942"/>
      <c r="O443" s="52">
        <f t="shared" si="72"/>
        <v>1</v>
      </c>
      <c r="P443" s="942"/>
      <c r="Q443" s="52">
        <f t="shared" si="73"/>
        <v>1</v>
      </c>
      <c r="R443" s="470">
        <f t="shared" si="74"/>
        <v>0</v>
      </c>
      <c r="S443" s="779">
        <f t="shared" si="65"/>
        <v>0</v>
      </c>
    </row>
    <row r="444" spans="1:19">
      <c r="A444" s="944"/>
      <c r="B444" s="131"/>
      <c r="C444" s="52">
        <f t="shared" si="66"/>
        <v>1</v>
      </c>
      <c r="D444" s="942"/>
      <c r="E444" s="52">
        <f t="shared" si="67"/>
        <v>0</v>
      </c>
      <c r="F444" s="942"/>
      <c r="G444" s="52">
        <f t="shared" si="68"/>
        <v>0</v>
      </c>
      <c r="H444" s="942"/>
      <c r="I444" s="52">
        <f t="shared" si="69"/>
        <v>0</v>
      </c>
      <c r="J444" s="942"/>
      <c r="K444" s="52">
        <f t="shared" si="70"/>
        <v>1</v>
      </c>
      <c r="L444" s="942"/>
      <c r="M444" s="52">
        <f t="shared" si="71"/>
        <v>1</v>
      </c>
      <c r="N444" s="942"/>
      <c r="O444" s="52">
        <f t="shared" si="72"/>
        <v>1</v>
      </c>
      <c r="P444" s="942"/>
      <c r="Q444" s="52">
        <f t="shared" si="73"/>
        <v>1</v>
      </c>
      <c r="R444" s="470">
        <f t="shared" si="74"/>
        <v>0</v>
      </c>
      <c r="S444" s="779">
        <f t="shared" si="65"/>
        <v>0</v>
      </c>
    </row>
    <row r="445" spans="1:19">
      <c r="A445" s="944"/>
      <c r="B445" s="131"/>
      <c r="C445" s="52">
        <f t="shared" si="66"/>
        <v>1</v>
      </c>
      <c r="D445" s="942"/>
      <c r="E445" s="52">
        <f t="shared" si="67"/>
        <v>0</v>
      </c>
      <c r="F445" s="942"/>
      <c r="G445" s="52">
        <f t="shared" si="68"/>
        <v>0</v>
      </c>
      <c r="H445" s="942"/>
      <c r="I445" s="52">
        <f t="shared" si="69"/>
        <v>0</v>
      </c>
      <c r="J445" s="942"/>
      <c r="K445" s="52">
        <f t="shared" si="70"/>
        <v>1</v>
      </c>
      <c r="L445" s="942"/>
      <c r="M445" s="52">
        <f t="shared" si="71"/>
        <v>1</v>
      </c>
      <c r="N445" s="942"/>
      <c r="O445" s="52">
        <f t="shared" si="72"/>
        <v>1</v>
      </c>
      <c r="P445" s="942"/>
      <c r="Q445" s="52">
        <f t="shared" si="73"/>
        <v>1</v>
      </c>
      <c r="R445" s="470">
        <f t="shared" si="74"/>
        <v>0</v>
      </c>
      <c r="S445" s="779">
        <f t="shared" si="65"/>
        <v>0</v>
      </c>
    </row>
    <row r="446" spans="1:19">
      <c r="A446" s="944"/>
      <c r="B446" s="131"/>
      <c r="C446" s="52">
        <f t="shared" si="66"/>
        <v>1</v>
      </c>
      <c r="D446" s="942"/>
      <c r="E446" s="52">
        <f t="shared" si="67"/>
        <v>0</v>
      </c>
      <c r="F446" s="942"/>
      <c r="G446" s="52">
        <f t="shared" si="68"/>
        <v>0</v>
      </c>
      <c r="H446" s="942"/>
      <c r="I446" s="52">
        <f t="shared" si="69"/>
        <v>0</v>
      </c>
      <c r="J446" s="942"/>
      <c r="K446" s="52">
        <f t="shared" si="70"/>
        <v>1</v>
      </c>
      <c r="L446" s="942"/>
      <c r="M446" s="52">
        <f t="shared" si="71"/>
        <v>1</v>
      </c>
      <c r="N446" s="942"/>
      <c r="O446" s="52">
        <f t="shared" si="72"/>
        <v>1</v>
      </c>
      <c r="P446" s="942"/>
      <c r="Q446" s="52">
        <f t="shared" si="73"/>
        <v>1</v>
      </c>
      <c r="R446" s="470">
        <f t="shared" si="74"/>
        <v>0</v>
      </c>
      <c r="S446" s="779">
        <f t="shared" si="65"/>
        <v>0</v>
      </c>
    </row>
    <row r="447" spans="1:19">
      <c r="A447" s="944"/>
      <c r="B447" s="131"/>
      <c r="C447" s="52">
        <f t="shared" si="66"/>
        <v>1</v>
      </c>
      <c r="D447" s="942"/>
      <c r="E447" s="52">
        <f t="shared" si="67"/>
        <v>0</v>
      </c>
      <c r="F447" s="942"/>
      <c r="G447" s="52">
        <f t="shared" si="68"/>
        <v>0</v>
      </c>
      <c r="H447" s="942"/>
      <c r="I447" s="52">
        <f t="shared" si="69"/>
        <v>0</v>
      </c>
      <c r="J447" s="942"/>
      <c r="K447" s="52">
        <f t="shared" si="70"/>
        <v>1</v>
      </c>
      <c r="L447" s="942"/>
      <c r="M447" s="52">
        <f t="shared" si="71"/>
        <v>1</v>
      </c>
      <c r="N447" s="942"/>
      <c r="O447" s="52">
        <f t="shared" si="72"/>
        <v>1</v>
      </c>
      <c r="P447" s="942"/>
      <c r="Q447" s="52">
        <f t="shared" si="73"/>
        <v>1</v>
      </c>
      <c r="R447" s="470">
        <f t="shared" si="74"/>
        <v>0</v>
      </c>
      <c r="S447" s="779">
        <f t="shared" si="65"/>
        <v>0</v>
      </c>
    </row>
    <row r="448" spans="1:19">
      <c r="A448" s="944"/>
      <c r="B448" s="131"/>
      <c r="C448" s="52">
        <f t="shared" si="66"/>
        <v>1</v>
      </c>
      <c r="D448" s="942"/>
      <c r="E448" s="52">
        <f t="shared" si="67"/>
        <v>0</v>
      </c>
      <c r="F448" s="942"/>
      <c r="G448" s="52">
        <f t="shared" si="68"/>
        <v>0</v>
      </c>
      <c r="H448" s="942"/>
      <c r="I448" s="52">
        <f t="shared" si="69"/>
        <v>0</v>
      </c>
      <c r="J448" s="942"/>
      <c r="K448" s="52">
        <f t="shared" si="70"/>
        <v>1</v>
      </c>
      <c r="L448" s="942"/>
      <c r="M448" s="52">
        <f t="shared" si="71"/>
        <v>1</v>
      </c>
      <c r="N448" s="942"/>
      <c r="O448" s="52">
        <f t="shared" si="72"/>
        <v>1</v>
      </c>
      <c r="P448" s="942"/>
      <c r="Q448" s="52">
        <f t="shared" si="73"/>
        <v>1</v>
      </c>
      <c r="R448" s="470">
        <f t="shared" si="74"/>
        <v>0</v>
      </c>
      <c r="S448" s="779">
        <f t="shared" si="65"/>
        <v>0</v>
      </c>
    </row>
    <row r="449" spans="1:19">
      <c r="A449" s="944"/>
      <c r="B449" s="131"/>
      <c r="C449" s="52">
        <f t="shared" si="66"/>
        <v>1</v>
      </c>
      <c r="D449" s="942"/>
      <c r="E449" s="52">
        <f t="shared" si="67"/>
        <v>0</v>
      </c>
      <c r="F449" s="942"/>
      <c r="G449" s="52">
        <f t="shared" si="68"/>
        <v>0</v>
      </c>
      <c r="H449" s="942"/>
      <c r="I449" s="52">
        <f t="shared" si="69"/>
        <v>0</v>
      </c>
      <c r="J449" s="942"/>
      <c r="K449" s="52">
        <f t="shared" si="70"/>
        <v>1</v>
      </c>
      <c r="L449" s="942"/>
      <c r="M449" s="52">
        <f t="shared" si="71"/>
        <v>1</v>
      </c>
      <c r="N449" s="942"/>
      <c r="O449" s="52">
        <f t="shared" si="72"/>
        <v>1</v>
      </c>
      <c r="P449" s="942"/>
      <c r="Q449" s="52">
        <f t="shared" si="73"/>
        <v>1</v>
      </c>
      <c r="R449" s="470">
        <f t="shared" si="74"/>
        <v>0</v>
      </c>
      <c r="S449" s="779">
        <f t="shared" si="65"/>
        <v>0</v>
      </c>
    </row>
    <row r="450" spans="1:19">
      <c r="A450" s="944"/>
      <c r="B450" s="131"/>
      <c r="C450" s="52">
        <f t="shared" si="66"/>
        <v>1</v>
      </c>
      <c r="D450" s="942"/>
      <c r="E450" s="52">
        <f t="shared" si="67"/>
        <v>0</v>
      </c>
      <c r="F450" s="942"/>
      <c r="G450" s="52">
        <f t="shared" si="68"/>
        <v>0</v>
      </c>
      <c r="H450" s="942"/>
      <c r="I450" s="52">
        <f t="shared" si="69"/>
        <v>0</v>
      </c>
      <c r="J450" s="942"/>
      <c r="K450" s="52">
        <f t="shared" si="70"/>
        <v>1</v>
      </c>
      <c r="L450" s="942"/>
      <c r="M450" s="52">
        <f t="shared" si="71"/>
        <v>1</v>
      </c>
      <c r="N450" s="942"/>
      <c r="O450" s="52">
        <f t="shared" si="72"/>
        <v>1</v>
      </c>
      <c r="P450" s="942"/>
      <c r="Q450" s="52">
        <f t="shared" si="73"/>
        <v>1</v>
      </c>
      <c r="R450" s="470">
        <f t="shared" si="74"/>
        <v>0</v>
      </c>
      <c r="S450" s="779">
        <f t="shared" si="65"/>
        <v>0</v>
      </c>
    </row>
    <row r="451" spans="1:19">
      <c r="A451" s="944"/>
      <c r="B451" s="131"/>
      <c r="C451" s="52">
        <f t="shared" si="66"/>
        <v>1</v>
      </c>
      <c r="D451" s="942"/>
      <c r="E451" s="52">
        <f t="shared" si="67"/>
        <v>0</v>
      </c>
      <c r="F451" s="942"/>
      <c r="G451" s="52">
        <f t="shared" si="68"/>
        <v>0</v>
      </c>
      <c r="H451" s="942"/>
      <c r="I451" s="52">
        <f t="shared" si="69"/>
        <v>0</v>
      </c>
      <c r="J451" s="942"/>
      <c r="K451" s="52">
        <f t="shared" si="70"/>
        <v>1</v>
      </c>
      <c r="L451" s="942"/>
      <c r="M451" s="52">
        <f t="shared" si="71"/>
        <v>1</v>
      </c>
      <c r="N451" s="942"/>
      <c r="O451" s="52">
        <f t="shared" si="72"/>
        <v>1</v>
      </c>
      <c r="P451" s="942"/>
      <c r="Q451" s="52">
        <f t="shared" si="73"/>
        <v>1</v>
      </c>
      <c r="R451" s="470">
        <f t="shared" si="74"/>
        <v>0</v>
      </c>
      <c r="S451" s="779">
        <f t="shared" si="65"/>
        <v>0</v>
      </c>
    </row>
    <row r="452" spans="1:19">
      <c r="A452" s="944"/>
      <c r="B452" s="131"/>
      <c r="C452" s="52">
        <f t="shared" si="66"/>
        <v>1</v>
      </c>
      <c r="D452" s="942"/>
      <c r="E452" s="52">
        <f t="shared" si="67"/>
        <v>0</v>
      </c>
      <c r="F452" s="942"/>
      <c r="G452" s="52">
        <f t="shared" si="68"/>
        <v>0</v>
      </c>
      <c r="H452" s="942"/>
      <c r="I452" s="52">
        <f t="shared" si="69"/>
        <v>0</v>
      </c>
      <c r="J452" s="942"/>
      <c r="K452" s="52">
        <f t="shared" si="70"/>
        <v>1</v>
      </c>
      <c r="L452" s="942"/>
      <c r="M452" s="52">
        <f t="shared" si="71"/>
        <v>1</v>
      </c>
      <c r="N452" s="942"/>
      <c r="O452" s="52">
        <f t="shared" si="72"/>
        <v>1</v>
      </c>
      <c r="P452" s="942"/>
      <c r="Q452" s="52">
        <f t="shared" si="73"/>
        <v>1</v>
      </c>
      <c r="R452" s="470">
        <f t="shared" si="74"/>
        <v>0</v>
      </c>
      <c r="S452" s="779">
        <f t="shared" si="65"/>
        <v>0</v>
      </c>
    </row>
    <row r="453" spans="1:19">
      <c r="A453" s="944"/>
      <c r="B453" s="131"/>
      <c r="C453" s="52">
        <f t="shared" si="66"/>
        <v>1</v>
      </c>
      <c r="D453" s="942"/>
      <c r="E453" s="52">
        <f t="shared" si="67"/>
        <v>0</v>
      </c>
      <c r="F453" s="942"/>
      <c r="G453" s="52">
        <f t="shared" si="68"/>
        <v>0</v>
      </c>
      <c r="H453" s="942"/>
      <c r="I453" s="52">
        <f t="shared" si="69"/>
        <v>0</v>
      </c>
      <c r="J453" s="942"/>
      <c r="K453" s="52">
        <f t="shared" si="70"/>
        <v>1</v>
      </c>
      <c r="L453" s="942"/>
      <c r="M453" s="52">
        <f t="shared" si="71"/>
        <v>1</v>
      </c>
      <c r="N453" s="942"/>
      <c r="O453" s="52">
        <f t="shared" si="72"/>
        <v>1</v>
      </c>
      <c r="P453" s="942"/>
      <c r="Q453" s="52">
        <f t="shared" si="73"/>
        <v>1</v>
      </c>
      <c r="R453" s="470">
        <f t="shared" si="74"/>
        <v>0</v>
      </c>
      <c r="S453" s="779">
        <f t="shared" si="65"/>
        <v>0</v>
      </c>
    </row>
    <row r="454" spans="1:19">
      <c r="A454" s="944"/>
      <c r="B454" s="131"/>
      <c r="C454" s="52">
        <f t="shared" si="66"/>
        <v>1</v>
      </c>
      <c r="D454" s="942"/>
      <c r="E454" s="52">
        <f t="shared" si="67"/>
        <v>0</v>
      </c>
      <c r="F454" s="942"/>
      <c r="G454" s="52">
        <f t="shared" si="68"/>
        <v>0</v>
      </c>
      <c r="H454" s="942"/>
      <c r="I454" s="52">
        <f t="shared" si="69"/>
        <v>0</v>
      </c>
      <c r="J454" s="942"/>
      <c r="K454" s="52">
        <f t="shared" si="70"/>
        <v>1</v>
      </c>
      <c r="L454" s="942"/>
      <c r="M454" s="52">
        <f t="shared" si="71"/>
        <v>1</v>
      </c>
      <c r="N454" s="942"/>
      <c r="O454" s="52">
        <f t="shared" si="72"/>
        <v>1</v>
      </c>
      <c r="P454" s="942"/>
      <c r="Q454" s="52">
        <f t="shared" si="73"/>
        <v>1</v>
      </c>
      <c r="R454" s="470">
        <f t="shared" si="74"/>
        <v>0</v>
      </c>
      <c r="S454" s="779">
        <f t="shared" si="65"/>
        <v>0</v>
      </c>
    </row>
    <row r="455" spans="1:19">
      <c r="A455" s="944"/>
      <c r="B455" s="131"/>
      <c r="C455" s="52">
        <f t="shared" si="66"/>
        <v>1</v>
      </c>
      <c r="D455" s="942"/>
      <c r="E455" s="52">
        <f t="shared" si="67"/>
        <v>0</v>
      </c>
      <c r="F455" s="942"/>
      <c r="G455" s="52">
        <f t="shared" si="68"/>
        <v>0</v>
      </c>
      <c r="H455" s="942"/>
      <c r="I455" s="52">
        <f t="shared" si="69"/>
        <v>0</v>
      </c>
      <c r="J455" s="942"/>
      <c r="K455" s="52">
        <f t="shared" si="70"/>
        <v>1</v>
      </c>
      <c r="L455" s="942"/>
      <c r="M455" s="52">
        <f t="shared" si="71"/>
        <v>1</v>
      </c>
      <c r="N455" s="942"/>
      <c r="O455" s="52">
        <f t="shared" si="72"/>
        <v>1</v>
      </c>
      <c r="P455" s="942"/>
      <c r="Q455" s="52">
        <f t="shared" si="73"/>
        <v>1</v>
      </c>
      <c r="R455" s="470">
        <f t="shared" si="74"/>
        <v>0</v>
      </c>
      <c r="S455" s="779">
        <f t="shared" si="65"/>
        <v>0</v>
      </c>
    </row>
    <row r="456" spans="1:19">
      <c r="A456" s="944"/>
      <c r="B456" s="131"/>
      <c r="C456" s="52">
        <f t="shared" si="66"/>
        <v>1</v>
      </c>
      <c r="D456" s="942"/>
      <c r="E456" s="52">
        <f t="shared" si="67"/>
        <v>0</v>
      </c>
      <c r="F456" s="942"/>
      <c r="G456" s="52">
        <f t="shared" si="68"/>
        <v>0</v>
      </c>
      <c r="H456" s="942"/>
      <c r="I456" s="52">
        <f t="shared" si="69"/>
        <v>0</v>
      </c>
      <c r="J456" s="942"/>
      <c r="K456" s="52">
        <f t="shared" si="70"/>
        <v>1</v>
      </c>
      <c r="L456" s="942"/>
      <c r="M456" s="52">
        <f t="shared" si="71"/>
        <v>1</v>
      </c>
      <c r="N456" s="942"/>
      <c r="O456" s="52">
        <f t="shared" si="72"/>
        <v>1</v>
      </c>
      <c r="P456" s="942"/>
      <c r="Q456" s="52">
        <f t="shared" si="73"/>
        <v>1</v>
      </c>
      <c r="R456" s="470">
        <f t="shared" si="74"/>
        <v>0</v>
      </c>
      <c r="S456" s="779">
        <f t="shared" si="65"/>
        <v>0</v>
      </c>
    </row>
    <row r="457" spans="1:19">
      <c r="A457" s="944"/>
      <c r="B457" s="131"/>
      <c r="C457" s="52">
        <f t="shared" si="66"/>
        <v>1</v>
      </c>
      <c r="D457" s="942"/>
      <c r="E457" s="52">
        <f t="shared" si="67"/>
        <v>0</v>
      </c>
      <c r="F457" s="942"/>
      <c r="G457" s="52">
        <f t="shared" si="68"/>
        <v>0</v>
      </c>
      <c r="H457" s="942"/>
      <c r="I457" s="52">
        <f t="shared" si="69"/>
        <v>0</v>
      </c>
      <c r="J457" s="942"/>
      <c r="K457" s="52">
        <f t="shared" si="70"/>
        <v>1</v>
      </c>
      <c r="L457" s="942"/>
      <c r="M457" s="52">
        <f t="shared" si="71"/>
        <v>1</v>
      </c>
      <c r="N457" s="942"/>
      <c r="O457" s="52">
        <f t="shared" si="72"/>
        <v>1</v>
      </c>
      <c r="P457" s="942"/>
      <c r="Q457" s="52">
        <f t="shared" si="73"/>
        <v>1</v>
      </c>
      <c r="R457" s="470">
        <f t="shared" si="74"/>
        <v>0</v>
      </c>
      <c r="S457" s="779">
        <f t="shared" si="65"/>
        <v>0</v>
      </c>
    </row>
    <row r="458" spans="1:19">
      <c r="A458" s="944"/>
      <c r="B458" s="131"/>
      <c r="C458" s="52">
        <f t="shared" si="66"/>
        <v>1</v>
      </c>
      <c r="D458" s="942"/>
      <c r="E458" s="52">
        <f t="shared" si="67"/>
        <v>0</v>
      </c>
      <c r="F458" s="942"/>
      <c r="G458" s="52">
        <f t="shared" si="68"/>
        <v>0</v>
      </c>
      <c r="H458" s="942"/>
      <c r="I458" s="52">
        <f t="shared" si="69"/>
        <v>0</v>
      </c>
      <c r="J458" s="942"/>
      <c r="K458" s="52">
        <f t="shared" si="70"/>
        <v>1</v>
      </c>
      <c r="L458" s="942"/>
      <c r="M458" s="52">
        <f t="shared" si="71"/>
        <v>1</v>
      </c>
      <c r="N458" s="942"/>
      <c r="O458" s="52">
        <f t="shared" si="72"/>
        <v>1</v>
      </c>
      <c r="P458" s="942"/>
      <c r="Q458" s="52">
        <f t="shared" si="73"/>
        <v>1</v>
      </c>
      <c r="R458" s="470">
        <f t="shared" si="74"/>
        <v>0</v>
      </c>
      <c r="S458" s="779">
        <f t="shared" si="65"/>
        <v>0</v>
      </c>
    </row>
    <row r="459" spans="1:19">
      <c r="A459" s="944"/>
      <c r="B459" s="131"/>
      <c r="C459" s="52">
        <f t="shared" si="66"/>
        <v>1</v>
      </c>
      <c r="D459" s="942"/>
      <c r="E459" s="52">
        <f t="shared" si="67"/>
        <v>0</v>
      </c>
      <c r="F459" s="942"/>
      <c r="G459" s="52">
        <f t="shared" si="68"/>
        <v>0</v>
      </c>
      <c r="H459" s="942"/>
      <c r="I459" s="52">
        <f t="shared" si="69"/>
        <v>0</v>
      </c>
      <c r="J459" s="942"/>
      <c r="K459" s="52">
        <f t="shared" si="70"/>
        <v>1</v>
      </c>
      <c r="L459" s="942"/>
      <c r="M459" s="52">
        <f t="shared" si="71"/>
        <v>1</v>
      </c>
      <c r="N459" s="942"/>
      <c r="O459" s="52">
        <f t="shared" si="72"/>
        <v>1</v>
      </c>
      <c r="P459" s="942"/>
      <c r="Q459" s="52">
        <f t="shared" si="73"/>
        <v>1</v>
      </c>
      <c r="R459" s="470">
        <f t="shared" si="74"/>
        <v>0</v>
      </c>
      <c r="S459" s="779">
        <f t="shared" si="65"/>
        <v>0</v>
      </c>
    </row>
    <row r="460" spans="1:19">
      <c r="A460" s="944"/>
      <c r="B460" s="131"/>
      <c r="C460" s="52">
        <f t="shared" si="66"/>
        <v>1</v>
      </c>
      <c r="D460" s="942"/>
      <c r="E460" s="52">
        <f t="shared" si="67"/>
        <v>0</v>
      </c>
      <c r="F460" s="942"/>
      <c r="G460" s="52">
        <f t="shared" si="68"/>
        <v>0</v>
      </c>
      <c r="H460" s="942"/>
      <c r="I460" s="52">
        <f t="shared" si="69"/>
        <v>0</v>
      </c>
      <c r="J460" s="942"/>
      <c r="K460" s="52">
        <f t="shared" si="70"/>
        <v>1</v>
      </c>
      <c r="L460" s="942"/>
      <c r="M460" s="52">
        <f t="shared" si="71"/>
        <v>1</v>
      </c>
      <c r="N460" s="942"/>
      <c r="O460" s="52">
        <f t="shared" si="72"/>
        <v>1</v>
      </c>
      <c r="P460" s="942"/>
      <c r="Q460" s="52">
        <f t="shared" si="73"/>
        <v>1</v>
      </c>
      <c r="R460" s="470">
        <f t="shared" si="74"/>
        <v>0</v>
      </c>
      <c r="S460" s="779">
        <f t="shared" si="65"/>
        <v>0</v>
      </c>
    </row>
    <row r="461" spans="1:19">
      <c r="A461" s="944"/>
      <c r="B461" s="131"/>
      <c r="C461" s="52">
        <f t="shared" si="66"/>
        <v>1</v>
      </c>
      <c r="D461" s="942"/>
      <c r="E461" s="52">
        <f t="shared" si="67"/>
        <v>0</v>
      </c>
      <c r="F461" s="942"/>
      <c r="G461" s="52">
        <f t="shared" si="68"/>
        <v>0</v>
      </c>
      <c r="H461" s="942"/>
      <c r="I461" s="52">
        <f t="shared" si="69"/>
        <v>0</v>
      </c>
      <c r="J461" s="942"/>
      <c r="K461" s="52">
        <f t="shared" si="70"/>
        <v>1</v>
      </c>
      <c r="L461" s="942"/>
      <c r="M461" s="52">
        <f t="shared" si="71"/>
        <v>1</v>
      </c>
      <c r="N461" s="942"/>
      <c r="O461" s="52">
        <f t="shared" si="72"/>
        <v>1</v>
      </c>
      <c r="P461" s="942"/>
      <c r="Q461" s="52">
        <f t="shared" si="73"/>
        <v>1</v>
      </c>
      <c r="R461" s="470">
        <f t="shared" si="74"/>
        <v>0</v>
      </c>
      <c r="S461" s="779">
        <f t="shared" si="65"/>
        <v>0</v>
      </c>
    </row>
    <row r="462" spans="1:19">
      <c r="A462" s="944"/>
      <c r="B462" s="131"/>
      <c r="C462" s="52">
        <f t="shared" si="66"/>
        <v>1</v>
      </c>
      <c r="D462" s="942"/>
      <c r="E462" s="52">
        <f t="shared" si="67"/>
        <v>0</v>
      </c>
      <c r="F462" s="942"/>
      <c r="G462" s="52">
        <f t="shared" si="68"/>
        <v>0</v>
      </c>
      <c r="H462" s="942"/>
      <c r="I462" s="52">
        <f t="shared" si="69"/>
        <v>0</v>
      </c>
      <c r="J462" s="942"/>
      <c r="K462" s="52">
        <f t="shared" si="70"/>
        <v>1</v>
      </c>
      <c r="L462" s="942"/>
      <c r="M462" s="52">
        <f t="shared" si="71"/>
        <v>1</v>
      </c>
      <c r="N462" s="942"/>
      <c r="O462" s="52">
        <f t="shared" si="72"/>
        <v>1</v>
      </c>
      <c r="P462" s="942"/>
      <c r="Q462" s="52">
        <f t="shared" si="73"/>
        <v>1</v>
      </c>
      <c r="R462" s="470">
        <f t="shared" si="74"/>
        <v>0</v>
      </c>
      <c r="S462" s="779">
        <f t="shared" si="65"/>
        <v>0</v>
      </c>
    </row>
    <row r="463" spans="1:19">
      <c r="A463" s="944"/>
      <c r="B463" s="131"/>
      <c r="C463" s="52">
        <f t="shared" si="66"/>
        <v>1</v>
      </c>
      <c r="D463" s="942"/>
      <c r="E463" s="52">
        <f t="shared" si="67"/>
        <v>0</v>
      </c>
      <c r="F463" s="942"/>
      <c r="G463" s="52">
        <f t="shared" si="68"/>
        <v>0</v>
      </c>
      <c r="H463" s="942"/>
      <c r="I463" s="52">
        <f t="shared" si="69"/>
        <v>0</v>
      </c>
      <c r="J463" s="942"/>
      <c r="K463" s="52">
        <f t="shared" si="70"/>
        <v>1</v>
      </c>
      <c r="L463" s="942"/>
      <c r="M463" s="52">
        <f t="shared" si="71"/>
        <v>1</v>
      </c>
      <c r="N463" s="942"/>
      <c r="O463" s="52">
        <f t="shared" si="72"/>
        <v>1</v>
      </c>
      <c r="P463" s="942"/>
      <c r="Q463" s="52">
        <f t="shared" si="73"/>
        <v>1</v>
      </c>
      <c r="R463" s="470">
        <f t="shared" si="74"/>
        <v>0</v>
      </c>
      <c r="S463" s="779">
        <f t="shared" si="65"/>
        <v>0</v>
      </c>
    </row>
    <row r="464" spans="1:19">
      <c r="A464" s="944"/>
      <c r="B464" s="131"/>
      <c r="C464" s="52">
        <f t="shared" si="66"/>
        <v>1</v>
      </c>
      <c r="D464" s="942"/>
      <c r="E464" s="52">
        <f t="shared" si="67"/>
        <v>0</v>
      </c>
      <c r="F464" s="942"/>
      <c r="G464" s="52">
        <f t="shared" si="68"/>
        <v>0</v>
      </c>
      <c r="H464" s="942"/>
      <c r="I464" s="52">
        <f t="shared" si="69"/>
        <v>0</v>
      </c>
      <c r="J464" s="942"/>
      <c r="K464" s="52">
        <f t="shared" si="70"/>
        <v>1</v>
      </c>
      <c r="L464" s="942"/>
      <c r="M464" s="52">
        <f t="shared" si="71"/>
        <v>1</v>
      </c>
      <c r="N464" s="942"/>
      <c r="O464" s="52">
        <f t="shared" si="72"/>
        <v>1</v>
      </c>
      <c r="P464" s="942"/>
      <c r="Q464" s="52">
        <f t="shared" si="73"/>
        <v>1</v>
      </c>
      <c r="R464" s="470">
        <f t="shared" si="74"/>
        <v>0</v>
      </c>
      <c r="S464" s="779">
        <f t="shared" si="65"/>
        <v>0</v>
      </c>
    </row>
    <row r="465" spans="1:19">
      <c r="A465" s="944"/>
      <c r="B465" s="131"/>
      <c r="C465" s="52">
        <f t="shared" si="66"/>
        <v>1</v>
      </c>
      <c r="D465" s="942"/>
      <c r="E465" s="52">
        <f t="shared" si="67"/>
        <v>0</v>
      </c>
      <c r="F465" s="942"/>
      <c r="G465" s="52">
        <f t="shared" si="68"/>
        <v>0</v>
      </c>
      <c r="H465" s="942"/>
      <c r="I465" s="52">
        <f t="shared" si="69"/>
        <v>0</v>
      </c>
      <c r="J465" s="942"/>
      <c r="K465" s="52">
        <f t="shared" si="70"/>
        <v>1</v>
      </c>
      <c r="L465" s="942"/>
      <c r="M465" s="52">
        <f t="shared" si="71"/>
        <v>1</v>
      </c>
      <c r="N465" s="942"/>
      <c r="O465" s="52">
        <f t="shared" si="72"/>
        <v>1</v>
      </c>
      <c r="P465" s="942"/>
      <c r="Q465" s="52">
        <f t="shared" si="73"/>
        <v>1</v>
      </c>
      <c r="R465" s="470">
        <f t="shared" si="74"/>
        <v>0</v>
      </c>
      <c r="S465" s="779">
        <f t="shared" si="65"/>
        <v>0</v>
      </c>
    </row>
    <row r="466" spans="1:19">
      <c r="A466" s="944"/>
      <c r="B466" s="131"/>
      <c r="C466" s="52">
        <f t="shared" si="66"/>
        <v>1</v>
      </c>
      <c r="D466" s="942"/>
      <c r="E466" s="52">
        <f t="shared" si="67"/>
        <v>0</v>
      </c>
      <c r="F466" s="942"/>
      <c r="G466" s="52">
        <f t="shared" si="68"/>
        <v>0</v>
      </c>
      <c r="H466" s="942"/>
      <c r="I466" s="52">
        <f t="shared" si="69"/>
        <v>0</v>
      </c>
      <c r="J466" s="942"/>
      <c r="K466" s="52">
        <f t="shared" si="70"/>
        <v>1</v>
      </c>
      <c r="L466" s="942"/>
      <c r="M466" s="52">
        <f t="shared" si="71"/>
        <v>1</v>
      </c>
      <c r="N466" s="942"/>
      <c r="O466" s="52">
        <f t="shared" si="72"/>
        <v>1</v>
      </c>
      <c r="P466" s="942"/>
      <c r="Q466" s="52">
        <f t="shared" si="73"/>
        <v>1</v>
      </c>
      <c r="R466" s="470">
        <f t="shared" si="74"/>
        <v>0</v>
      </c>
      <c r="S466" s="779">
        <f t="shared" si="65"/>
        <v>0</v>
      </c>
    </row>
    <row r="467" spans="1:19">
      <c r="A467" s="944"/>
      <c r="B467" s="131"/>
      <c r="C467" s="52">
        <f t="shared" si="66"/>
        <v>1</v>
      </c>
      <c r="D467" s="942"/>
      <c r="E467" s="52">
        <f t="shared" si="67"/>
        <v>0</v>
      </c>
      <c r="F467" s="942"/>
      <c r="G467" s="52">
        <f t="shared" si="68"/>
        <v>0</v>
      </c>
      <c r="H467" s="942"/>
      <c r="I467" s="52">
        <f t="shared" si="69"/>
        <v>0</v>
      </c>
      <c r="J467" s="942"/>
      <c r="K467" s="52">
        <f t="shared" si="70"/>
        <v>1</v>
      </c>
      <c r="L467" s="942"/>
      <c r="M467" s="52">
        <f t="shared" si="71"/>
        <v>1</v>
      </c>
      <c r="N467" s="942"/>
      <c r="O467" s="52">
        <f t="shared" si="72"/>
        <v>1</v>
      </c>
      <c r="P467" s="942"/>
      <c r="Q467" s="52">
        <f t="shared" si="73"/>
        <v>1</v>
      </c>
      <c r="R467" s="470">
        <f t="shared" si="74"/>
        <v>0</v>
      </c>
      <c r="S467" s="779">
        <f t="shared" si="65"/>
        <v>0</v>
      </c>
    </row>
    <row r="468" spans="1:19">
      <c r="A468" s="944"/>
      <c r="B468" s="131"/>
      <c r="C468" s="52">
        <f t="shared" si="66"/>
        <v>1</v>
      </c>
      <c r="D468" s="942"/>
      <c r="E468" s="52">
        <f t="shared" si="67"/>
        <v>0</v>
      </c>
      <c r="F468" s="942"/>
      <c r="G468" s="52">
        <f t="shared" si="68"/>
        <v>0</v>
      </c>
      <c r="H468" s="942"/>
      <c r="I468" s="52">
        <f t="shared" si="69"/>
        <v>0</v>
      </c>
      <c r="J468" s="942"/>
      <c r="K468" s="52">
        <f t="shared" si="70"/>
        <v>1</v>
      </c>
      <c r="L468" s="942"/>
      <c r="M468" s="52">
        <f t="shared" si="71"/>
        <v>1</v>
      </c>
      <c r="N468" s="942"/>
      <c r="O468" s="52">
        <f t="shared" si="72"/>
        <v>1</v>
      </c>
      <c r="P468" s="942"/>
      <c r="Q468" s="52">
        <f t="shared" si="73"/>
        <v>1</v>
      </c>
      <c r="R468" s="470">
        <f t="shared" si="74"/>
        <v>0</v>
      </c>
      <c r="S468" s="779">
        <f t="shared" si="65"/>
        <v>0</v>
      </c>
    </row>
    <row r="469" spans="1:19">
      <c r="A469" s="944"/>
      <c r="B469" s="131"/>
      <c r="C469" s="52">
        <f t="shared" si="66"/>
        <v>1</v>
      </c>
      <c r="D469" s="942"/>
      <c r="E469" s="52">
        <f t="shared" si="67"/>
        <v>0</v>
      </c>
      <c r="F469" s="942"/>
      <c r="G469" s="52">
        <f t="shared" si="68"/>
        <v>0</v>
      </c>
      <c r="H469" s="942"/>
      <c r="I469" s="52">
        <f t="shared" si="69"/>
        <v>0</v>
      </c>
      <c r="J469" s="942"/>
      <c r="K469" s="52">
        <f t="shared" si="70"/>
        <v>1</v>
      </c>
      <c r="L469" s="942"/>
      <c r="M469" s="52">
        <f t="shared" si="71"/>
        <v>1</v>
      </c>
      <c r="N469" s="942"/>
      <c r="O469" s="52">
        <f t="shared" si="72"/>
        <v>1</v>
      </c>
      <c r="P469" s="942"/>
      <c r="Q469" s="52">
        <f t="shared" si="73"/>
        <v>1</v>
      </c>
      <c r="R469" s="470">
        <f t="shared" si="74"/>
        <v>0</v>
      </c>
      <c r="S469" s="779">
        <f t="shared" si="65"/>
        <v>0</v>
      </c>
    </row>
    <row r="470" spans="1:19">
      <c r="A470" s="944"/>
      <c r="B470" s="131"/>
      <c r="C470" s="52">
        <f t="shared" si="66"/>
        <v>1</v>
      </c>
      <c r="D470" s="942"/>
      <c r="E470" s="52">
        <f t="shared" si="67"/>
        <v>0</v>
      </c>
      <c r="F470" s="942"/>
      <c r="G470" s="52">
        <f t="shared" si="68"/>
        <v>0</v>
      </c>
      <c r="H470" s="942"/>
      <c r="I470" s="52">
        <f t="shared" si="69"/>
        <v>0</v>
      </c>
      <c r="J470" s="942"/>
      <c r="K470" s="52">
        <f t="shared" si="70"/>
        <v>1</v>
      </c>
      <c r="L470" s="942"/>
      <c r="M470" s="52">
        <f t="shared" si="71"/>
        <v>1</v>
      </c>
      <c r="N470" s="942"/>
      <c r="O470" s="52">
        <f t="shared" si="72"/>
        <v>1</v>
      </c>
      <c r="P470" s="942"/>
      <c r="Q470" s="52">
        <f t="shared" si="73"/>
        <v>1</v>
      </c>
      <c r="R470" s="470">
        <f t="shared" si="74"/>
        <v>0</v>
      </c>
      <c r="S470" s="779">
        <f t="shared" si="65"/>
        <v>0</v>
      </c>
    </row>
    <row r="471" spans="1:19">
      <c r="A471" s="944"/>
      <c r="B471" s="131"/>
      <c r="C471" s="52">
        <f t="shared" si="66"/>
        <v>1</v>
      </c>
      <c r="D471" s="942"/>
      <c r="E471" s="52">
        <f t="shared" si="67"/>
        <v>0</v>
      </c>
      <c r="F471" s="942"/>
      <c r="G471" s="52">
        <f t="shared" si="68"/>
        <v>0</v>
      </c>
      <c r="H471" s="942"/>
      <c r="I471" s="52">
        <f t="shared" si="69"/>
        <v>0</v>
      </c>
      <c r="J471" s="942"/>
      <c r="K471" s="52">
        <f t="shared" si="70"/>
        <v>1</v>
      </c>
      <c r="L471" s="942"/>
      <c r="M471" s="52">
        <f t="shared" si="71"/>
        <v>1</v>
      </c>
      <c r="N471" s="942"/>
      <c r="O471" s="52">
        <f t="shared" si="72"/>
        <v>1</v>
      </c>
      <c r="P471" s="942"/>
      <c r="Q471" s="52">
        <f t="shared" si="73"/>
        <v>1</v>
      </c>
      <c r="R471" s="470">
        <f t="shared" si="74"/>
        <v>0</v>
      </c>
      <c r="S471" s="779">
        <f t="shared" si="65"/>
        <v>0</v>
      </c>
    </row>
    <row r="472" spans="1:19">
      <c r="A472" s="944"/>
      <c r="B472" s="131"/>
      <c r="C472" s="52">
        <f t="shared" si="66"/>
        <v>1</v>
      </c>
      <c r="D472" s="942"/>
      <c r="E472" s="52">
        <f t="shared" si="67"/>
        <v>0</v>
      </c>
      <c r="F472" s="942"/>
      <c r="G472" s="52">
        <f t="shared" si="68"/>
        <v>0</v>
      </c>
      <c r="H472" s="942"/>
      <c r="I472" s="52">
        <f t="shared" si="69"/>
        <v>0</v>
      </c>
      <c r="J472" s="942"/>
      <c r="K472" s="52">
        <f t="shared" si="70"/>
        <v>1</v>
      </c>
      <c r="L472" s="942"/>
      <c r="M472" s="52">
        <f t="shared" si="71"/>
        <v>1</v>
      </c>
      <c r="N472" s="942"/>
      <c r="O472" s="52">
        <f t="shared" si="72"/>
        <v>1</v>
      </c>
      <c r="P472" s="942"/>
      <c r="Q472" s="52">
        <f t="shared" si="73"/>
        <v>1</v>
      </c>
      <c r="R472" s="470">
        <f t="shared" si="74"/>
        <v>0</v>
      </c>
      <c r="S472" s="779">
        <f t="shared" ref="S472:S524" si="75">ROUND(R472*B472/10000,0)</f>
        <v>0</v>
      </c>
    </row>
    <row r="473" spans="1:19">
      <c r="A473" s="944"/>
      <c r="B473" s="131"/>
      <c r="C473" s="52">
        <f t="shared" si="66"/>
        <v>1</v>
      </c>
      <c r="D473" s="942"/>
      <c r="E473" s="52">
        <f t="shared" si="67"/>
        <v>0</v>
      </c>
      <c r="F473" s="942"/>
      <c r="G473" s="52">
        <f t="shared" si="68"/>
        <v>0</v>
      </c>
      <c r="H473" s="942"/>
      <c r="I473" s="52">
        <f t="shared" si="69"/>
        <v>0</v>
      </c>
      <c r="J473" s="942"/>
      <c r="K473" s="52">
        <f t="shared" si="70"/>
        <v>1</v>
      </c>
      <c r="L473" s="942"/>
      <c r="M473" s="52">
        <f t="shared" si="71"/>
        <v>1</v>
      </c>
      <c r="N473" s="942"/>
      <c r="O473" s="52">
        <f t="shared" si="72"/>
        <v>1</v>
      </c>
      <c r="P473" s="942"/>
      <c r="Q473" s="52">
        <f t="shared" si="73"/>
        <v>1</v>
      </c>
      <c r="R473" s="470">
        <f t="shared" si="74"/>
        <v>0</v>
      </c>
      <c r="S473" s="779">
        <f t="shared" si="75"/>
        <v>0</v>
      </c>
    </row>
    <row r="474" spans="1:19">
      <c r="A474" s="944"/>
      <c r="B474" s="131"/>
      <c r="C474" s="52">
        <f t="shared" ref="C474:C524" si="76">IF(B474="",1,(LOOKUP(B474,$3:$3,$4:$4)-LOOKUP($B$24,$3:$3,$4:$4)+100)/100)</f>
        <v>1</v>
      </c>
      <c r="D474" s="942"/>
      <c r="E474" s="52">
        <f t="shared" ref="E474:E524" si="77">(SUMIF($5:$5,D474,$6:$6)-SUMIF($5:$5,$D$24,$6:$6)+100)/100</f>
        <v>0</v>
      </c>
      <c r="F474" s="942"/>
      <c r="G474" s="52">
        <f t="shared" ref="G474:G524" si="78">(SUMIF($7:$7,F474,$8:$8)-SUMIF($7:$7,$F$24,$8:$8)+100)/100</f>
        <v>0</v>
      </c>
      <c r="H474" s="942"/>
      <c r="I474" s="52">
        <f t="shared" ref="I474:I524" si="79">(SUMIF($9:$9,H474,$10:$10)-SUMIF($9:$9,$H$24,$10:$10)+100)/100</f>
        <v>0</v>
      </c>
      <c r="J474" s="942"/>
      <c r="K474" s="52">
        <f t="shared" ref="K474:K524" si="80">(SUMIF($11:$11,J474,$12:$12)-SUMIF($11:$11,$J$24,$12:$12)+100)/100</f>
        <v>1</v>
      </c>
      <c r="L474" s="942"/>
      <c r="M474" s="52">
        <f t="shared" ref="M474:M524" si="81">(SUMIF($13:$13,L474,$14:$14)-SUMIF($13:$13,$L$24,$14:$14)+100)/100</f>
        <v>1</v>
      </c>
      <c r="N474" s="942"/>
      <c r="O474" s="52">
        <f t="shared" ref="O474:O524" si="82">(SUMIF($15:$15,N474,$16:$16)-SUMIF($15:$15,$N$24,$16:$16)+100)/100</f>
        <v>1</v>
      </c>
      <c r="P474" s="942"/>
      <c r="Q474" s="52">
        <f t="shared" ref="Q474:Q524" si="83">(SUMIF($17:$17,P474,$18:$18)-SUMIF($17:$17,$P$24,$18:$18)+100)/100</f>
        <v>1</v>
      </c>
      <c r="R474" s="470">
        <f t="shared" ref="R474:R524" si="84">IF(B474="",0,ROUND($R$24*C474*E474*G474*I474*K474*M474*O474*Q474,0))</f>
        <v>0</v>
      </c>
      <c r="S474" s="779">
        <f t="shared" si="75"/>
        <v>0</v>
      </c>
    </row>
    <row r="475" spans="1:19">
      <c r="A475" s="944"/>
      <c r="B475" s="131"/>
      <c r="C475" s="52">
        <f t="shared" si="76"/>
        <v>1</v>
      </c>
      <c r="D475" s="942"/>
      <c r="E475" s="52">
        <f t="shared" si="77"/>
        <v>0</v>
      </c>
      <c r="F475" s="942"/>
      <c r="G475" s="52">
        <f t="shared" si="78"/>
        <v>0</v>
      </c>
      <c r="H475" s="942"/>
      <c r="I475" s="52">
        <f t="shared" si="79"/>
        <v>0</v>
      </c>
      <c r="J475" s="942"/>
      <c r="K475" s="52">
        <f t="shared" si="80"/>
        <v>1</v>
      </c>
      <c r="L475" s="942"/>
      <c r="M475" s="52">
        <f t="shared" si="81"/>
        <v>1</v>
      </c>
      <c r="N475" s="942"/>
      <c r="O475" s="52">
        <f t="shared" si="82"/>
        <v>1</v>
      </c>
      <c r="P475" s="942"/>
      <c r="Q475" s="52">
        <f t="shared" si="83"/>
        <v>1</v>
      </c>
      <c r="R475" s="470">
        <f t="shared" si="84"/>
        <v>0</v>
      </c>
      <c r="S475" s="779">
        <f t="shared" si="75"/>
        <v>0</v>
      </c>
    </row>
    <row r="476" spans="1:19">
      <c r="A476" s="944"/>
      <c r="B476" s="131"/>
      <c r="C476" s="52">
        <f t="shared" si="76"/>
        <v>1</v>
      </c>
      <c r="D476" s="942"/>
      <c r="E476" s="52">
        <f t="shared" si="77"/>
        <v>0</v>
      </c>
      <c r="F476" s="942"/>
      <c r="G476" s="52">
        <f t="shared" si="78"/>
        <v>0</v>
      </c>
      <c r="H476" s="942"/>
      <c r="I476" s="52">
        <f t="shared" si="79"/>
        <v>0</v>
      </c>
      <c r="J476" s="942"/>
      <c r="K476" s="52">
        <f t="shared" si="80"/>
        <v>1</v>
      </c>
      <c r="L476" s="942"/>
      <c r="M476" s="52">
        <f t="shared" si="81"/>
        <v>1</v>
      </c>
      <c r="N476" s="942"/>
      <c r="O476" s="52">
        <f t="shared" si="82"/>
        <v>1</v>
      </c>
      <c r="P476" s="942"/>
      <c r="Q476" s="52">
        <f t="shared" si="83"/>
        <v>1</v>
      </c>
      <c r="R476" s="470">
        <f t="shared" si="84"/>
        <v>0</v>
      </c>
      <c r="S476" s="779">
        <f t="shared" si="75"/>
        <v>0</v>
      </c>
    </row>
    <row r="477" spans="1:19">
      <c r="A477" s="944"/>
      <c r="B477" s="131"/>
      <c r="C477" s="52">
        <f t="shared" si="76"/>
        <v>1</v>
      </c>
      <c r="D477" s="942"/>
      <c r="E477" s="52">
        <f t="shared" si="77"/>
        <v>0</v>
      </c>
      <c r="F477" s="942"/>
      <c r="G477" s="52">
        <f t="shared" si="78"/>
        <v>0</v>
      </c>
      <c r="H477" s="942"/>
      <c r="I477" s="52">
        <f t="shared" si="79"/>
        <v>0</v>
      </c>
      <c r="J477" s="942"/>
      <c r="K477" s="52">
        <f t="shared" si="80"/>
        <v>1</v>
      </c>
      <c r="L477" s="942"/>
      <c r="M477" s="52">
        <f t="shared" si="81"/>
        <v>1</v>
      </c>
      <c r="N477" s="942"/>
      <c r="O477" s="52">
        <f t="shared" si="82"/>
        <v>1</v>
      </c>
      <c r="P477" s="942"/>
      <c r="Q477" s="52">
        <f t="shared" si="83"/>
        <v>1</v>
      </c>
      <c r="R477" s="470">
        <f t="shared" si="84"/>
        <v>0</v>
      </c>
      <c r="S477" s="779">
        <f t="shared" si="75"/>
        <v>0</v>
      </c>
    </row>
    <row r="478" spans="1:19">
      <c r="A478" s="944"/>
      <c r="B478" s="131"/>
      <c r="C478" s="52">
        <f t="shared" si="76"/>
        <v>1</v>
      </c>
      <c r="D478" s="942"/>
      <c r="E478" s="52">
        <f t="shared" si="77"/>
        <v>0</v>
      </c>
      <c r="F478" s="942"/>
      <c r="G478" s="52">
        <f t="shared" si="78"/>
        <v>0</v>
      </c>
      <c r="H478" s="942"/>
      <c r="I478" s="52">
        <f t="shared" si="79"/>
        <v>0</v>
      </c>
      <c r="J478" s="942"/>
      <c r="K478" s="52">
        <f t="shared" si="80"/>
        <v>1</v>
      </c>
      <c r="L478" s="942"/>
      <c r="M478" s="52">
        <f t="shared" si="81"/>
        <v>1</v>
      </c>
      <c r="N478" s="942"/>
      <c r="O478" s="52">
        <f t="shared" si="82"/>
        <v>1</v>
      </c>
      <c r="P478" s="942"/>
      <c r="Q478" s="52">
        <f t="shared" si="83"/>
        <v>1</v>
      </c>
      <c r="R478" s="470">
        <f t="shared" si="84"/>
        <v>0</v>
      </c>
      <c r="S478" s="779">
        <f t="shared" si="75"/>
        <v>0</v>
      </c>
    </row>
    <row r="479" spans="1:19">
      <c r="A479" s="944"/>
      <c r="B479" s="131"/>
      <c r="C479" s="52">
        <f t="shared" si="76"/>
        <v>1</v>
      </c>
      <c r="D479" s="942"/>
      <c r="E479" s="52">
        <f t="shared" si="77"/>
        <v>0</v>
      </c>
      <c r="F479" s="942"/>
      <c r="G479" s="52">
        <f t="shared" si="78"/>
        <v>0</v>
      </c>
      <c r="H479" s="942"/>
      <c r="I479" s="52">
        <f t="shared" si="79"/>
        <v>0</v>
      </c>
      <c r="J479" s="942"/>
      <c r="K479" s="52">
        <f t="shared" si="80"/>
        <v>1</v>
      </c>
      <c r="L479" s="942"/>
      <c r="M479" s="52">
        <f t="shared" si="81"/>
        <v>1</v>
      </c>
      <c r="N479" s="942"/>
      <c r="O479" s="52">
        <f t="shared" si="82"/>
        <v>1</v>
      </c>
      <c r="P479" s="942"/>
      <c r="Q479" s="52">
        <f t="shared" si="83"/>
        <v>1</v>
      </c>
      <c r="R479" s="470">
        <f t="shared" si="84"/>
        <v>0</v>
      </c>
      <c r="S479" s="779">
        <f t="shared" si="75"/>
        <v>0</v>
      </c>
    </row>
    <row r="480" spans="1:19">
      <c r="A480" s="944"/>
      <c r="B480" s="131"/>
      <c r="C480" s="52">
        <f t="shared" si="76"/>
        <v>1</v>
      </c>
      <c r="D480" s="942"/>
      <c r="E480" s="52">
        <f t="shared" si="77"/>
        <v>0</v>
      </c>
      <c r="F480" s="942"/>
      <c r="G480" s="52">
        <f t="shared" si="78"/>
        <v>0</v>
      </c>
      <c r="H480" s="942"/>
      <c r="I480" s="52">
        <f t="shared" si="79"/>
        <v>0</v>
      </c>
      <c r="J480" s="942"/>
      <c r="K480" s="52">
        <f t="shared" si="80"/>
        <v>1</v>
      </c>
      <c r="L480" s="942"/>
      <c r="M480" s="52">
        <f t="shared" si="81"/>
        <v>1</v>
      </c>
      <c r="N480" s="942"/>
      <c r="O480" s="52">
        <f t="shared" si="82"/>
        <v>1</v>
      </c>
      <c r="P480" s="942"/>
      <c r="Q480" s="52">
        <f t="shared" si="83"/>
        <v>1</v>
      </c>
      <c r="R480" s="470">
        <f t="shared" si="84"/>
        <v>0</v>
      </c>
      <c r="S480" s="779">
        <f t="shared" si="75"/>
        <v>0</v>
      </c>
    </row>
    <row r="481" spans="1:19">
      <c r="A481" s="944"/>
      <c r="B481" s="131"/>
      <c r="C481" s="52">
        <f t="shared" si="76"/>
        <v>1</v>
      </c>
      <c r="D481" s="942"/>
      <c r="E481" s="52">
        <f t="shared" si="77"/>
        <v>0</v>
      </c>
      <c r="F481" s="942"/>
      <c r="G481" s="52">
        <f t="shared" si="78"/>
        <v>0</v>
      </c>
      <c r="H481" s="942"/>
      <c r="I481" s="52">
        <f t="shared" si="79"/>
        <v>0</v>
      </c>
      <c r="J481" s="942"/>
      <c r="K481" s="52">
        <f t="shared" si="80"/>
        <v>1</v>
      </c>
      <c r="L481" s="942"/>
      <c r="M481" s="52">
        <f t="shared" si="81"/>
        <v>1</v>
      </c>
      <c r="N481" s="942"/>
      <c r="O481" s="52">
        <f t="shared" si="82"/>
        <v>1</v>
      </c>
      <c r="P481" s="942"/>
      <c r="Q481" s="52">
        <f t="shared" si="83"/>
        <v>1</v>
      </c>
      <c r="R481" s="470">
        <f t="shared" si="84"/>
        <v>0</v>
      </c>
      <c r="S481" s="779">
        <f t="shared" si="75"/>
        <v>0</v>
      </c>
    </row>
    <row r="482" spans="1:19">
      <c r="A482" s="944"/>
      <c r="B482" s="131"/>
      <c r="C482" s="52">
        <f t="shared" si="76"/>
        <v>1</v>
      </c>
      <c r="D482" s="942"/>
      <c r="E482" s="52">
        <f t="shared" si="77"/>
        <v>0</v>
      </c>
      <c r="F482" s="942"/>
      <c r="G482" s="52">
        <f t="shared" si="78"/>
        <v>0</v>
      </c>
      <c r="H482" s="942"/>
      <c r="I482" s="52">
        <f t="shared" si="79"/>
        <v>0</v>
      </c>
      <c r="J482" s="942"/>
      <c r="K482" s="52">
        <f t="shared" si="80"/>
        <v>1</v>
      </c>
      <c r="L482" s="942"/>
      <c r="M482" s="52">
        <f t="shared" si="81"/>
        <v>1</v>
      </c>
      <c r="N482" s="942"/>
      <c r="O482" s="52">
        <f t="shared" si="82"/>
        <v>1</v>
      </c>
      <c r="P482" s="942"/>
      <c r="Q482" s="52">
        <f t="shared" si="83"/>
        <v>1</v>
      </c>
      <c r="R482" s="470">
        <f t="shared" si="84"/>
        <v>0</v>
      </c>
      <c r="S482" s="779">
        <f t="shared" si="75"/>
        <v>0</v>
      </c>
    </row>
    <row r="483" spans="1:19">
      <c r="A483" s="944"/>
      <c r="B483" s="131"/>
      <c r="C483" s="52">
        <f t="shared" si="76"/>
        <v>1</v>
      </c>
      <c r="D483" s="942"/>
      <c r="E483" s="52">
        <f t="shared" si="77"/>
        <v>0</v>
      </c>
      <c r="F483" s="942"/>
      <c r="G483" s="52">
        <f t="shared" si="78"/>
        <v>0</v>
      </c>
      <c r="H483" s="942"/>
      <c r="I483" s="52">
        <f t="shared" si="79"/>
        <v>0</v>
      </c>
      <c r="J483" s="942"/>
      <c r="K483" s="52">
        <f t="shared" si="80"/>
        <v>1</v>
      </c>
      <c r="L483" s="942"/>
      <c r="M483" s="52">
        <f t="shared" si="81"/>
        <v>1</v>
      </c>
      <c r="N483" s="942"/>
      <c r="O483" s="52">
        <f t="shared" si="82"/>
        <v>1</v>
      </c>
      <c r="P483" s="942"/>
      <c r="Q483" s="52">
        <f t="shared" si="83"/>
        <v>1</v>
      </c>
      <c r="R483" s="470">
        <f t="shared" si="84"/>
        <v>0</v>
      </c>
      <c r="S483" s="779">
        <f t="shared" si="75"/>
        <v>0</v>
      </c>
    </row>
    <row r="484" spans="1:19">
      <c r="A484" s="944"/>
      <c r="B484" s="131"/>
      <c r="C484" s="52">
        <f t="shared" si="76"/>
        <v>1</v>
      </c>
      <c r="D484" s="942"/>
      <c r="E484" s="52">
        <f t="shared" si="77"/>
        <v>0</v>
      </c>
      <c r="F484" s="942"/>
      <c r="G484" s="52">
        <f t="shared" si="78"/>
        <v>0</v>
      </c>
      <c r="H484" s="942"/>
      <c r="I484" s="52">
        <f t="shared" si="79"/>
        <v>0</v>
      </c>
      <c r="J484" s="942"/>
      <c r="K484" s="52">
        <f t="shared" si="80"/>
        <v>1</v>
      </c>
      <c r="L484" s="942"/>
      <c r="M484" s="52">
        <f t="shared" si="81"/>
        <v>1</v>
      </c>
      <c r="N484" s="942"/>
      <c r="O484" s="52">
        <f t="shared" si="82"/>
        <v>1</v>
      </c>
      <c r="P484" s="942"/>
      <c r="Q484" s="52">
        <f t="shared" si="83"/>
        <v>1</v>
      </c>
      <c r="R484" s="470">
        <f t="shared" si="84"/>
        <v>0</v>
      </c>
      <c r="S484" s="779">
        <f t="shared" si="75"/>
        <v>0</v>
      </c>
    </row>
    <row r="485" spans="1:19">
      <c r="A485" s="944"/>
      <c r="B485" s="131"/>
      <c r="C485" s="52">
        <f t="shared" si="76"/>
        <v>1</v>
      </c>
      <c r="D485" s="942"/>
      <c r="E485" s="52">
        <f t="shared" si="77"/>
        <v>0</v>
      </c>
      <c r="F485" s="942"/>
      <c r="G485" s="52">
        <f t="shared" si="78"/>
        <v>0</v>
      </c>
      <c r="H485" s="942"/>
      <c r="I485" s="52">
        <f t="shared" si="79"/>
        <v>0</v>
      </c>
      <c r="J485" s="942"/>
      <c r="K485" s="52">
        <f t="shared" si="80"/>
        <v>1</v>
      </c>
      <c r="L485" s="942"/>
      <c r="M485" s="52">
        <f t="shared" si="81"/>
        <v>1</v>
      </c>
      <c r="N485" s="942"/>
      <c r="O485" s="52">
        <f t="shared" si="82"/>
        <v>1</v>
      </c>
      <c r="P485" s="942"/>
      <c r="Q485" s="52">
        <f t="shared" si="83"/>
        <v>1</v>
      </c>
      <c r="R485" s="470">
        <f t="shared" si="84"/>
        <v>0</v>
      </c>
      <c r="S485" s="779">
        <f t="shared" si="75"/>
        <v>0</v>
      </c>
    </row>
    <row r="486" spans="1:19">
      <c r="A486" s="944"/>
      <c r="B486" s="131"/>
      <c r="C486" s="52">
        <f t="shared" si="76"/>
        <v>1</v>
      </c>
      <c r="D486" s="942"/>
      <c r="E486" s="52">
        <f t="shared" si="77"/>
        <v>0</v>
      </c>
      <c r="F486" s="942"/>
      <c r="G486" s="52">
        <f t="shared" si="78"/>
        <v>0</v>
      </c>
      <c r="H486" s="942"/>
      <c r="I486" s="52">
        <f t="shared" si="79"/>
        <v>0</v>
      </c>
      <c r="J486" s="942"/>
      <c r="K486" s="52">
        <f t="shared" si="80"/>
        <v>1</v>
      </c>
      <c r="L486" s="942"/>
      <c r="M486" s="52">
        <f t="shared" si="81"/>
        <v>1</v>
      </c>
      <c r="N486" s="942"/>
      <c r="O486" s="52">
        <f t="shared" si="82"/>
        <v>1</v>
      </c>
      <c r="P486" s="942"/>
      <c r="Q486" s="52">
        <f t="shared" si="83"/>
        <v>1</v>
      </c>
      <c r="R486" s="470">
        <f t="shared" si="84"/>
        <v>0</v>
      </c>
      <c r="S486" s="779">
        <f t="shared" si="75"/>
        <v>0</v>
      </c>
    </row>
    <row r="487" spans="1:19">
      <c r="A487" s="944"/>
      <c r="B487" s="131"/>
      <c r="C487" s="52">
        <f t="shared" si="76"/>
        <v>1</v>
      </c>
      <c r="D487" s="942"/>
      <c r="E487" s="52">
        <f t="shared" si="77"/>
        <v>0</v>
      </c>
      <c r="F487" s="942"/>
      <c r="G487" s="52">
        <f t="shared" si="78"/>
        <v>0</v>
      </c>
      <c r="H487" s="942"/>
      <c r="I487" s="52">
        <f t="shared" si="79"/>
        <v>0</v>
      </c>
      <c r="J487" s="942"/>
      <c r="K487" s="52">
        <f t="shared" si="80"/>
        <v>1</v>
      </c>
      <c r="L487" s="942"/>
      <c r="M487" s="52">
        <f t="shared" si="81"/>
        <v>1</v>
      </c>
      <c r="N487" s="942"/>
      <c r="O487" s="52">
        <f t="shared" si="82"/>
        <v>1</v>
      </c>
      <c r="P487" s="942"/>
      <c r="Q487" s="52">
        <f t="shared" si="83"/>
        <v>1</v>
      </c>
      <c r="R487" s="470">
        <f t="shared" si="84"/>
        <v>0</v>
      </c>
      <c r="S487" s="779">
        <f t="shared" si="75"/>
        <v>0</v>
      </c>
    </row>
    <row r="488" spans="1:19">
      <c r="A488" s="944"/>
      <c r="B488" s="131"/>
      <c r="C488" s="52">
        <f t="shared" si="76"/>
        <v>1</v>
      </c>
      <c r="D488" s="942"/>
      <c r="E488" s="52">
        <f t="shared" si="77"/>
        <v>0</v>
      </c>
      <c r="F488" s="942"/>
      <c r="G488" s="52">
        <f t="shared" si="78"/>
        <v>0</v>
      </c>
      <c r="H488" s="942"/>
      <c r="I488" s="52">
        <f t="shared" si="79"/>
        <v>0</v>
      </c>
      <c r="J488" s="942"/>
      <c r="K488" s="52">
        <f t="shared" si="80"/>
        <v>1</v>
      </c>
      <c r="L488" s="942"/>
      <c r="M488" s="52">
        <f t="shared" si="81"/>
        <v>1</v>
      </c>
      <c r="N488" s="942"/>
      <c r="O488" s="52">
        <f t="shared" si="82"/>
        <v>1</v>
      </c>
      <c r="P488" s="942"/>
      <c r="Q488" s="52">
        <f t="shared" si="83"/>
        <v>1</v>
      </c>
      <c r="R488" s="470">
        <f t="shared" si="84"/>
        <v>0</v>
      </c>
      <c r="S488" s="779">
        <f t="shared" si="75"/>
        <v>0</v>
      </c>
    </row>
    <row r="489" spans="1:19">
      <c r="A489" s="944"/>
      <c r="B489" s="131"/>
      <c r="C489" s="52">
        <f t="shared" si="76"/>
        <v>1</v>
      </c>
      <c r="D489" s="942"/>
      <c r="E489" s="52">
        <f t="shared" si="77"/>
        <v>0</v>
      </c>
      <c r="F489" s="942"/>
      <c r="G489" s="52">
        <f t="shared" si="78"/>
        <v>0</v>
      </c>
      <c r="H489" s="942"/>
      <c r="I489" s="52">
        <f t="shared" si="79"/>
        <v>0</v>
      </c>
      <c r="J489" s="942"/>
      <c r="K489" s="52">
        <f t="shared" si="80"/>
        <v>1</v>
      </c>
      <c r="L489" s="942"/>
      <c r="M489" s="52">
        <f t="shared" si="81"/>
        <v>1</v>
      </c>
      <c r="N489" s="942"/>
      <c r="O489" s="52">
        <f t="shared" si="82"/>
        <v>1</v>
      </c>
      <c r="P489" s="942"/>
      <c r="Q489" s="52">
        <f t="shared" si="83"/>
        <v>1</v>
      </c>
      <c r="R489" s="470">
        <f t="shared" si="84"/>
        <v>0</v>
      </c>
      <c r="S489" s="779">
        <f t="shared" si="75"/>
        <v>0</v>
      </c>
    </row>
    <row r="490" spans="1:19">
      <c r="A490" s="944"/>
      <c r="B490" s="131"/>
      <c r="C490" s="52">
        <f t="shared" si="76"/>
        <v>1</v>
      </c>
      <c r="D490" s="942"/>
      <c r="E490" s="52">
        <f t="shared" si="77"/>
        <v>0</v>
      </c>
      <c r="F490" s="942"/>
      <c r="G490" s="52">
        <f t="shared" si="78"/>
        <v>0</v>
      </c>
      <c r="H490" s="942"/>
      <c r="I490" s="52">
        <f t="shared" si="79"/>
        <v>0</v>
      </c>
      <c r="J490" s="942"/>
      <c r="K490" s="52">
        <f t="shared" si="80"/>
        <v>1</v>
      </c>
      <c r="L490" s="942"/>
      <c r="M490" s="52">
        <f t="shared" si="81"/>
        <v>1</v>
      </c>
      <c r="N490" s="942"/>
      <c r="O490" s="52">
        <f t="shared" si="82"/>
        <v>1</v>
      </c>
      <c r="P490" s="942"/>
      <c r="Q490" s="52">
        <f t="shared" si="83"/>
        <v>1</v>
      </c>
      <c r="R490" s="470">
        <f t="shared" si="84"/>
        <v>0</v>
      </c>
      <c r="S490" s="779">
        <f t="shared" si="75"/>
        <v>0</v>
      </c>
    </row>
    <row r="491" spans="1:19">
      <c r="A491" s="944"/>
      <c r="B491" s="131"/>
      <c r="C491" s="52">
        <f t="shared" si="76"/>
        <v>1</v>
      </c>
      <c r="D491" s="942"/>
      <c r="E491" s="52">
        <f t="shared" si="77"/>
        <v>0</v>
      </c>
      <c r="F491" s="942"/>
      <c r="G491" s="52">
        <f t="shared" si="78"/>
        <v>0</v>
      </c>
      <c r="H491" s="942"/>
      <c r="I491" s="52">
        <f t="shared" si="79"/>
        <v>0</v>
      </c>
      <c r="J491" s="942"/>
      <c r="K491" s="52">
        <f t="shared" si="80"/>
        <v>1</v>
      </c>
      <c r="L491" s="942"/>
      <c r="M491" s="52">
        <f t="shared" si="81"/>
        <v>1</v>
      </c>
      <c r="N491" s="942"/>
      <c r="O491" s="52">
        <f t="shared" si="82"/>
        <v>1</v>
      </c>
      <c r="P491" s="942"/>
      <c r="Q491" s="52">
        <f t="shared" si="83"/>
        <v>1</v>
      </c>
      <c r="R491" s="470">
        <f t="shared" si="84"/>
        <v>0</v>
      </c>
      <c r="S491" s="779">
        <f t="shared" si="75"/>
        <v>0</v>
      </c>
    </row>
    <row r="492" spans="1:19">
      <c r="A492" s="944"/>
      <c r="B492" s="131"/>
      <c r="C492" s="52">
        <f t="shared" si="76"/>
        <v>1</v>
      </c>
      <c r="D492" s="942"/>
      <c r="E492" s="52">
        <f t="shared" si="77"/>
        <v>0</v>
      </c>
      <c r="F492" s="942"/>
      <c r="G492" s="52">
        <f t="shared" si="78"/>
        <v>0</v>
      </c>
      <c r="H492" s="942"/>
      <c r="I492" s="52">
        <f t="shared" si="79"/>
        <v>0</v>
      </c>
      <c r="J492" s="942"/>
      <c r="K492" s="52">
        <f t="shared" si="80"/>
        <v>1</v>
      </c>
      <c r="L492" s="942"/>
      <c r="M492" s="52">
        <f t="shared" si="81"/>
        <v>1</v>
      </c>
      <c r="N492" s="942"/>
      <c r="O492" s="52">
        <f t="shared" si="82"/>
        <v>1</v>
      </c>
      <c r="P492" s="942"/>
      <c r="Q492" s="52">
        <f t="shared" si="83"/>
        <v>1</v>
      </c>
      <c r="R492" s="470">
        <f t="shared" si="84"/>
        <v>0</v>
      </c>
      <c r="S492" s="779">
        <f t="shared" si="75"/>
        <v>0</v>
      </c>
    </row>
    <row r="493" spans="1:19">
      <c r="A493" s="944"/>
      <c r="B493" s="131"/>
      <c r="C493" s="52">
        <f t="shared" si="76"/>
        <v>1</v>
      </c>
      <c r="D493" s="942"/>
      <c r="E493" s="52">
        <f t="shared" si="77"/>
        <v>0</v>
      </c>
      <c r="F493" s="942"/>
      <c r="G493" s="52">
        <f t="shared" si="78"/>
        <v>0</v>
      </c>
      <c r="H493" s="942"/>
      <c r="I493" s="52">
        <f t="shared" si="79"/>
        <v>0</v>
      </c>
      <c r="J493" s="942"/>
      <c r="K493" s="52">
        <f t="shared" si="80"/>
        <v>1</v>
      </c>
      <c r="L493" s="942"/>
      <c r="M493" s="52">
        <f t="shared" si="81"/>
        <v>1</v>
      </c>
      <c r="N493" s="942"/>
      <c r="O493" s="52">
        <f t="shared" si="82"/>
        <v>1</v>
      </c>
      <c r="P493" s="942"/>
      <c r="Q493" s="52">
        <f t="shared" si="83"/>
        <v>1</v>
      </c>
      <c r="R493" s="470">
        <f t="shared" si="84"/>
        <v>0</v>
      </c>
      <c r="S493" s="779">
        <f t="shared" si="75"/>
        <v>0</v>
      </c>
    </row>
    <row r="494" spans="1:19">
      <c r="A494" s="944"/>
      <c r="B494" s="131"/>
      <c r="C494" s="52">
        <f t="shared" si="76"/>
        <v>1</v>
      </c>
      <c r="D494" s="942"/>
      <c r="E494" s="52">
        <f t="shared" si="77"/>
        <v>0</v>
      </c>
      <c r="F494" s="942"/>
      <c r="G494" s="52">
        <f t="shared" si="78"/>
        <v>0</v>
      </c>
      <c r="H494" s="942"/>
      <c r="I494" s="52">
        <f t="shared" si="79"/>
        <v>0</v>
      </c>
      <c r="J494" s="942"/>
      <c r="K494" s="52">
        <f t="shared" si="80"/>
        <v>1</v>
      </c>
      <c r="L494" s="942"/>
      <c r="M494" s="52">
        <f t="shared" si="81"/>
        <v>1</v>
      </c>
      <c r="N494" s="942"/>
      <c r="O494" s="52">
        <f t="shared" si="82"/>
        <v>1</v>
      </c>
      <c r="P494" s="942"/>
      <c r="Q494" s="52">
        <f t="shared" si="83"/>
        <v>1</v>
      </c>
      <c r="R494" s="470">
        <f t="shared" si="84"/>
        <v>0</v>
      </c>
      <c r="S494" s="779">
        <f t="shared" si="75"/>
        <v>0</v>
      </c>
    </row>
    <row r="495" spans="1:19">
      <c r="A495" s="944"/>
      <c r="B495" s="131"/>
      <c r="C495" s="52">
        <f t="shared" si="76"/>
        <v>1</v>
      </c>
      <c r="D495" s="942"/>
      <c r="E495" s="52">
        <f t="shared" si="77"/>
        <v>0</v>
      </c>
      <c r="F495" s="942"/>
      <c r="G495" s="52">
        <f t="shared" si="78"/>
        <v>0</v>
      </c>
      <c r="H495" s="942"/>
      <c r="I495" s="52">
        <f t="shared" si="79"/>
        <v>0</v>
      </c>
      <c r="J495" s="942"/>
      <c r="K495" s="52">
        <f t="shared" si="80"/>
        <v>1</v>
      </c>
      <c r="L495" s="942"/>
      <c r="M495" s="52">
        <f t="shared" si="81"/>
        <v>1</v>
      </c>
      <c r="N495" s="942"/>
      <c r="O495" s="52">
        <f t="shared" si="82"/>
        <v>1</v>
      </c>
      <c r="P495" s="942"/>
      <c r="Q495" s="52">
        <f t="shared" si="83"/>
        <v>1</v>
      </c>
      <c r="R495" s="470">
        <f t="shared" si="84"/>
        <v>0</v>
      </c>
      <c r="S495" s="779">
        <f t="shared" si="75"/>
        <v>0</v>
      </c>
    </row>
    <row r="496" spans="1:19">
      <c r="A496" s="944"/>
      <c r="B496" s="131"/>
      <c r="C496" s="52">
        <f t="shared" si="76"/>
        <v>1</v>
      </c>
      <c r="D496" s="942"/>
      <c r="E496" s="52">
        <f t="shared" si="77"/>
        <v>0</v>
      </c>
      <c r="F496" s="942"/>
      <c r="G496" s="52">
        <f t="shared" si="78"/>
        <v>0</v>
      </c>
      <c r="H496" s="942"/>
      <c r="I496" s="52">
        <f t="shared" si="79"/>
        <v>0</v>
      </c>
      <c r="J496" s="942"/>
      <c r="K496" s="52">
        <f t="shared" si="80"/>
        <v>1</v>
      </c>
      <c r="L496" s="942"/>
      <c r="M496" s="52">
        <f t="shared" si="81"/>
        <v>1</v>
      </c>
      <c r="N496" s="942"/>
      <c r="O496" s="52">
        <f t="shared" si="82"/>
        <v>1</v>
      </c>
      <c r="P496" s="942"/>
      <c r="Q496" s="52">
        <f t="shared" si="83"/>
        <v>1</v>
      </c>
      <c r="R496" s="470">
        <f t="shared" si="84"/>
        <v>0</v>
      </c>
      <c r="S496" s="779">
        <f t="shared" si="75"/>
        <v>0</v>
      </c>
    </row>
    <row r="497" spans="1:19">
      <c r="A497" s="944"/>
      <c r="B497" s="131"/>
      <c r="C497" s="52">
        <f t="shared" si="76"/>
        <v>1</v>
      </c>
      <c r="D497" s="942"/>
      <c r="E497" s="52">
        <f t="shared" si="77"/>
        <v>0</v>
      </c>
      <c r="F497" s="942"/>
      <c r="G497" s="52">
        <f t="shared" si="78"/>
        <v>0</v>
      </c>
      <c r="H497" s="942"/>
      <c r="I497" s="52">
        <f t="shared" si="79"/>
        <v>0</v>
      </c>
      <c r="J497" s="942"/>
      <c r="K497" s="52">
        <f t="shared" si="80"/>
        <v>1</v>
      </c>
      <c r="L497" s="942"/>
      <c r="M497" s="52">
        <f t="shared" si="81"/>
        <v>1</v>
      </c>
      <c r="N497" s="942"/>
      <c r="O497" s="52">
        <f t="shared" si="82"/>
        <v>1</v>
      </c>
      <c r="P497" s="942"/>
      <c r="Q497" s="52">
        <f t="shared" si="83"/>
        <v>1</v>
      </c>
      <c r="R497" s="470">
        <f t="shared" si="84"/>
        <v>0</v>
      </c>
      <c r="S497" s="779">
        <f t="shared" si="75"/>
        <v>0</v>
      </c>
    </row>
    <row r="498" spans="1:19">
      <c r="A498" s="944"/>
      <c r="B498" s="131"/>
      <c r="C498" s="52">
        <f t="shared" si="76"/>
        <v>1</v>
      </c>
      <c r="D498" s="942"/>
      <c r="E498" s="52">
        <f t="shared" si="77"/>
        <v>0</v>
      </c>
      <c r="F498" s="942"/>
      <c r="G498" s="52">
        <f t="shared" si="78"/>
        <v>0</v>
      </c>
      <c r="H498" s="942"/>
      <c r="I498" s="52">
        <f t="shared" si="79"/>
        <v>0</v>
      </c>
      <c r="J498" s="942"/>
      <c r="K498" s="52">
        <f t="shared" si="80"/>
        <v>1</v>
      </c>
      <c r="L498" s="942"/>
      <c r="M498" s="52">
        <f t="shared" si="81"/>
        <v>1</v>
      </c>
      <c r="N498" s="942"/>
      <c r="O498" s="52">
        <f t="shared" si="82"/>
        <v>1</v>
      </c>
      <c r="P498" s="942"/>
      <c r="Q498" s="52">
        <f t="shared" si="83"/>
        <v>1</v>
      </c>
      <c r="R498" s="470">
        <f t="shared" si="84"/>
        <v>0</v>
      </c>
      <c r="S498" s="779">
        <f t="shared" si="75"/>
        <v>0</v>
      </c>
    </row>
    <row r="499" spans="1:19">
      <c r="A499" s="944"/>
      <c r="B499" s="131"/>
      <c r="C499" s="52">
        <f t="shared" si="76"/>
        <v>1</v>
      </c>
      <c r="D499" s="942"/>
      <c r="E499" s="52">
        <f t="shared" si="77"/>
        <v>0</v>
      </c>
      <c r="F499" s="942"/>
      <c r="G499" s="52">
        <f t="shared" si="78"/>
        <v>0</v>
      </c>
      <c r="H499" s="942"/>
      <c r="I499" s="52">
        <f t="shared" si="79"/>
        <v>0</v>
      </c>
      <c r="J499" s="942"/>
      <c r="K499" s="52">
        <f t="shared" si="80"/>
        <v>1</v>
      </c>
      <c r="L499" s="942"/>
      <c r="M499" s="52">
        <f t="shared" si="81"/>
        <v>1</v>
      </c>
      <c r="N499" s="942"/>
      <c r="O499" s="52">
        <f t="shared" si="82"/>
        <v>1</v>
      </c>
      <c r="P499" s="942"/>
      <c r="Q499" s="52">
        <f t="shared" si="83"/>
        <v>1</v>
      </c>
      <c r="R499" s="470">
        <f t="shared" si="84"/>
        <v>0</v>
      </c>
      <c r="S499" s="779">
        <f t="shared" si="75"/>
        <v>0</v>
      </c>
    </row>
    <row r="500" spans="1:19">
      <c r="A500" s="944"/>
      <c r="B500" s="131"/>
      <c r="C500" s="52">
        <f t="shared" si="76"/>
        <v>1</v>
      </c>
      <c r="D500" s="942"/>
      <c r="E500" s="52">
        <f t="shared" si="77"/>
        <v>0</v>
      </c>
      <c r="F500" s="942"/>
      <c r="G500" s="52">
        <f t="shared" si="78"/>
        <v>0</v>
      </c>
      <c r="H500" s="942"/>
      <c r="I500" s="52">
        <f t="shared" si="79"/>
        <v>0</v>
      </c>
      <c r="J500" s="942"/>
      <c r="K500" s="52">
        <f t="shared" si="80"/>
        <v>1</v>
      </c>
      <c r="L500" s="942"/>
      <c r="M500" s="52">
        <f t="shared" si="81"/>
        <v>1</v>
      </c>
      <c r="N500" s="942"/>
      <c r="O500" s="52">
        <f t="shared" si="82"/>
        <v>1</v>
      </c>
      <c r="P500" s="942"/>
      <c r="Q500" s="52">
        <f t="shared" si="83"/>
        <v>1</v>
      </c>
      <c r="R500" s="470">
        <f t="shared" si="84"/>
        <v>0</v>
      </c>
      <c r="S500" s="779">
        <f t="shared" si="75"/>
        <v>0</v>
      </c>
    </row>
    <row r="501" spans="1:19">
      <c r="A501" s="944"/>
      <c r="B501" s="131"/>
      <c r="C501" s="52">
        <f t="shared" si="76"/>
        <v>1</v>
      </c>
      <c r="D501" s="942"/>
      <c r="E501" s="52">
        <f t="shared" si="77"/>
        <v>0</v>
      </c>
      <c r="F501" s="942"/>
      <c r="G501" s="52">
        <f t="shared" si="78"/>
        <v>0</v>
      </c>
      <c r="H501" s="942"/>
      <c r="I501" s="52">
        <f t="shared" si="79"/>
        <v>0</v>
      </c>
      <c r="J501" s="942"/>
      <c r="K501" s="52">
        <f t="shared" si="80"/>
        <v>1</v>
      </c>
      <c r="L501" s="942"/>
      <c r="M501" s="52">
        <f t="shared" si="81"/>
        <v>1</v>
      </c>
      <c r="N501" s="942"/>
      <c r="O501" s="52">
        <f t="shared" si="82"/>
        <v>1</v>
      </c>
      <c r="P501" s="942"/>
      <c r="Q501" s="52">
        <f t="shared" si="83"/>
        <v>1</v>
      </c>
      <c r="R501" s="470">
        <f t="shared" si="84"/>
        <v>0</v>
      </c>
      <c r="S501" s="779">
        <f t="shared" si="75"/>
        <v>0</v>
      </c>
    </row>
    <row r="502" spans="1:19">
      <c r="A502" s="944"/>
      <c r="B502" s="131"/>
      <c r="C502" s="52">
        <f t="shared" si="76"/>
        <v>1</v>
      </c>
      <c r="D502" s="942"/>
      <c r="E502" s="52">
        <f t="shared" si="77"/>
        <v>0</v>
      </c>
      <c r="F502" s="942"/>
      <c r="G502" s="52">
        <f t="shared" si="78"/>
        <v>0</v>
      </c>
      <c r="H502" s="942"/>
      <c r="I502" s="52">
        <f t="shared" si="79"/>
        <v>0</v>
      </c>
      <c r="J502" s="942"/>
      <c r="K502" s="52">
        <f t="shared" si="80"/>
        <v>1</v>
      </c>
      <c r="L502" s="942"/>
      <c r="M502" s="52">
        <f t="shared" si="81"/>
        <v>1</v>
      </c>
      <c r="N502" s="942"/>
      <c r="O502" s="52">
        <f t="shared" si="82"/>
        <v>1</v>
      </c>
      <c r="P502" s="942"/>
      <c r="Q502" s="52">
        <f t="shared" si="83"/>
        <v>1</v>
      </c>
      <c r="R502" s="470">
        <f t="shared" si="84"/>
        <v>0</v>
      </c>
      <c r="S502" s="779">
        <f t="shared" si="75"/>
        <v>0</v>
      </c>
    </row>
    <row r="503" spans="1:19">
      <c r="A503" s="944"/>
      <c r="B503" s="131"/>
      <c r="C503" s="52">
        <f t="shared" si="76"/>
        <v>1</v>
      </c>
      <c r="D503" s="942"/>
      <c r="E503" s="52">
        <f t="shared" si="77"/>
        <v>0</v>
      </c>
      <c r="F503" s="942"/>
      <c r="G503" s="52">
        <f t="shared" si="78"/>
        <v>0</v>
      </c>
      <c r="H503" s="942"/>
      <c r="I503" s="52">
        <f t="shared" si="79"/>
        <v>0</v>
      </c>
      <c r="J503" s="942"/>
      <c r="K503" s="52">
        <f t="shared" si="80"/>
        <v>1</v>
      </c>
      <c r="L503" s="942"/>
      <c r="M503" s="52">
        <f t="shared" si="81"/>
        <v>1</v>
      </c>
      <c r="N503" s="942"/>
      <c r="O503" s="52">
        <f t="shared" si="82"/>
        <v>1</v>
      </c>
      <c r="P503" s="942"/>
      <c r="Q503" s="52">
        <f t="shared" si="83"/>
        <v>1</v>
      </c>
      <c r="R503" s="470">
        <f t="shared" si="84"/>
        <v>0</v>
      </c>
      <c r="S503" s="779">
        <f t="shared" si="75"/>
        <v>0</v>
      </c>
    </row>
    <row r="504" spans="1:19">
      <c r="A504" s="944"/>
      <c r="B504" s="131"/>
      <c r="C504" s="52">
        <f t="shared" si="76"/>
        <v>1</v>
      </c>
      <c r="D504" s="942"/>
      <c r="E504" s="52">
        <f t="shared" si="77"/>
        <v>0</v>
      </c>
      <c r="F504" s="942"/>
      <c r="G504" s="52">
        <f t="shared" si="78"/>
        <v>0</v>
      </c>
      <c r="H504" s="942"/>
      <c r="I504" s="52">
        <f t="shared" si="79"/>
        <v>0</v>
      </c>
      <c r="J504" s="942"/>
      <c r="K504" s="52">
        <f t="shared" si="80"/>
        <v>1</v>
      </c>
      <c r="L504" s="942"/>
      <c r="M504" s="52">
        <f t="shared" si="81"/>
        <v>1</v>
      </c>
      <c r="N504" s="942"/>
      <c r="O504" s="52">
        <f t="shared" si="82"/>
        <v>1</v>
      </c>
      <c r="P504" s="942"/>
      <c r="Q504" s="52">
        <f t="shared" si="83"/>
        <v>1</v>
      </c>
      <c r="R504" s="470">
        <f t="shared" si="84"/>
        <v>0</v>
      </c>
      <c r="S504" s="779">
        <f t="shared" si="75"/>
        <v>0</v>
      </c>
    </row>
    <row r="505" spans="1:19">
      <c r="A505" s="944"/>
      <c r="B505" s="131"/>
      <c r="C505" s="52">
        <f t="shared" si="76"/>
        <v>1</v>
      </c>
      <c r="D505" s="942"/>
      <c r="E505" s="52">
        <f t="shared" si="77"/>
        <v>0</v>
      </c>
      <c r="F505" s="942"/>
      <c r="G505" s="52">
        <f t="shared" si="78"/>
        <v>0</v>
      </c>
      <c r="H505" s="942"/>
      <c r="I505" s="52">
        <f t="shared" si="79"/>
        <v>0</v>
      </c>
      <c r="J505" s="942"/>
      <c r="K505" s="52">
        <f t="shared" si="80"/>
        <v>1</v>
      </c>
      <c r="L505" s="942"/>
      <c r="M505" s="52">
        <f t="shared" si="81"/>
        <v>1</v>
      </c>
      <c r="N505" s="942"/>
      <c r="O505" s="52">
        <f t="shared" si="82"/>
        <v>1</v>
      </c>
      <c r="P505" s="942"/>
      <c r="Q505" s="52">
        <f t="shared" si="83"/>
        <v>1</v>
      </c>
      <c r="R505" s="470">
        <f t="shared" si="84"/>
        <v>0</v>
      </c>
      <c r="S505" s="779">
        <f t="shared" si="75"/>
        <v>0</v>
      </c>
    </row>
    <row r="506" spans="1:19">
      <c r="A506" s="944"/>
      <c r="B506" s="131"/>
      <c r="C506" s="52">
        <f t="shared" si="76"/>
        <v>1</v>
      </c>
      <c r="D506" s="942"/>
      <c r="E506" s="52">
        <f t="shared" si="77"/>
        <v>0</v>
      </c>
      <c r="F506" s="942"/>
      <c r="G506" s="52">
        <f t="shared" si="78"/>
        <v>0</v>
      </c>
      <c r="H506" s="942"/>
      <c r="I506" s="52">
        <f t="shared" si="79"/>
        <v>0</v>
      </c>
      <c r="J506" s="942"/>
      <c r="K506" s="52">
        <f t="shared" si="80"/>
        <v>1</v>
      </c>
      <c r="L506" s="942"/>
      <c r="M506" s="52">
        <f t="shared" si="81"/>
        <v>1</v>
      </c>
      <c r="N506" s="942"/>
      <c r="O506" s="52">
        <f t="shared" si="82"/>
        <v>1</v>
      </c>
      <c r="P506" s="942"/>
      <c r="Q506" s="52">
        <f t="shared" si="83"/>
        <v>1</v>
      </c>
      <c r="R506" s="470">
        <f t="shared" si="84"/>
        <v>0</v>
      </c>
      <c r="S506" s="779">
        <f t="shared" si="75"/>
        <v>0</v>
      </c>
    </row>
    <row r="507" spans="1:19">
      <c r="A507" s="944"/>
      <c r="B507" s="131"/>
      <c r="C507" s="52">
        <f t="shared" si="76"/>
        <v>1</v>
      </c>
      <c r="D507" s="942"/>
      <c r="E507" s="52">
        <f t="shared" si="77"/>
        <v>0</v>
      </c>
      <c r="F507" s="942"/>
      <c r="G507" s="52">
        <f t="shared" si="78"/>
        <v>0</v>
      </c>
      <c r="H507" s="942"/>
      <c r="I507" s="52">
        <f t="shared" si="79"/>
        <v>0</v>
      </c>
      <c r="J507" s="942"/>
      <c r="K507" s="52">
        <f t="shared" si="80"/>
        <v>1</v>
      </c>
      <c r="L507" s="942"/>
      <c r="M507" s="52">
        <f t="shared" si="81"/>
        <v>1</v>
      </c>
      <c r="N507" s="942"/>
      <c r="O507" s="52">
        <f t="shared" si="82"/>
        <v>1</v>
      </c>
      <c r="P507" s="942"/>
      <c r="Q507" s="52">
        <f t="shared" si="83"/>
        <v>1</v>
      </c>
      <c r="R507" s="470">
        <f t="shared" si="84"/>
        <v>0</v>
      </c>
      <c r="S507" s="779">
        <f t="shared" si="75"/>
        <v>0</v>
      </c>
    </row>
    <row r="508" spans="1:19">
      <c r="A508" s="944"/>
      <c r="B508" s="131"/>
      <c r="C508" s="52">
        <f t="shared" si="76"/>
        <v>1</v>
      </c>
      <c r="D508" s="942"/>
      <c r="E508" s="52">
        <f t="shared" si="77"/>
        <v>0</v>
      </c>
      <c r="F508" s="942"/>
      <c r="G508" s="52">
        <f t="shared" si="78"/>
        <v>0</v>
      </c>
      <c r="H508" s="942"/>
      <c r="I508" s="52">
        <f t="shared" si="79"/>
        <v>0</v>
      </c>
      <c r="J508" s="942"/>
      <c r="K508" s="52">
        <f t="shared" si="80"/>
        <v>1</v>
      </c>
      <c r="L508" s="942"/>
      <c r="M508" s="52">
        <f t="shared" si="81"/>
        <v>1</v>
      </c>
      <c r="N508" s="942"/>
      <c r="O508" s="52">
        <f t="shared" si="82"/>
        <v>1</v>
      </c>
      <c r="P508" s="942"/>
      <c r="Q508" s="52">
        <f t="shared" si="83"/>
        <v>1</v>
      </c>
      <c r="R508" s="470">
        <f t="shared" si="84"/>
        <v>0</v>
      </c>
      <c r="S508" s="779">
        <f t="shared" si="75"/>
        <v>0</v>
      </c>
    </row>
    <row r="509" spans="1:19">
      <c r="A509" s="944"/>
      <c r="B509" s="131"/>
      <c r="C509" s="52">
        <f t="shared" si="76"/>
        <v>1</v>
      </c>
      <c r="D509" s="942"/>
      <c r="E509" s="52">
        <f t="shared" si="77"/>
        <v>0</v>
      </c>
      <c r="F509" s="942"/>
      <c r="G509" s="52">
        <f t="shared" si="78"/>
        <v>0</v>
      </c>
      <c r="H509" s="942"/>
      <c r="I509" s="52">
        <f t="shared" si="79"/>
        <v>0</v>
      </c>
      <c r="J509" s="942"/>
      <c r="K509" s="52">
        <f t="shared" si="80"/>
        <v>1</v>
      </c>
      <c r="L509" s="942"/>
      <c r="M509" s="52">
        <f t="shared" si="81"/>
        <v>1</v>
      </c>
      <c r="N509" s="942"/>
      <c r="O509" s="52">
        <f t="shared" si="82"/>
        <v>1</v>
      </c>
      <c r="P509" s="942"/>
      <c r="Q509" s="52">
        <f t="shared" si="83"/>
        <v>1</v>
      </c>
      <c r="R509" s="470">
        <f t="shared" si="84"/>
        <v>0</v>
      </c>
      <c r="S509" s="779">
        <f t="shared" si="75"/>
        <v>0</v>
      </c>
    </row>
    <row r="510" spans="1:19">
      <c r="A510" s="944"/>
      <c r="B510" s="131"/>
      <c r="C510" s="52">
        <f t="shared" si="76"/>
        <v>1</v>
      </c>
      <c r="D510" s="942"/>
      <c r="E510" s="52">
        <f t="shared" si="77"/>
        <v>0</v>
      </c>
      <c r="F510" s="942"/>
      <c r="G510" s="52">
        <f t="shared" si="78"/>
        <v>0</v>
      </c>
      <c r="H510" s="942"/>
      <c r="I510" s="52">
        <f t="shared" si="79"/>
        <v>0</v>
      </c>
      <c r="J510" s="942"/>
      <c r="K510" s="52">
        <f t="shared" si="80"/>
        <v>1</v>
      </c>
      <c r="L510" s="942"/>
      <c r="M510" s="52">
        <f t="shared" si="81"/>
        <v>1</v>
      </c>
      <c r="N510" s="942"/>
      <c r="O510" s="52">
        <f t="shared" si="82"/>
        <v>1</v>
      </c>
      <c r="P510" s="942"/>
      <c r="Q510" s="52">
        <f t="shared" si="83"/>
        <v>1</v>
      </c>
      <c r="R510" s="470">
        <f t="shared" si="84"/>
        <v>0</v>
      </c>
      <c r="S510" s="779">
        <f t="shared" si="75"/>
        <v>0</v>
      </c>
    </row>
    <row r="511" spans="1:19">
      <c r="A511" s="944"/>
      <c r="B511" s="131"/>
      <c r="C511" s="52">
        <f t="shared" si="76"/>
        <v>1</v>
      </c>
      <c r="D511" s="942"/>
      <c r="E511" s="52">
        <f t="shared" si="77"/>
        <v>0</v>
      </c>
      <c r="F511" s="942"/>
      <c r="G511" s="52">
        <f t="shared" si="78"/>
        <v>0</v>
      </c>
      <c r="H511" s="942"/>
      <c r="I511" s="52">
        <f t="shared" si="79"/>
        <v>0</v>
      </c>
      <c r="J511" s="942"/>
      <c r="K511" s="52">
        <f t="shared" si="80"/>
        <v>1</v>
      </c>
      <c r="L511" s="942"/>
      <c r="M511" s="52">
        <f t="shared" si="81"/>
        <v>1</v>
      </c>
      <c r="N511" s="942"/>
      <c r="O511" s="52">
        <f t="shared" si="82"/>
        <v>1</v>
      </c>
      <c r="P511" s="942"/>
      <c r="Q511" s="52">
        <f t="shared" si="83"/>
        <v>1</v>
      </c>
      <c r="R511" s="470">
        <f t="shared" si="84"/>
        <v>0</v>
      </c>
      <c r="S511" s="779">
        <f t="shared" si="75"/>
        <v>0</v>
      </c>
    </row>
    <row r="512" spans="1:19">
      <c r="A512" s="944"/>
      <c r="B512" s="131"/>
      <c r="C512" s="52">
        <f t="shared" si="76"/>
        <v>1</v>
      </c>
      <c r="D512" s="942"/>
      <c r="E512" s="52">
        <f t="shared" si="77"/>
        <v>0</v>
      </c>
      <c r="F512" s="942"/>
      <c r="G512" s="52">
        <f t="shared" si="78"/>
        <v>0</v>
      </c>
      <c r="H512" s="942"/>
      <c r="I512" s="52">
        <f t="shared" si="79"/>
        <v>0</v>
      </c>
      <c r="J512" s="942"/>
      <c r="K512" s="52">
        <f t="shared" si="80"/>
        <v>1</v>
      </c>
      <c r="L512" s="942"/>
      <c r="M512" s="52">
        <f t="shared" si="81"/>
        <v>1</v>
      </c>
      <c r="N512" s="942"/>
      <c r="O512" s="52">
        <f t="shared" si="82"/>
        <v>1</v>
      </c>
      <c r="P512" s="942"/>
      <c r="Q512" s="52">
        <f t="shared" si="83"/>
        <v>1</v>
      </c>
      <c r="R512" s="470">
        <f t="shared" si="84"/>
        <v>0</v>
      </c>
      <c r="S512" s="779">
        <f t="shared" si="75"/>
        <v>0</v>
      </c>
    </row>
    <row r="513" spans="1:19">
      <c r="A513" s="944"/>
      <c r="B513" s="131"/>
      <c r="C513" s="52">
        <f t="shared" si="76"/>
        <v>1</v>
      </c>
      <c r="D513" s="942"/>
      <c r="E513" s="52">
        <f t="shared" si="77"/>
        <v>0</v>
      </c>
      <c r="F513" s="942"/>
      <c r="G513" s="52">
        <f t="shared" si="78"/>
        <v>0</v>
      </c>
      <c r="H513" s="942"/>
      <c r="I513" s="52">
        <f t="shared" si="79"/>
        <v>0</v>
      </c>
      <c r="J513" s="942"/>
      <c r="K513" s="52">
        <f t="shared" si="80"/>
        <v>1</v>
      </c>
      <c r="L513" s="942"/>
      <c r="M513" s="52">
        <f t="shared" si="81"/>
        <v>1</v>
      </c>
      <c r="N513" s="942"/>
      <c r="O513" s="52">
        <f t="shared" si="82"/>
        <v>1</v>
      </c>
      <c r="P513" s="942"/>
      <c r="Q513" s="52">
        <f t="shared" si="83"/>
        <v>1</v>
      </c>
      <c r="R513" s="470">
        <f t="shared" si="84"/>
        <v>0</v>
      </c>
      <c r="S513" s="779">
        <f t="shared" si="75"/>
        <v>0</v>
      </c>
    </row>
    <row r="514" spans="1:19">
      <c r="A514" s="944"/>
      <c r="B514" s="131"/>
      <c r="C514" s="52">
        <f t="shared" si="76"/>
        <v>1</v>
      </c>
      <c r="D514" s="942"/>
      <c r="E514" s="52">
        <f t="shared" si="77"/>
        <v>0</v>
      </c>
      <c r="F514" s="942"/>
      <c r="G514" s="52">
        <f t="shared" si="78"/>
        <v>0</v>
      </c>
      <c r="H514" s="942"/>
      <c r="I514" s="52">
        <f t="shared" si="79"/>
        <v>0</v>
      </c>
      <c r="J514" s="942"/>
      <c r="K514" s="52">
        <f t="shared" si="80"/>
        <v>1</v>
      </c>
      <c r="L514" s="942"/>
      <c r="M514" s="52">
        <f t="shared" si="81"/>
        <v>1</v>
      </c>
      <c r="N514" s="942"/>
      <c r="O514" s="52">
        <f t="shared" si="82"/>
        <v>1</v>
      </c>
      <c r="P514" s="942"/>
      <c r="Q514" s="52">
        <f t="shared" si="83"/>
        <v>1</v>
      </c>
      <c r="R514" s="470">
        <f t="shared" si="84"/>
        <v>0</v>
      </c>
      <c r="S514" s="779">
        <f t="shared" si="75"/>
        <v>0</v>
      </c>
    </row>
    <row r="515" spans="1:19">
      <c r="A515" s="944"/>
      <c r="B515" s="131"/>
      <c r="C515" s="52">
        <f t="shared" si="76"/>
        <v>1</v>
      </c>
      <c r="D515" s="942"/>
      <c r="E515" s="52">
        <f t="shared" si="77"/>
        <v>0</v>
      </c>
      <c r="F515" s="942"/>
      <c r="G515" s="52">
        <f t="shared" si="78"/>
        <v>0</v>
      </c>
      <c r="H515" s="942"/>
      <c r="I515" s="52">
        <f t="shared" si="79"/>
        <v>0</v>
      </c>
      <c r="J515" s="942"/>
      <c r="K515" s="52">
        <f t="shared" si="80"/>
        <v>1</v>
      </c>
      <c r="L515" s="942"/>
      <c r="M515" s="52">
        <f t="shared" si="81"/>
        <v>1</v>
      </c>
      <c r="N515" s="942"/>
      <c r="O515" s="52">
        <f t="shared" si="82"/>
        <v>1</v>
      </c>
      <c r="P515" s="942"/>
      <c r="Q515" s="52">
        <f t="shared" si="83"/>
        <v>1</v>
      </c>
      <c r="R515" s="470">
        <f t="shared" si="84"/>
        <v>0</v>
      </c>
      <c r="S515" s="779">
        <f t="shared" si="75"/>
        <v>0</v>
      </c>
    </row>
    <row r="516" spans="1:19">
      <c r="A516" s="944"/>
      <c r="B516" s="131"/>
      <c r="C516" s="52">
        <f t="shared" si="76"/>
        <v>1</v>
      </c>
      <c r="D516" s="942"/>
      <c r="E516" s="52">
        <f t="shared" si="77"/>
        <v>0</v>
      </c>
      <c r="F516" s="942"/>
      <c r="G516" s="52">
        <f t="shared" si="78"/>
        <v>0</v>
      </c>
      <c r="H516" s="942"/>
      <c r="I516" s="52">
        <f t="shared" si="79"/>
        <v>0</v>
      </c>
      <c r="J516" s="942"/>
      <c r="K516" s="52">
        <f t="shared" si="80"/>
        <v>1</v>
      </c>
      <c r="L516" s="942"/>
      <c r="M516" s="52">
        <f t="shared" si="81"/>
        <v>1</v>
      </c>
      <c r="N516" s="942"/>
      <c r="O516" s="52">
        <f t="shared" si="82"/>
        <v>1</v>
      </c>
      <c r="P516" s="942"/>
      <c r="Q516" s="52">
        <f t="shared" si="83"/>
        <v>1</v>
      </c>
      <c r="R516" s="470">
        <f t="shared" si="84"/>
        <v>0</v>
      </c>
      <c r="S516" s="779">
        <f t="shared" si="75"/>
        <v>0</v>
      </c>
    </row>
    <row r="517" spans="1:19">
      <c r="A517" s="944"/>
      <c r="B517" s="131"/>
      <c r="C517" s="52">
        <f t="shared" si="76"/>
        <v>1</v>
      </c>
      <c r="D517" s="942"/>
      <c r="E517" s="52">
        <f t="shared" si="77"/>
        <v>0</v>
      </c>
      <c r="F517" s="942"/>
      <c r="G517" s="52">
        <f t="shared" si="78"/>
        <v>0</v>
      </c>
      <c r="H517" s="942"/>
      <c r="I517" s="52">
        <f t="shared" si="79"/>
        <v>0</v>
      </c>
      <c r="J517" s="942"/>
      <c r="K517" s="52">
        <f t="shared" si="80"/>
        <v>1</v>
      </c>
      <c r="L517" s="942"/>
      <c r="M517" s="52">
        <f t="shared" si="81"/>
        <v>1</v>
      </c>
      <c r="N517" s="942"/>
      <c r="O517" s="52">
        <f t="shared" si="82"/>
        <v>1</v>
      </c>
      <c r="P517" s="942"/>
      <c r="Q517" s="52">
        <f t="shared" si="83"/>
        <v>1</v>
      </c>
      <c r="R517" s="470">
        <f t="shared" si="84"/>
        <v>0</v>
      </c>
      <c r="S517" s="779">
        <f t="shared" si="75"/>
        <v>0</v>
      </c>
    </row>
    <row r="518" spans="1:19">
      <c r="A518" s="944"/>
      <c r="B518" s="131"/>
      <c r="C518" s="52">
        <f t="shared" si="76"/>
        <v>1</v>
      </c>
      <c r="D518" s="942"/>
      <c r="E518" s="52">
        <f t="shared" si="77"/>
        <v>0</v>
      </c>
      <c r="F518" s="942"/>
      <c r="G518" s="52">
        <f t="shared" si="78"/>
        <v>0</v>
      </c>
      <c r="H518" s="942"/>
      <c r="I518" s="52">
        <f t="shared" si="79"/>
        <v>0</v>
      </c>
      <c r="J518" s="942"/>
      <c r="K518" s="52">
        <f t="shared" si="80"/>
        <v>1</v>
      </c>
      <c r="L518" s="942"/>
      <c r="M518" s="52">
        <f t="shared" si="81"/>
        <v>1</v>
      </c>
      <c r="N518" s="942"/>
      <c r="O518" s="52">
        <f t="shared" si="82"/>
        <v>1</v>
      </c>
      <c r="P518" s="942"/>
      <c r="Q518" s="52">
        <f t="shared" si="83"/>
        <v>1</v>
      </c>
      <c r="R518" s="470">
        <f t="shared" si="84"/>
        <v>0</v>
      </c>
      <c r="S518" s="779">
        <f t="shared" si="75"/>
        <v>0</v>
      </c>
    </row>
    <row r="519" spans="1:19">
      <c r="A519" s="944"/>
      <c r="B519" s="131"/>
      <c r="C519" s="52">
        <f t="shared" si="76"/>
        <v>1</v>
      </c>
      <c r="D519" s="942"/>
      <c r="E519" s="52">
        <f t="shared" si="77"/>
        <v>0</v>
      </c>
      <c r="F519" s="942"/>
      <c r="G519" s="52">
        <f t="shared" si="78"/>
        <v>0</v>
      </c>
      <c r="H519" s="942"/>
      <c r="I519" s="52">
        <f t="shared" si="79"/>
        <v>0</v>
      </c>
      <c r="J519" s="942"/>
      <c r="K519" s="52">
        <f t="shared" si="80"/>
        <v>1</v>
      </c>
      <c r="L519" s="942"/>
      <c r="M519" s="52">
        <f t="shared" si="81"/>
        <v>1</v>
      </c>
      <c r="N519" s="942"/>
      <c r="O519" s="52">
        <f t="shared" si="82"/>
        <v>1</v>
      </c>
      <c r="P519" s="942"/>
      <c r="Q519" s="52">
        <f t="shared" si="83"/>
        <v>1</v>
      </c>
      <c r="R519" s="470">
        <f t="shared" si="84"/>
        <v>0</v>
      </c>
      <c r="S519" s="779">
        <f t="shared" si="75"/>
        <v>0</v>
      </c>
    </row>
    <row r="520" spans="1:19">
      <c r="A520" s="944"/>
      <c r="B520" s="131"/>
      <c r="C520" s="52">
        <f t="shared" si="76"/>
        <v>1</v>
      </c>
      <c r="D520" s="942"/>
      <c r="E520" s="52">
        <f t="shared" si="77"/>
        <v>0</v>
      </c>
      <c r="F520" s="942"/>
      <c r="G520" s="52">
        <f t="shared" si="78"/>
        <v>0</v>
      </c>
      <c r="H520" s="942"/>
      <c r="I520" s="52">
        <f t="shared" si="79"/>
        <v>0</v>
      </c>
      <c r="J520" s="942"/>
      <c r="K520" s="52">
        <f t="shared" si="80"/>
        <v>1</v>
      </c>
      <c r="L520" s="942"/>
      <c r="M520" s="52">
        <f t="shared" si="81"/>
        <v>1</v>
      </c>
      <c r="N520" s="942"/>
      <c r="O520" s="52">
        <f t="shared" si="82"/>
        <v>1</v>
      </c>
      <c r="P520" s="942"/>
      <c r="Q520" s="52">
        <f t="shared" si="83"/>
        <v>1</v>
      </c>
      <c r="R520" s="470">
        <f t="shared" si="84"/>
        <v>0</v>
      </c>
      <c r="S520" s="779">
        <f t="shared" si="75"/>
        <v>0</v>
      </c>
    </row>
    <row r="521" spans="1:19">
      <c r="A521" s="944"/>
      <c r="B521" s="131"/>
      <c r="C521" s="52">
        <f t="shared" si="76"/>
        <v>1</v>
      </c>
      <c r="D521" s="942"/>
      <c r="E521" s="52">
        <f t="shared" si="77"/>
        <v>0</v>
      </c>
      <c r="F521" s="942"/>
      <c r="G521" s="52">
        <f t="shared" si="78"/>
        <v>0</v>
      </c>
      <c r="H521" s="942"/>
      <c r="I521" s="52">
        <f t="shared" si="79"/>
        <v>0</v>
      </c>
      <c r="J521" s="942"/>
      <c r="K521" s="52">
        <f t="shared" si="80"/>
        <v>1</v>
      </c>
      <c r="L521" s="942"/>
      <c r="M521" s="52">
        <f t="shared" si="81"/>
        <v>1</v>
      </c>
      <c r="N521" s="942"/>
      <c r="O521" s="52">
        <f t="shared" si="82"/>
        <v>1</v>
      </c>
      <c r="P521" s="942"/>
      <c r="Q521" s="52">
        <f t="shared" si="83"/>
        <v>1</v>
      </c>
      <c r="R521" s="470">
        <f t="shared" si="84"/>
        <v>0</v>
      </c>
      <c r="S521" s="779">
        <f t="shared" si="75"/>
        <v>0</v>
      </c>
    </row>
    <row r="522" spans="1:19">
      <c r="A522" s="944"/>
      <c r="B522" s="131"/>
      <c r="C522" s="52">
        <f t="shared" si="76"/>
        <v>1</v>
      </c>
      <c r="D522" s="942"/>
      <c r="E522" s="52">
        <f t="shared" si="77"/>
        <v>0</v>
      </c>
      <c r="F522" s="942"/>
      <c r="G522" s="52">
        <f t="shared" si="78"/>
        <v>0</v>
      </c>
      <c r="H522" s="942"/>
      <c r="I522" s="52">
        <f t="shared" si="79"/>
        <v>0</v>
      </c>
      <c r="J522" s="942"/>
      <c r="K522" s="52">
        <f t="shared" si="80"/>
        <v>1</v>
      </c>
      <c r="L522" s="942"/>
      <c r="M522" s="52">
        <f t="shared" si="81"/>
        <v>1</v>
      </c>
      <c r="N522" s="942"/>
      <c r="O522" s="52">
        <f t="shared" si="82"/>
        <v>1</v>
      </c>
      <c r="P522" s="942"/>
      <c r="Q522" s="52">
        <f t="shared" si="83"/>
        <v>1</v>
      </c>
      <c r="R522" s="470">
        <f t="shared" si="84"/>
        <v>0</v>
      </c>
      <c r="S522" s="779">
        <f t="shared" si="75"/>
        <v>0</v>
      </c>
    </row>
    <row r="523" spans="1:19">
      <c r="A523" s="944"/>
      <c r="B523" s="131"/>
      <c r="C523" s="52">
        <f t="shared" si="76"/>
        <v>1</v>
      </c>
      <c r="D523" s="942"/>
      <c r="E523" s="52">
        <f t="shared" si="77"/>
        <v>0</v>
      </c>
      <c r="F523" s="942"/>
      <c r="G523" s="52">
        <f t="shared" si="78"/>
        <v>0</v>
      </c>
      <c r="H523" s="942"/>
      <c r="I523" s="52">
        <f t="shared" si="79"/>
        <v>0</v>
      </c>
      <c r="J523" s="942"/>
      <c r="K523" s="52">
        <f t="shared" si="80"/>
        <v>1</v>
      </c>
      <c r="L523" s="942"/>
      <c r="M523" s="52">
        <f t="shared" si="81"/>
        <v>1</v>
      </c>
      <c r="N523" s="942"/>
      <c r="O523" s="52">
        <f t="shared" si="82"/>
        <v>1</v>
      </c>
      <c r="P523" s="942"/>
      <c r="Q523" s="52">
        <f t="shared" si="83"/>
        <v>1</v>
      </c>
      <c r="R523" s="470">
        <f t="shared" si="84"/>
        <v>0</v>
      </c>
      <c r="S523" s="779">
        <f t="shared" si="75"/>
        <v>0</v>
      </c>
    </row>
    <row r="524" spans="1:19">
      <c r="A524" s="944"/>
      <c r="B524" s="131"/>
      <c r="C524" s="52">
        <f t="shared" si="76"/>
        <v>1</v>
      </c>
      <c r="D524" s="942"/>
      <c r="E524" s="52">
        <f t="shared" si="77"/>
        <v>0</v>
      </c>
      <c r="F524" s="942"/>
      <c r="G524" s="52">
        <f t="shared" si="78"/>
        <v>0</v>
      </c>
      <c r="H524" s="942"/>
      <c r="I524" s="52">
        <f t="shared" si="79"/>
        <v>0</v>
      </c>
      <c r="J524" s="942"/>
      <c r="K524" s="52">
        <f t="shared" si="80"/>
        <v>1</v>
      </c>
      <c r="L524" s="942"/>
      <c r="M524" s="52">
        <f t="shared" si="81"/>
        <v>1</v>
      </c>
      <c r="N524" s="942"/>
      <c r="O524" s="52">
        <f t="shared" si="82"/>
        <v>1</v>
      </c>
      <c r="P524" s="942"/>
      <c r="Q524" s="52">
        <f t="shared" si="83"/>
        <v>1</v>
      </c>
      <c r="R524" s="470">
        <f t="shared" si="84"/>
        <v>0</v>
      </c>
      <c r="S524" s="779">
        <f t="shared" si="75"/>
        <v>0</v>
      </c>
    </row>
    <row r="525" spans="1:19">
      <c r="A525" s="234"/>
      <c r="B525" s="56"/>
      <c r="C525" s="56"/>
      <c r="D525" s="56"/>
      <c r="E525" s="56"/>
      <c r="F525" s="56"/>
      <c r="G525" s="56"/>
      <c r="H525" s="56"/>
      <c r="I525" s="56"/>
      <c r="J525" s="56"/>
      <c r="K525" s="56"/>
      <c r="L525" s="56"/>
      <c r="M525" s="56"/>
      <c r="N525" s="56"/>
      <c r="O525" s="56"/>
      <c r="P525" s="56"/>
      <c r="Q525" s="56"/>
      <c r="R525" s="2206"/>
      <c r="S525" s="234"/>
    </row>
    <row r="526" spans="1:19">
      <c r="A526" s="234"/>
      <c r="B526" s="56"/>
      <c r="C526" s="56"/>
      <c r="D526" s="56"/>
      <c r="E526" s="56"/>
      <c r="F526" s="56"/>
      <c r="G526" s="56"/>
      <c r="H526" s="56"/>
      <c r="I526" s="56"/>
      <c r="J526" s="56"/>
      <c r="K526" s="56"/>
      <c r="L526" s="56"/>
      <c r="M526" s="56"/>
      <c r="N526" s="56"/>
      <c r="O526" s="56"/>
      <c r="P526" s="56"/>
      <c r="Q526" s="56"/>
      <c r="R526" s="2206"/>
      <c r="S526" s="234"/>
    </row>
    <row r="527" spans="1:19">
      <c r="A527" s="234"/>
      <c r="B527" s="56"/>
      <c r="C527" s="56"/>
      <c r="D527" s="56"/>
      <c r="E527" s="56"/>
      <c r="F527" s="56"/>
      <c r="G527" s="56"/>
      <c r="H527" s="56"/>
      <c r="I527" s="56"/>
      <c r="J527" s="56"/>
      <c r="K527" s="56"/>
      <c r="L527" s="56"/>
      <c r="M527" s="56"/>
      <c r="N527" s="56"/>
      <c r="O527" s="56"/>
      <c r="P527" s="56"/>
      <c r="Q527" s="56"/>
      <c r="R527" s="2206"/>
      <c r="S527" s="234"/>
    </row>
    <row r="528" spans="1:19">
      <c r="A528" s="234"/>
      <c r="B528" s="56"/>
      <c r="C528" s="56"/>
      <c r="D528" s="56"/>
      <c r="E528" s="56"/>
      <c r="F528" s="56"/>
      <c r="G528" s="56"/>
      <c r="H528" s="56"/>
      <c r="I528" s="56"/>
      <c r="J528" s="56"/>
      <c r="K528" s="56"/>
      <c r="L528" s="56"/>
      <c r="M528" s="56"/>
      <c r="N528" s="56"/>
      <c r="O528" s="56"/>
      <c r="P528" s="56"/>
      <c r="Q528" s="56"/>
      <c r="R528" s="2206"/>
      <c r="S528" s="234"/>
    </row>
    <row r="529" spans="1:19">
      <c r="A529" s="234"/>
      <c r="B529" s="56"/>
      <c r="C529" s="56"/>
      <c r="D529" s="56"/>
      <c r="E529" s="56"/>
      <c r="F529" s="56"/>
      <c r="G529" s="56"/>
      <c r="H529" s="56"/>
      <c r="I529" s="56"/>
      <c r="J529" s="56"/>
      <c r="K529" s="56"/>
      <c r="L529" s="56"/>
      <c r="M529" s="56"/>
      <c r="N529" s="56"/>
      <c r="O529" s="56"/>
      <c r="P529" s="56"/>
      <c r="Q529" s="56"/>
      <c r="R529" s="2206"/>
      <c r="S529" s="234"/>
    </row>
    <row r="530" spans="1:19">
      <c r="A530" s="234"/>
      <c r="B530" s="56"/>
      <c r="C530" s="56"/>
      <c r="D530" s="56"/>
      <c r="E530" s="56"/>
      <c r="F530" s="56"/>
      <c r="G530" s="56"/>
      <c r="H530" s="56"/>
      <c r="I530" s="56"/>
      <c r="J530" s="56"/>
      <c r="K530" s="56"/>
      <c r="L530" s="56"/>
      <c r="M530" s="56"/>
      <c r="N530" s="56"/>
      <c r="O530" s="56"/>
      <c r="P530" s="56"/>
      <c r="Q530" s="56"/>
      <c r="R530" s="2206"/>
      <c r="S530" s="234"/>
    </row>
    <row r="531" spans="1:19">
      <c r="A531" s="234"/>
      <c r="B531" s="56"/>
      <c r="C531" s="56"/>
      <c r="D531" s="56"/>
      <c r="E531" s="56"/>
      <c r="F531" s="56"/>
      <c r="G531" s="56"/>
      <c r="H531" s="56"/>
      <c r="I531" s="56"/>
      <c r="J531" s="56"/>
      <c r="K531" s="56"/>
      <c r="L531" s="56"/>
      <c r="M531" s="56"/>
      <c r="N531" s="56"/>
      <c r="O531" s="56"/>
      <c r="P531" s="56"/>
      <c r="Q531" s="56"/>
      <c r="R531" s="2206"/>
      <c r="S531" s="234"/>
    </row>
    <row r="532" spans="1:19">
      <c r="A532" s="234"/>
      <c r="B532" s="56"/>
      <c r="C532" s="56"/>
      <c r="D532" s="56"/>
      <c r="E532" s="56"/>
      <c r="F532" s="56"/>
      <c r="G532" s="56"/>
      <c r="H532" s="56"/>
      <c r="I532" s="56"/>
      <c r="J532" s="56"/>
      <c r="K532" s="56"/>
      <c r="L532" s="56"/>
      <c r="M532" s="56"/>
      <c r="N532" s="56"/>
      <c r="O532" s="56"/>
      <c r="P532" s="56"/>
      <c r="Q532" s="56"/>
      <c r="R532" s="2206"/>
      <c r="S532" s="234"/>
    </row>
    <row r="533" spans="1:19">
      <c r="A533" s="234"/>
      <c r="B533" s="56"/>
      <c r="C533" s="56"/>
      <c r="D533" s="56"/>
      <c r="E533" s="56"/>
      <c r="F533" s="56"/>
      <c r="G533" s="56"/>
      <c r="H533" s="56"/>
      <c r="I533" s="56"/>
      <c r="J533" s="56"/>
      <c r="K533" s="56"/>
      <c r="L533" s="56"/>
      <c r="M533" s="56"/>
      <c r="N533" s="56"/>
      <c r="O533" s="56"/>
      <c r="P533" s="56"/>
      <c r="Q533" s="56"/>
      <c r="R533" s="2206"/>
      <c r="S533" s="234"/>
    </row>
    <row r="534" spans="1:19">
      <c r="A534" s="234"/>
      <c r="B534" s="56"/>
      <c r="C534" s="56"/>
      <c r="D534" s="56"/>
      <c r="E534" s="56"/>
      <c r="F534" s="56"/>
      <c r="G534" s="56"/>
      <c r="H534" s="56"/>
      <c r="I534" s="56"/>
      <c r="J534" s="56"/>
      <c r="K534" s="56"/>
      <c r="L534" s="56"/>
      <c r="M534" s="56"/>
      <c r="N534" s="56"/>
      <c r="O534" s="56"/>
      <c r="P534" s="56"/>
      <c r="Q534" s="56"/>
      <c r="R534" s="2206"/>
      <c r="S534" s="234"/>
    </row>
    <row r="535" spans="1:19">
      <c r="A535" s="234"/>
      <c r="B535" s="56"/>
      <c r="C535" s="56"/>
      <c r="D535" s="56"/>
      <c r="E535" s="56"/>
      <c r="F535" s="56"/>
      <c r="G535" s="56"/>
      <c r="H535" s="56"/>
      <c r="I535" s="56"/>
      <c r="J535" s="56"/>
      <c r="K535" s="56"/>
      <c r="L535" s="56"/>
      <c r="M535" s="56"/>
      <c r="N535" s="56"/>
      <c r="O535" s="56"/>
      <c r="P535" s="56"/>
      <c r="Q535" s="56"/>
      <c r="R535" s="2206"/>
      <c r="S535" s="234"/>
    </row>
    <row r="536" spans="1:19">
      <c r="A536" s="234"/>
      <c r="B536" s="56"/>
      <c r="C536" s="56"/>
      <c r="D536" s="56"/>
      <c r="E536" s="56"/>
      <c r="F536" s="56"/>
      <c r="G536" s="56"/>
      <c r="H536" s="56"/>
      <c r="I536" s="56"/>
      <c r="J536" s="56"/>
      <c r="K536" s="56"/>
      <c r="L536" s="56"/>
      <c r="M536" s="56"/>
      <c r="N536" s="56"/>
      <c r="O536" s="56"/>
      <c r="P536" s="56"/>
      <c r="Q536" s="56"/>
      <c r="R536" s="2206"/>
      <c r="S536" s="234"/>
    </row>
    <row r="537" spans="1:19">
      <c r="A537" s="234"/>
      <c r="B537" s="56"/>
      <c r="C537" s="56"/>
      <c r="D537" s="56"/>
      <c r="E537" s="56"/>
      <c r="F537" s="56"/>
      <c r="G537" s="56"/>
      <c r="H537" s="56"/>
      <c r="I537" s="56"/>
      <c r="J537" s="56"/>
      <c r="K537" s="56"/>
      <c r="L537" s="56"/>
      <c r="M537" s="56"/>
      <c r="N537" s="56"/>
      <c r="O537" s="56"/>
      <c r="P537" s="56"/>
      <c r="Q537" s="56"/>
      <c r="R537" s="2206"/>
      <c r="S537" s="234"/>
    </row>
    <row r="538" spans="1:19">
      <c r="A538" s="234"/>
      <c r="B538" s="56"/>
      <c r="C538" s="56"/>
      <c r="D538" s="56"/>
      <c r="E538" s="56"/>
      <c r="F538" s="56"/>
      <c r="G538" s="56"/>
      <c r="H538" s="56"/>
      <c r="I538" s="56"/>
      <c r="J538" s="56"/>
      <c r="K538" s="56"/>
      <c r="L538" s="56"/>
      <c r="M538" s="56"/>
      <c r="N538" s="56"/>
      <c r="O538" s="56"/>
      <c r="P538" s="56"/>
      <c r="Q538" s="56"/>
      <c r="R538" s="2206"/>
      <c r="S538" s="234"/>
    </row>
    <row r="539" spans="1:19">
      <c r="A539" s="234"/>
      <c r="B539" s="56"/>
      <c r="C539" s="56"/>
      <c r="D539" s="56"/>
      <c r="E539" s="56"/>
      <c r="F539" s="56"/>
      <c r="G539" s="56"/>
      <c r="H539" s="56"/>
      <c r="I539" s="56"/>
      <c r="J539" s="56"/>
      <c r="K539" s="56"/>
      <c r="L539" s="56"/>
      <c r="M539" s="56"/>
      <c r="N539" s="56"/>
      <c r="O539" s="56"/>
      <c r="P539" s="56"/>
      <c r="Q539" s="56"/>
      <c r="R539" s="2206"/>
      <c r="S539" s="234"/>
    </row>
    <row r="540" spans="1:19">
      <c r="A540" s="234"/>
      <c r="B540" s="56"/>
      <c r="C540" s="56"/>
      <c r="D540" s="56"/>
      <c r="E540" s="56"/>
      <c r="F540" s="56"/>
      <c r="G540" s="56"/>
      <c r="H540" s="56"/>
      <c r="I540" s="56"/>
      <c r="J540" s="56"/>
      <c r="K540" s="56"/>
      <c r="L540" s="56"/>
      <c r="M540" s="56"/>
      <c r="N540" s="56"/>
      <c r="O540" s="56"/>
      <c r="P540" s="56"/>
      <c r="Q540" s="56"/>
      <c r="R540" s="2206"/>
      <c r="S540" s="234"/>
    </row>
    <row r="541" spans="1:19">
      <c r="A541" s="234"/>
      <c r="B541" s="56"/>
      <c r="C541" s="56"/>
      <c r="D541" s="56"/>
      <c r="E541" s="56"/>
      <c r="F541" s="56"/>
      <c r="G541" s="56"/>
      <c r="H541" s="56"/>
      <c r="I541" s="56"/>
      <c r="J541" s="56"/>
      <c r="K541" s="56"/>
      <c r="L541" s="56"/>
      <c r="M541" s="56"/>
      <c r="N541" s="56"/>
      <c r="O541" s="56"/>
      <c r="P541" s="56"/>
      <c r="Q541" s="56"/>
      <c r="R541" s="2206"/>
      <c r="S541" s="234"/>
    </row>
    <row r="542" spans="1:19">
      <c r="A542" s="234"/>
      <c r="B542" s="56"/>
      <c r="C542" s="56"/>
      <c r="D542" s="56"/>
      <c r="E542" s="56"/>
      <c r="F542" s="56"/>
      <c r="G542" s="56"/>
      <c r="H542" s="56"/>
      <c r="I542" s="56"/>
      <c r="J542" s="56"/>
      <c r="K542" s="56"/>
      <c r="L542" s="56"/>
      <c r="M542" s="56"/>
      <c r="N542" s="56"/>
      <c r="O542" s="56"/>
      <c r="P542" s="56"/>
      <c r="Q542" s="56"/>
      <c r="R542" s="2206"/>
      <c r="S542" s="234"/>
    </row>
    <row r="543" spans="1:19">
      <c r="A543" s="234"/>
      <c r="B543" s="56"/>
      <c r="C543" s="56"/>
      <c r="D543" s="56"/>
      <c r="E543" s="56"/>
      <c r="F543" s="56"/>
      <c r="G543" s="56"/>
      <c r="H543" s="56"/>
      <c r="I543" s="56"/>
      <c r="J543" s="56"/>
      <c r="K543" s="56"/>
      <c r="L543" s="56"/>
      <c r="M543" s="56"/>
      <c r="N543" s="56"/>
      <c r="O543" s="56"/>
      <c r="P543" s="56"/>
      <c r="Q543" s="56"/>
      <c r="R543" s="2206"/>
      <c r="S543" s="234"/>
    </row>
    <row r="544" spans="1:19">
      <c r="A544" s="234"/>
      <c r="B544" s="56"/>
      <c r="C544" s="56"/>
      <c r="D544" s="56"/>
      <c r="E544" s="56"/>
      <c r="F544" s="56"/>
      <c r="G544" s="56"/>
      <c r="H544" s="56"/>
      <c r="I544" s="56"/>
      <c r="J544" s="56"/>
      <c r="K544" s="56"/>
      <c r="L544" s="56"/>
      <c r="M544" s="56"/>
      <c r="N544" s="56"/>
      <c r="O544" s="56"/>
      <c r="P544" s="56"/>
      <c r="Q544" s="56"/>
      <c r="R544" s="2206"/>
      <c r="S544" s="234"/>
    </row>
    <row r="545" spans="1:19">
      <c r="A545" s="234"/>
      <c r="B545" s="56"/>
      <c r="C545" s="56"/>
      <c r="D545" s="56"/>
      <c r="E545" s="56"/>
      <c r="F545" s="56"/>
      <c r="G545" s="56"/>
      <c r="H545" s="56"/>
      <c r="I545" s="56"/>
      <c r="J545" s="56"/>
      <c r="K545" s="56"/>
      <c r="L545" s="56"/>
      <c r="M545" s="56"/>
      <c r="N545" s="56"/>
      <c r="O545" s="56"/>
      <c r="P545" s="56"/>
      <c r="Q545" s="56"/>
      <c r="R545" s="2206"/>
      <c r="S545" s="234"/>
    </row>
    <row r="546" spans="1:19">
      <c r="A546" s="234"/>
      <c r="B546" s="56"/>
      <c r="C546" s="56"/>
      <c r="D546" s="56"/>
      <c r="E546" s="56"/>
      <c r="F546" s="56"/>
      <c r="G546" s="56"/>
      <c r="H546" s="56"/>
      <c r="I546" s="56"/>
      <c r="J546" s="56"/>
      <c r="K546" s="56"/>
      <c r="L546" s="56"/>
      <c r="M546" s="56"/>
      <c r="N546" s="56"/>
      <c r="O546" s="56"/>
      <c r="P546" s="56"/>
      <c r="Q546" s="56"/>
      <c r="R546" s="2206"/>
      <c r="S546" s="234"/>
    </row>
    <row r="547" spans="1:19">
      <c r="A547" s="234"/>
      <c r="B547" s="56"/>
      <c r="C547" s="56"/>
      <c r="D547" s="56"/>
      <c r="E547" s="56"/>
      <c r="F547" s="56"/>
      <c r="G547" s="56"/>
      <c r="H547" s="56"/>
      <c r="I547" s="56"/>
      <c r="J547" s="56"/>
      <c r="K547" s="56"/>
      <c r="L547" s="56"/>
      <c r="M547" s="56"/>
      <c r="N547" s="56"/>
      <c r="O547" s="56"/>
      <c r="P547" s="56"/>
      <c r="Q547" s="56"/>
      <c r="R547" s="2206"/>
      <c r="S547" s="234"/>
    </row>
    <row r="548" spans="1:19">
      <c r="A548" s="234"/>
      <c r="B548" s="56"/>
      <c r="C548" s="56"/>
      <c r="D548" s="56"/>
      <c r="E548" s="56"/>
      <c r="F548" s="56"/>
      <c r="G548" s="56"/>
      <c r="H548" s="56"/>
      <c r="I548" s="56"/>
      <c r="J548" s="56"/>
      <c r="K548" s="56"/>
      <c r="L548" s="56"/>
      <c r="M548" s="56"/>
      <c r="N548" s="56"/>
      <c r="O548" s="56"/>
      <c r="P548" s="56"/>
      <c r="Q548" s="56"/>
      <c r="R548" s="2206"/>
      <c r="S548" s="234"/>
    </row>
    <row r="549" spans="1:19">
      <c r="A549" s="234"/>
      <c r="B549" s="56"/>
      <c r="C549" s="56"/>
      <c r="D549" s="56"/>
      <c r="E549" s="56"/>
      <c r="F549" s="56"/>
      <c r="G549" s="56"/>
      <c r="H549" s="56"/>
      <c r="I549" s="56"/>
      <c r="J549" s="56"/>
      <c r="K549" s="56"/>
      <c r="L549" s="56"/>
      <c r="M549" s="56"/>
      <c r="N549" s="56"/>
      <c r="O549" s="56"/>
      <c r="P549" s="56"/>
      <c r="Q549" s="56"/>
      <c r="R549" s="2206"/>
      <c r="S549" s="234"/>
    </row>
    <row r="550" spans="1:19">
      <c r="A550" s="234"/>
      <c r="B550" s="56"/>
      <c r="C550" s="56"/>
      <c r="D550" s="56"/>
      <c r="E550" s="56"/>
      <c r="F550" s="56"/>
      <c r="G550" s="56"/>
      <c r="H550" s="56"/>
      <c r="I550" s="56"/>
      <c r="J550" s="56"/>
      <c r="K550" s="56"/>
      <c r="L550" s="56"/>
      <c r="M550" s="56"/>
      <c r="N550" s="56"/>
      <c r="O550" s="56"/>
      <c r="P550" s="56"/>
      <c r="Q550" s="56"/>
      <c r="R550" s="2206"/>
      <c r="S550" s="234"/>
    </row>
    <row r="551" spans="1:19">
      <c r="A551" s="234"/>
      <c r="B551" s="56"/>
      <c r="C551" s="56"/>
      <c r="D551" s="56"/>
      <c r="E551" s="56"/>
      <c r="F551" s="56"/>
      <c r="G551" s="56"/>
      <c r="H551" s="56"/>
      <c r="I551" s="56"/>
      <c r="J551" s="56"/>
      <c r="K551" s="56"/>
      <c r="L551" s="56"/>
      <c r="M551" s="56"/>
      <c r="N551" s="56"/>
      <c r="O551" s="56"/>
      <c r="P551" s="56"/>
      <c r="Q551" s="56"/>
      <c r="R551" s="2206"/>
      <c r="S551" s="234"/>
    </row>
    <row r="552" spans="1:19">
      <c r="A552" s="234"/>
      <c r="B552" s="56"/>
      <c r="C552" s="56"/>
      <c r="D552" s="56"/>
      <c r="E552" s="56"/>
      <c r="F552" s="56"/>
      <c r="G552" s="56"/>
      <c r="H552" s="56"/>
      <c r="I552" s="56"/>
      <c r="J552" s="56"/>
      <c r="K552" s="56"/>
      <c r="L552" s="56"/>
      <c r="M552" s="56"/>
      <c r="N552" s="56"/>
      <c r="O552" s="56"/>
      <c r="P552" s="56"/>
      <c r="Q552" s="56"/>
      <c r="R552" s="2206"/>
      <c r="S552" s="234"/>
    </row>
    <row r="553" spans="1:19">
      <c r="A553" s="234"/>
      <c r="B553" s="56"/>
      <c r="C553" s="56"/>
      <c r="D553" s="56"/>
      <c r="E553" s="56"/>
      <c r="F553" s="56"/>
      <c r="G553" s="56"/>
      <c r="H553" s="56"/>
      <c r="I553" s="56"/>
      <c r="J553" s="56"/>
      <c r="K553" s="56"/>
      <c r="L553" s="56"/>
      <c r="M553" s="56"/>
      <c r="N553" s="56"/>
      <c r="O553" s="56"/>
      <c r="P553" s="56"/>
      <c r="Q553" s="56"/>
      <c r="R553" s="2206"/>
      <c r="S553" s="234"/>
    </row>
    <row r="554" spans="1:19">
      <c r="A554" s="234"/>
      <c r="B554" s="56"/>
      <c r="C554" s="56"/>
      <c r="D554" s="56"/>
      <c r="E554" s="56"/>
      <c r="F554" s="56"/>
      <c r="G554" s="56"/>
      <c r="H554" s="56"/>
      <c r="I554" s="56"/>
      <c r="J554" s="56"/>
      <c r="K554" s="56"/>
      <c r="L554" s="56"/>
      <c r="M554" s="56"/>
      <c r="N554" s="56"/>
      <c r="O554" s="56"/>
      <c r="P554" s="56"/>
      <c r="Q554" s="56"/>
      <c r="R554" s="2206"/>
      <c r="S554" s="234"/>
    </row>
    <row r="555" spans="1:19">
      <c r="A555" s="234"/>
      <c r="B555" s="56"/>
      <c r="C555" s="56"/>
      <c r="D555" s="56"/>
      <c r="E555" s="56"/>
      <c r="F555" s="56"/>
      <c r="G555" s="56"/>
      <c r="H555" s="56"/>
      <c r="I555" s="56"/>
      <c r="J555" s="56"/>
      <c r="K555" s="56"/>
      <c r="L555" s="56"/>
      <c r="M555" s="56"/>
      <c r="N555" s="56"/>
      <c r="O555" s="56"/>
      <c r="P555" s="56"/>
      <c r="Q555" s="56"/>
      <c r="R555" s="2206"/>
      <c r="S555" s="234"/>
    </row>
    <row r="556" spans="1:19">
      <c r="A556" s="234"/>
      <c r="B556" s="56"/>
      <c r="C556" s="56"/>
      <c r="D556" s="56"/>
      <c r="E556" s="56"/>
      <c r="F556" s="56"/>
      <c r="G556" s="56"/>
      <c r="H556" s="56"/>
      <c r="I556" s="56"/>
      <c r="J556" s="56"/>
      <c r="K556" s="56"/>
      <c r="L556" s="56"/>
      <c r="M556" s="56"/>
      <c r="N556" s="56"/>
      <c r="O556" s="56"/>
      <c r="P556" s="56"/>
      <c r="Q556" s="56"/>
      <c r="R556" s="2206"/>
      <c r="S556" s="234"/>
    </row>
    <row r="557" spans="1:19">
      <c r="A557" s="234"/>
      <c r="B557" s="56"/>
      <c r="C557" s="56"/>
      <c r="D557" s="56"/>
      <c r="E557" s="56"/>
      <c r="F557" s="56"/>
      <c r="G557" s="56"/>
      <c r="H557" s="56"/>
      <c r="I557" s="56"/>
      <c r="J557" s="56"/>
      <c r="K557" s="56"/>
      <c r="L557" s="56"/>
      <c r="M557" s="56"/>
      <c r="N557" s="56"/>
      <c r="O557" s="56"/>
      <c r="P557" s="56"/>
      <c r="Q557" s="56"/>
      <c r="R557" s="2206"/>
      <c r="S557" s="234"/>
    </row>
    <row r="558" spans="1:19">
      <c r="A558" s="234"/>
      <c r="B558" s="56"/>
      <c r="C558" s="56"/>
      <c r="D558" s="56"/>
      <c r="E558" s="56"/>
      <c r="F558" s="56"/>
      <c r="G558" s="56"/>
      <c r="H558" s="56"/>
      <c r="I558" s="56"/>
      <c r="J558" s="56"/>
      <c r="K558" s="56"/>
      <c r="L558" s="56"/>
      <c r="M558" s="56"/>
      <c r="N558" s="56"/>
      <c r="O558" s="56"/>
      <c r="P558" s="56"/>
      <c r="Q558" s="56"/>
      <c r="R558" s="2206"/>
      <c r="S558" s="234"/>
    </row>
    <row r="559" spans="1:19">
      <c r="A559" s="234"/>
      <c r="B559" s="56"/>
      <c r="C559" s="56"/>
      <c r="D559" s="56"/>
      <c r="E559" s="56"/>
      <c r="F559" s="56"/>
      <c r="G559" s="56"/>
      <c r="H559" s="56"/>
      <c r="I559" s="56"/>
      <c r="J559" s="56"/>
      <c r="K559" s="56"/>
      <c r="L559" s="56"/>
      <c r="M559" s="56"/>
      <c r="N559" s="56"/>
      <c r="O559" s="56"/>
      <c r="P559" s="56"/>
      <c r="Q559" s="56"/>
      <c r="R559" s="2206"/>
      <c r="S559" s="234"/>
    </row>
    <row r="560" spans="1:19">
      <c r="A560" s="234"/>
      <c r="B560" s="56"/>
      <c r="C560" s="56"/>
      <c r="D560" s="56"/>
      <c r="E560" s="56"/>
      <c r="F560" s="56"/>
      <c r="G560" s="56"/>
      <c r="H560" s="56"/>
      <c r="I560" s="56"/>
      <c r="J560" s="56"/>
      <c r="K560" s="56"/>
      <c r="L560" s="56"/>
      <c r="M560" s="56"/>
      <c r="N560" s="56"/>
      <c r="O560" s="56"/>
      <c r="P560" s="56"/>
      <c r="Q560" s="56"/>
      <c r="R560" s="2206"/>
      <c r="S560" s="234"/>
    </row>
    <row r="561" spans="1:19">
      <c r="A561" s="234"/>
      <c r="B561" s="56"/>
      <c r="C561" s="56"/>
      <c r="D561" s="56"/>
      <c r="E561" s="56"/>
      <c r="F561" s="56"/>
      <c r="G561" s="56"/>
      <c r="H561" s="56"/>
      <c r="I561" s="56"/>
      <c r="J561" s="56"/>
      <c r="K561" s="56"/>
      <c r="L561" s="56"/>
      <c r="M561" s="56"/>
      <c r="N561" s="56"/>
      <c r="O561" s="56"/>
      <c r="P561" s="56"/>
      <c r="Q561" s="56"/>
      <c r="R561" s="2206"/>
      <c r="S561" s="234"/>
    </row>
    <row r="562" spans="1:19">
      <c r="A562" s="234"/>
      <c r="B562" s="56"/>
      <c r="C562" s="56"/>
      <c r="D562" s="56"/>
      <c r="E562" s="56"/>
      <c r="F562" s="56"/>
      <c r="G562" s="56"/>
      <c r="H562" s="56"/>
      <c r="I562" s="56"/>
      <c r="J562" s="56"/>
      <c r="K562" s="56"/>
      <c r="L562" s="56"/>
      <c r="M562" s="56"/>
      <c r="N562" s="56"/>
      <c r="O562" s="56"/>
      <c r="P562" s="56"/>
      <c r="Q562" s="56"/>
      <c r="R562" s="2206"/>
      <c r="S562" s="234"/>
    </row>
    <row r="563" spans="1:19">
      <c r="A563" s="234"/>
      <c r="B563" s="56"/>
      <c r="C563" s="56"/>
      <c r="D563" s="56"/>
      <c r="E563" s="56"/>
      <c r="F563" s="56"/>
      <c r="G563" s="56"/>
      <c r="H563" s="56"/>
      <c r="I563" s="56"/>
      <c r="J563" s="56"/>
      <c r="K563" s="56"/>
      <c r="L563" s="56"/>
      <c r="M563" s="56"/>
      <c r="N563" s="56"/>
      <c r="O563" s="56"/>
      <c r="P563" s="56"/>
      <c r="Q563" s="56"/>
      <c r="R563" s="2206"/>
      <c r="S563" s="234"/>
    </row>
    <row r="564" spans="1:19">
      <c r="A564" s="234"/>
      <c r="B564" s="56"/>
      <c r="C564" s="56"/>
      <c r="D564" s="56"/>
      <c r="E564" s="56"/>
      <c r="F564" s="56"/>
      <c r="G564" s="56"/>
      <c r="H564" s="56"/>
      <c r="I564" s="56"/>
      <c r="J564" s="56"/>
      <c r="K564" s="56"/>
      <c r="L564" s="56"/>
      <c r="M564" s="56"/>
      <c r="N564" s="56"/>
      <c r="O564" s="56"/>
      <c r="P564" s="56"/>
      <c r="Q564" s="56"/>
      <c r="R564" s="2206"/>
      <c r="S564" s="234"/>
    </row>
    <row r="565" spans="1:19">
      <c r="A565" s="234"/>
      <c r="B565" s="56"/>
      <c r="C565" s="56"/>
      <c r="D565" s="56"/>
      <c r="E565" s="56"/>
      <c r="F565" s="56"/>
      <c r="G565" s="56"/>
      <c r="H565" s="56"/>
      <c r="I565" s="56"/>
      <c r="J565" s="56"/>
      <c r="K565" s="56"/>
      <c r="L565" s="56"/>
      <c r="M565" s="56"/>
      <c r="N565" s="56"/>
      <c r="O565" s="56"/>
      <c r="P565" s="56"/>
      <c r="Q565" s="56"/>
      <c r="R565" s="2206"/>
      <c r="S565" s="234"/>
    </row>
    <row r="566" spans="1:19">
      <c r="A566" s="234"/>
      <c r="B566" s="56"/>
      <c r="C566" s="56"/>
      <c r="D566" s="56"/>
      <c r="E566" s="56"/>
      <c r="F566" s="56"/>
      <c r="G566" s="56"/>
      <c r="H566" s="56"/>
      <c r="I566" s="56"/>
      <c r="J566" s="56"/>
      <c r="K566" s="56"/>
      <c r="L566" s="56"/>
      <c r="M566" s="56"/>
      <c r="N566" s="56"/>
      <c r="O566" s="56"/>
      <c r="P566" s="56"/>
      <c r="Q566" s="56"/>
      <c r="R566" s="2206"/>
      <c r="S566" s="234"/>
    </row>
    <row r="567" spans="1:19">
      <c r="A567" s="234"/>
      <c r="B567" s="56"/>
      <c r="C567" s="56"/>
      <c r="D567" s="56"/>
      <c r="E567" s="56"/>
      <c r="F567" s="56"/>
      <c r="G567" s="56"/>
      <c r="H567" s="56"/>
      <c r="I567" s="56"/>
      <c r="J567" s="56"/>
      <c r="K567" s="56"/>
      <c r="L567" s="56"/>
      <c r="M567" s="56"/>
      <c r="N567" s="56"/>
      <c r="O567" s="56"/>
      <c r="P567" s="56"/>
      <c r="Q567" s="56"/>
      <c r="R567" s="2206"/>
      <c r="S567" s="234"/>
    </row>
    <row r="568" spans="1:19">
      <c r="A568" s="234"/>
      <c r="B568" s="56"/>
      <c r="C568" s="56"/>
      <c r="D568" s="56"/>
      <c r="E568" s="56"/>
      <c r="F568" s="56"/>
      <c r="G568" s="56"/>
      <c r="H568" s="56"/>
      <c r="I568" s="56"/>
      <c r="J568" s="56"/>
      <c r="K568" s="56"/>
      <c r="L568" s="56"/>
      <c r="M568" s="56"/>
      <c r="N568" s="56"/>
      <c r="O568" s="56"/>
      <c r="P568" s="56"/>
      <c r="Q568" s="56"/>
      <c r="R568" s="2206"/>
      <c r="S568" s="234"/>
    </row>
    <row r="569" spans="1:19">
      <c r="A569" s="234"/>
      <c r="B569" s="56"/>
      <c r="C569" s="56"/>
      <c r="D569" s="56"/>
      <c r="E569" s="56"/>
      <c r="F569" s="56"/>
      <c r="G569" s="56"/>
      <c r="H569" s="56"/>
      <c r="I569" s="56"/>
      <c r="J569" s="56"/>
      <c r="K569" s="56"/>
      <c r="L569" s="56"/>
      <c r="M569" s="56"/>
      <c r="N569" s="56"/>
      <c r="O569" s="56"/>
      <c r="P569" s="56"/>
      <c r="Q569" s="56"/>
      <c r="R569" s="2206"/>
      <c r="S569" s="234"/>
    </row>
    <row r="570" spans="1:19">
      <c r="A570" s="234"/>
      <c r="B570" s="56"/>
      <c r="C570" s="56"/>
      <c r="D570" s="56"/>
      <c r="E570" s="56"/>
      <c r="F570" s="56"/>
      <c r="G570" s="56"/>
      <c r="H570" s="56"/>
      <c r="I570" s="56"/>
      <c r="J570" s="56"/>
      <c r="K570" s="56"/>
      <c r="L570" s="56"/>
      <c r="M570" s="56"/>
      <c r="N570" s="56"/>
      <c r="O570" s="56"/>
      <c r="P570" s="56"/>
      <c r="Q570" s="56"/>
      <c r="R570" s="2206"/>
      <c r="S570" s="234"/>
    </row>
    <row r="571" spans="1:19">
      <c r="A571" s="234"/>
      <c r="B571" s="56"/>
      <c r="C571" s="56"/>
      <c r="D571" s="56"/>
      <c r="E571" s="56"/>
      <c r="F571" s="56"/>
      <c r="G571" s="56"/>
      <c r="H571" s="56"/>
      <c r="I571" s="56"/>
      <c r="J571" s="56"/>
      <c r="K571" s="56"/>
      <c r="L571" s="56"/>
      <c r="M571" s="56"/>
      <c r="N571" s="56"/>
      <c r="O571" s="56"/>
      <c r="P571" s="56"/>
      <c r="Q571" s="56"/>
      <c r="R571" s="2206"/>
      <c r="S571" s="234"/>
    </row>
    <row r="572" spans="1:19">
      <c r="A572" s="234"/>
      <c r="B572" s="56"/>
      <c r="C572" s="56"/>
      <c r="D572" s="56"/>
      <c r="E572" s="56"/>
      <c r="F572" s="56"/>
      <c r="G572" s="56"/>
      <c r="H572" s="56"/>
      <c r="I572" s="56"/>
      <c r="J572" s="56"/>
      <c r="K572" s="56"/>
      <c r="L572" s="56"/>
      <c r="M572" s="56"/>
      <c r="N572" s="56"/>
      <c r="O572" s="56"/>
      <c r="P572" s="56"/>
      <c r="Q572" s="56"/>
      <c r="R572" s="2206"/>
      <c r="S572" s="234"/>
    </row>
    <row r="573" spans="1:19">
      <c r="A573" s="234"/>
      <c r="B573" s="56"/>
      <c r="C573" s="56"/>
      <c r="D573" s="56"/>
      <c r="E573" s="56"/>
      <c r="F573" s="56"/>
      <c r="G573" s="56"/>
      <c r="H573" s="56"/>
      <c r="I573" s="56"/>
      <c r="J573" s="56"/>
      <c r="K573" s="56"/>
      <c r="L573" s="56"/>
      <c r="M573" s="56"/>
      <c r="N573" s="56"/>
      <c r="O573" s="56"/>
      <c r="P573" s="56"/>
      <c r="Q573" s="56"/>
      <c r="R573" s="2206"/>
      <c r="S573" s="234"/>
    </row>
    <row r="574" spans="1:19">
      <c r="A574" s="234"/>
      <c r="B574" s="56"/>
      <c r="C574" s="56"/>
      <c r="D574" s="56"/>
      <c r="E574" s="56"/>
      <c r="F574" s="56"/>
      <c r="G574" s="56"/>
      <c r="H574" s="56"/>
      <c r="I574" s="56"/>
      <c r="J574" s="56"/>
      <c r="K574" s="56"/>
      <c r="L574" s="56"/>
      <c r="M574" s="56"/>
      <c r="N574" s="56"/>
      <c r="O574" s="56"/>
      <c r="P574" s="56"/>
      <c r="Q574" s="56"/>
      <c r="R574" s="2206"/>
      <c r="S574" s="234"/>
    </row>
    <row r="575" spans="1:19">
      <c r="A575" s="234"/>
      <c r="B575" s="56"/>
      <c r="C575" s="56"/>
      <c r="D575" s="56"/>
      <c r="E575" s="56"/>
      <c r="F575" s="56"/>
      <c r="G575" s="56"/>
      <c r="H575" s="56"/>
      <c r="I575" s="56"/>
      <c r="J575" s="56"/>
      <c r="K575" s="56"/>
      <c r="L575" s="56"/>
      <c r="M575" s="56"/>
      <c r="N575" s="56"/>
      <c r="O575" s="56"/>
      <c r="P575" s="56"/>
      <c r="Q575" s="56"/>
      <c r="R575" s="2206"/>
      <c r="S575" s="234"/>
    </row>
    <row r="576" spans="1:19">
      <c r="A576" s="234"/>
      <c r="B576" s="56"/>
      <c r="C576" s="56"/>
      <c r="D576" s="56"/>
      <c r="E576" s="56"/>
      <c r="F576" s="56"/>
      <c r="G576" s="56"/>
      <c r="H576" s="56"/>
      <c r="I576" s="56"/>
      <c r="J576" s="56"/>
      <c r="K576" s="56"/>
      <c r="L576" s="56"/>
      <c r="M576" s="56"/>
      <c r="N576" s="56"/>
      <c r="O576" s="56"/>
      <c r="P576" s="56"/>
      <c r="Q576" s="56"/>
      <c r="R576" s="2206"/>
      <c r="S576" s="234"/>
    </row>
    <row r="577" spans="1:19">
      <c r="A577" s="234"/>
      <c r="B577" s="56"/>
      <c r="C577" s="56"/>
      <c r="D577" s="56"/>
      <c r="E577" s="56"/>
      <c r="F577" s="56"/>
      <c r="G577" s="56"/>
      <c r="H577" s="56"/>
      <c r="I577" s="56"/>
      <c r="J577" s="56"/>
      <c r="K577" s="56"/>
      <c r="L577" s="56"/>
      <c r="M577" s="56"/>
      <c r="N577" s="56"/>
      <c r="O577" s="56"/>
      <c r="P577" s="56"/>
      <c r="Q577" s="56"/>
      <c r="R577" s="2206"/>
      <c r="S577" s="234"/>
    </row>
    <row r="578" spans="1:19">
      <c r="A578" s="234"/>
      <c r="B578" s="56"/>
      <c r="C578" s="56"/>
      <c r="D578" s="56"/>
      <c r="E578" s="56"/>
      <c r="F578" s="56"/>
      <c r="G578" s="56"/>
      <c r="H578" s="56"/>
      <c r="I578" s="56"/>
      <c r="J578" s="56"/>
      <c r="K578" s="56"/>
      <c r="L578" s="56"/>
      <c r="M578" s="56"/>
      <c r="N578" s="56"/>
      <c r="O578" s="56"/>
      <c r="P578" s="56"/>
      <c r="Q578" s="56"/>
      <c r="R578" s="2206"/>
      <c r="S578" s="234"/>
    </row>
    <row r="579" spans="1:19">
      <c r="A579" s="234"/>
      <c r="B579" s="56"/>
      <c r="C579" s="56"/>
      <c r="D579" s="56"/>
      <c r="E579" s="56"/>
      <c r="F579" s="56"/>
      <c r="G579" s="56"/>
      <c r="H579" s="56"/>
      <c r="I579" s="56"/>
      <c r="J579" s="56"/>
      <c r="K579" s="56"/>
      <c r="L579" s="56"/>
      <c r="M579" s="56"/>
      <c r="N579" s="56"/>
      <c r="O579" s="56"/>
      <c r="P579" s="56"/>
      <c r="Q579" s="56"/>
      <c r="R579" s="2206"/>
      <c r="S579" s="234"/>
    </row>
    <row r="580" spans="1:19">
      <c r="A580" s="234"/>
      <c r="B580" s="56"/>
      <c r="C580" s="56"/>
      <c r="D580" s="56"/>
      <c r="E580" s="56"/>
      <c r="F580" s="56"/>
      <c r="G580" s="56"/>
      <c r="H580" s="56"/>
      <c r="I580" s="56"/>
      <c r="J580" s="56"/>
      <c r="K580" s="56"/>
      <c r="L580" s="56"/>
      <c r="M580" s="56"/>
      <c r="N580" s="56"/>
      <c r="O580" s="56"/>
      <c r="P580" s="56"/>
      <c r="Q580" s="56"/>
      <c r="R580" s="2206"/>
      <c r="S580" s="234"/>
    </row>
    <row r="581" spans="1:19">
      <c r="A581" s="234"/>
      <c r="B581" s="56"/>
      <c r="C581" s="56"/>
      <c r="D581" s="56"/>
      <c r="E581" s="56"/>
      <c r="F581" s="56"/>
      <c r="G581" s="56"/>
      <c r="H581" s="56"/>
      <c r="I581" s="56"/>
      <c r="J581" s="56"/>
      <c r="K581" s="56"/>
      <c r="L581" s="56"/>
      <c r="M581" s="56"/>
      <c r="N581" s="56"/>
      <c r="O581" s="56"/>
      <c r="P581" s="56"/>
      <c r="Q581" s="56"/>
      <c r="R581" s="2206"/>
      <c r="S581" s="234"/>
    </row>
    <row r="582" spans="1:19">
      <c r="A582" s="234"/>
      <c r="B582" s="56"/>
      <c r="C582" s="56"/>
      <c r="D582" s="56"/>
      <c r="E582" s="56"/>
      <c r="F582" s="56"/>
      <c r="G582" s="56"/>
      <c r="H582" s="56"/>
      <c r="I582" s="56"/>
      <c r="J582" s="56"/>
      <c r="K582" s="56"/>
      <c r="L582" s="56"/>
      <c r="M582" s="56"/>
      <c r="N582" s="56"/>
      <c r="O582" s="56"/>
      <c r="P582" s="56"/>
      <c r="Q582" s="56"/>
      <c r="R582" s="2206"/>
      <c r="S582" s="234"/>
    </row>
    <row r="583" spans="1:19">
      <c r="A583" s="234"/>
      <c r="B583" s="56"/>
      <c r="C583" s="56"/>
      <c r="D583" s="56"/>
      <c r="E583" s="56"/>
      <c r="F583" s="56"/>
      <c r="G583" s="56"/>
      <c r="H583" s="56"/>
      <c r="I583" s="56"/>
      <c r="J583" s="56"/>
      <c r="K583" s="56"/>
      <c r="L583" s="56"/>
      <c r="M583" s="56"/>
      <c r="N583" s="56"/>
      <c r="O583" s="56"/>
      <c r="P583" s="56"/>
      <c r="Q583" s="56"/>
      <c r="R583" s="2206"/>
      <c r="S583" s="234"/>
    </row>
    <row r="584" spans="1:19">
      <c r="A584" s="234"/>
      <c r="B584" s="56"/>
      <c r="C584" s="56"/>
      <c r="D584" s="56"/>
      <c r="E584" s="56"/>
      <c r="F584" s="56"/>
      <c r="G584" s="56"/>
      <c r="H584" s="56"/>
      <c r="I584" s="56"/>
      <c r="J584" s="56"/>
      <c r="K584" s="56"/>
      <c r="L584" s="56"/>
      <c r="M584" s="56"/>
      <c r="N584" s="56"/>
      <c r="O584" s="56"/>
      <c r="P584" s="56"/>
      <c r="Q584" s="56"/>
      <c r="R584" s="2206"/>
      <c r="S584" s="234"/>
    </row>
    <row r="585" spans="1:19">
      <c r="A585" s="234"/>
      <c r="B585" s="56"/>
      <c r="C585" s="56"/>
      <c r="D585" s="56"/>
      <c r="E585" s="56"/>
      <c r="F585" s="56"/>
      <c r="G585" s="56"/>
      <c r="H585" s="56"/>
      <c r="I585" s="56"/>
      <c r="J585" s="56"/>
      <c r="K585" s="56"/>
      <c r="L585" s="56"/>
      <c r="M585" s="56"/>
      <c r="N585" s="56"/>
      <c r="O585" s="56"/>
      <c r="P585" s="56"/>
      <c r="Q585" s="56"/>
      <c r="R585" s="2206"/>
      <c r="S585" s="234"/>
    </row>
    <row r="586" spans="1:19">
      <c r="A586" s="234"/>
      <c r="B586" s="56"/>
      <c r="C586" s="56"/>
      <c r="D586" s="56"/>
      <c r="E586" s="56"/>
      <c r="F586" s="56"/>
      <c r="G586" s="56"/>
      <c r="H586" s="56"/>
      <c r="I586" s="56"/>
      <c r="J586" s="56"/>
      <c r="K586" s="56"/>
      <c r="L586" s="56"/>
      <c r="M586" s="56"/>
      <c r="N586" s="56"/>
      <c r="O586" s="56"/>
      <c r="P586" s="56"/>
      <c r="Q586" s="56"/>
      <c r="R586" s="2206"/>
      <c r="S586" s="234"/>
    </row>
    <row r="587" spans="1:19">
      <c r="A587" s="234"/>
      <c r="B587" s="56"/>
      <c r="C587" s="56"/>
      <c r="D587" s="56"/>
      <c r="E587" s="56"/>
      <c r="F587" s="56"/>
      <c r="G587" s="56"/>
      <c r="H587" s="56"/>
      <c r="I587" s="56"/>
      <c r="J587" s="56"/>
      <c r="K587" s="56"/>
      <c r="L587" s="56"/>
      <c r="M587" s="56"/>
      <c r="N587" s="56"/>
      <c r="O587" s="56"/>
      <c r="P587" s="56"/>
      <c r="Q587" s="56"/>
      <c r="R587" s="2206"/>
      <c r="S587" s="234"/>
    </row>
    <row r="588" spans="1:19">
      <c r="A588" s="234"/>
      <c r="B588" s="56"/>
      <c r="C588" s="56"/>
      <c r="D588" s="56"/>
      <c r="E588" s="56"/>
      <c r="F588" s="56"/>
      <c r="G588" s="56"/>
      <c r="H588" s="56"/>
      <c r="I588" s="56"/>
      <c r="J588" s="56"/>
      <c r="K588" s="56"/>
      <c r="L588" s="56"/>
      <c r="M588" s="56"/>
      <c r="N588" s="56"/>
      <c r="O588" s="56"/>
      <c r="P588" s="56"/>
      <c r="Q588" s="56"/>
      <c r="R588" s="2206"/>
      <c r="S588" s="234"/>
    </row>
    <row r="589" spans="1:19">
      <c r="A589" s="234"/>
      <c r="B589" s="56"/>
      <c r="C589" s="56"/>
      <c r="D589" s="56"/>
      <c r="E589" s="56"/>
      <c r="F589" s="56"/>
      <c r="G589" s="56"/>
      <c r="H589" s="56"/>
      <c r="I589" s="56"/>
      <c r="J589" s="56"/>
      <c r="K589" s="56"/>
      <c r="L589" s="56"/>
      <c r="M589" s="56"/>
      <c r="N589" s="56"/>
      <c r="O589" s="56"/>
      <c r="P589" s="56"/>
      <c r="Q589" s="56"/>
      <c r="R589" s="2206"/>
      <c r="S589" s="234"/>
    </row>
    <row r="590" spans="1:19">
      <c r="A590" s="234"/>
      <c r="B590" s="56"/>
      <c r="C590" s="56"/>
      <c r="D590" s="56"/>
      <c r="E590" s="56"/>
      <c r="F590" s="56"/>
      <c r="G590" s="56"/>
      <c r="H590" s="56"/>
      <c r="I590" s="56"/>
      <c r="J590" s="56"/>
      <c r="K590" s="56"/>
      <c r="L590" s="56"/>
      <c r="M590" s="56"/>
      <c r="N590" s="56"/>
      <c r="O590" s="56"/>
      <c r="P590" s="56"/>
      <c r="Q590" s="56"/>
      <c r="R590" s="2206"/>
      <c r="S590" s="234"/>
    </row>
    <row r="591" spans="1:19">
      <c r="A591" s="234"/>
      <c r="B591" s="56"/>
      <c r="C591" s="56"/>
      <c r="D591" s="56"/>
      <c r="E591" s="56"/>
      <c r="F591" s="56"/>
      <c r="G591" s="56"/>
      <c r="H591" s="56"/>
      <c r="I591" s="56"/>
      <c r="J591" s="56"/>
      <c r="K591" s="56"/>
      <c r="L591" s="56"/>
      <c r="M591" s="56"/>
      <c r="N591" s="56"/>
      <c r="O591" s="56"/>
      <c r="P591" s="56"/>
      <c r="Q591" s="56"/>
      <c r="R591" s="2206"/>
      <c r="S591" s="234"/>
    </row>
    <row r="592" spans="1:19">
      <c r="A592" s="234"/>
      <c r="B592" s="56"/>
      <c r="C592" s="56"/>
      <c r="D592" s="56"/>
      <c r="E592" s="56"/>
      <c r="F592" s="56"/>
      <c r="G592" s="56"/>
      <c r="H592" s="56"/>
      <c r="I592" s="56"/>
      <c r="J592" s="56"/>
      <c r="K592" s="56"/>
      <c r="L592" s="56"/>
      <c r="M592" s="56"/>
      <c r="N592" s="56"/>
      <c r="O592" s="56"/>
      <c r="P592" s="56"/>
      <c r="Q592" s="56"/>
      <c r="R592" s="2206"/>
      <c r="S592" s="234"/>
    </row>
    <row r="593" spans="1:19">
      <c r="A593" s="234"/>
      <c r="B593" s="56"/>
      <c r="C593" s="56"/>
      <c r="D593" s="56"/>
      <c r="E593" s="56"/>
      <c r="F593" s="56"/>
      <c r="G593" s="56"/>
      <c r="H593" s="56"/>
      <c r="I593" s="56"/>
      <c r="J593" s="56"/>
      <c r="K593" s="56"/>
      <c r="L593" s="56"/>
      <c r="M593" s="56"/>
      <c r="N593" s="56"/>
      <c r="O593" s="56"/>
      <c r="P593" s="56"/>
      <c r="Q593" s="56"/>
      <c r="R593" s="2206"/>
      <c r="S593" s="234"/>
    </row>
    <row r="594" spans="1:19">
      <c r="A594" s="234"/>
      <c r="B594" s="56"/>
      <c r="C594" s="56"/>
      <c r="D594" s="56"/>
      <c r="E594" s="56"/>
      <c r="F594" s="56"/>
      <c r="G594" s="56"/>
      <c r="H594" s="56"/>
      <c r="I594" s="56"/>
      <c r="J594" s="56"/>
      <c r="K594" s="56"/>
      <c r="L594" s="56"/>
      <c r="M594" s="56"/>
      <c r="N594" s="56"/>
      <c r="O594" s="56"/>
      <c r="P594" s="56"/>
      <c r="Q594" s="56"/>
      <c r="R594" s="2206"/>
      <c r="S594" s="234"/>
    </row>
    <row r="595" spans="1:19">
      <c r="A595" s="234"/>
      <c r="B595" s="56"/>
      <c r="C595" s="56"/>
      <c r="D595" s="56"/>
      <c r="E595" s="56"/>
      <c r="F595" s="56"/>
      <c r="G595" s="56"/>
      <c r="H595" s="56"/>
      <c r="I595" s="56"/>
      <c r="J595" s="56"/>
      <c r="K595" s="56"/>
      <c r="L595" s="56"/>
      <c r="M595" s="56"/>
      <c r="N595" s="56"/>
      <c r="O595" s="56"/>
      <c r="P595" s="56"/>
      <c r="Q595" s="56"/>
      <c r="R595" s="2206"/>
      <c r="S595" s="234"/>
    </row>
    <row r="596" spans="1:19">
      <c r="A596" s="234"/>
      <c r="B596" s="56"/>
      <c r="C596" s="56"/>
      <c r="D596" s="56"/>
      <c r="E596" s="56"/>
      <c r="F596" s="56"/>
      <c r="G596" s="56"/>
      <c r="H596" s="56"/>
      <c r="I596" s="56"/>
      <c r="J596" s="56"/>
      <c r="K596" s="56"/>
      <c r="L596" s="56"/>
      <c r="M596" s="56"/>
      <c r="N596" s="56"/>
      <c r="O596" s="56"/>
      <c r="P596" s="56"/>
      <c r="Q596" s="56"/>
      <c r="R596" s="2206"/>
      <c r="S596" s="234"/>
    </row>
    <row r="597" spans="1:19">
      <c r="A597" s="234"/>
      <c r="B597" s="56"/>
      <c r="C597" s="56"/>
      <c r="D597" s="56"/>
      <c r="E597" s="56"/>
      <c r="F597" s="56"/>
      <c r="G597" s="56"/>
      <c r="H597" s="56"/>
      <c r="I597" s="56"/>
      <c r="J597" s="56"/>
      <c r="K597" s="56"/>
      <c r="L597" s="56"/>
      <c r="M597" s="56"/>
      <c r="N597" s="56"/>
      <c r="O597" s="56"/>
      <c r="P597" s="56"/>
      <c r="Q597" s="56"/>
      <c r="R597" s="2206"/>
      <c r="S597" s="234"/>
    </row>
    <row r="598" spans="1:19">
      <c r="A598" s="234"/>
      <c r="B598" s="56"/>
      <c r="C598" s="56"/>
      <c r="D598" s="56"/>
      <c r="E598" s="56"/>
      <c r="F598" s="56"/>
      <c r="G598" s="56"/>
      <c r="H598" s="56"/>
      <c r="I598" s="56"/>
      <c r="J598" s="56"/>
      <c r="K598" s="56"/>
      <c r="L598" s="56"/>
      <c r="M598" s="56"/>
      <c r="N598" s="56"/>
      <c r="O598" s="56"/>
      <c r="P598" s="56"/>
      <c r="Q598" s="56"/>
      <c r="R598" s="2206"/>
      <c r="S598" s="234"/>
    </row>
    <row r="599" spans="1:19">
      <c r="A599" s="234"/>
      <c r="B599" s="56"/>
      <c r="C599" s="56"/>
      <c r="D599" s="56"/>
      <c r="E599" s="56"/>
      <c r="F599" s="56"/>
      <c r="G599" s="56"/>
      <c r="H599" s="56"/>
      <c r="I599" s="56"/>
      <c r="J599" s="56"/>
      <c r="K599" s="56"/>
      <c r="L599" s="56"/>
      <c r="M599" s="56"/>
      <c r="N599" s="56"/>
      <c r="O599" s="56"/>
      <c r="P599" s="56"/>
      <c r="Q599" s="56"/>
      <c r="R599" s="2206"/>
      <c r="S599" s="234"/>
    </row>
    <row r="600" spans="1:19">
      <c r="A600" s="234"/>
      <c r="B600" s="56"/>
      <c r="C600" s="56"/>
      <c r="D600" s="56"/>
      <c r="E600" s="56"/>
      <c r="F600" s="56"/>
      <c r="G600" s="56"/>
      <c r="H600" s="56"/>
      <c r="I600" s="56"/>
      <c r="J600" s="56"/>
      <c r="K600" s="56"/>
      <c r="L600" s="56"/>
      <c r="M600" s="56"/>
      <c r="N600" s="56"/>
      <c r="O600" s="56"/>
      <c r="P600" s="56"/>
      <c r="Q600" s="56"/>
      <c r="R600" s="2206"/>
      <c r="S600" s="234"/>
    </row>
    <row r="601" spans="1:19">
      <c r="A601" s="234"/>
      <c r="B601" s="56"/>
      <c r="C601" s="56"/>
      <c r="D601" s="56"/>
      <c r="E601" s="56"/>
      <c r="F601" s="56"/>
      <c r="G601" s="56"/>
      <c r="H601" s="56"/>
      <c r="I601" s="56"/>
      <c r="J601" s="56"/>
      <c r="K601" s="56"/>
      <c r="L601" s="56"/>
      <c r="M601" s="56"/>
      <c r="N601" s="56"/>
      <c r="O601" s="56"/>
      <c r="P601" s="56"/>
      <c r="Q601" s="56"/>
      <c r="R601" s="2206"/>
      <c r="S601" s="234"/>
    </row>
    <row r="602" spans="1:19">
      <c r="A602" s="234"/>
      <c r="B602" s="56"/>
      <c r="C602" s="56"/>
      <c r="D602" s="56"/>
      <c r="E602" s="56"/>
      <c r="F602" s="56"/>
      <c r="G602" s="56"/>
      <c r="H602" s="56"/>
      <c r="I602" s="56"/>
      <c r="J602" s="56"/>
      <c r="K602" s="56"/>
      <c r="L602" s="56"/>
      <c r="M602" s="56"/>
      <c r="N602" s="56"/>
      <c r="O602" s="56"/>
      <c r="P602" s="56"/>
      <c r="Q602" s="56"/>
      <c r="R602" s="2206"/>
      <c r="S602" s="234"/>
    </row>
    <row r="603" spans="1:19">
      <c r="A603" s="234"/>
      <c r="B603" s="56"/>
      <c r="C603" s="56"/>
      <c r="D603" s="56"/>
      <c r="E603" s="56"/>
      <c r="F603" s="56"/>
      <c r="G603" s="56"/>
      <c r="H603" s="56"/>
      <c r="I603" s="56"/>
      <c r="J603" s="56"/>
      <c r="K603" s="56"/>
      <c r="L603" s="56"/>
      <c r="M603" s="56"/>
      <c r="N603" s="56"/>
      <c r="O603" s="56"/>
      <c r="P603" s="56"/>
      <c r="Q603" s="56"/>
      <c r="R603" s="2206"/>
      <c r="S603" s="234"/>
    </row>
    <row r="604" spans="1:19">
      <c r="A604" s="234"/>
      <c r="B604" s="56"/>
      <c r="C604" s="56"/>
      <c r="D604" s="56"/>
      <c r="E604" s="56"/>
      <c r="F604" s="56"/>
      <c r="G604" s="56"/>
      <c r="H604" s="56"/>
      <c r="I604" s="56"/>
      <c r="J604" s="56"/>
      <c r="K604" s="56"/>
      <c r="L604" s="56"/>
      <c r="M604" s="56"/>
      <c r="N604" s="56"/>
      <c r="O604" s="56"/>
      <c r="P604" s="56"/>
      <c r="Q604" s="56"/>
      <c r="R604" s="2206"/>
      <c r="S604" s="234"/>
    </row>
    <row r="605" spans="1:19">
      <c r="A605" s="234"/>
      <c r="B605" s="56"/>
      <c r="C605" s="56"/>
      <c r="D605" s="56"/>
      <c r="E605" s="56"/>
      <c r="F605" s="56"/>
      <c r="G605" s="56"/>
      <c r="H605" s="56"/>
      <c r="I605" s="56"/>
      <c r="J605" s="56"/>
      <c r="K605" s="56"/>
      <c r="L605" s="56"/>
      <c r="M605" s="56"/>
      <c r="N605" s="56"/>
      <c r="O605" s="56"/>
      <c r="P605" s="56"/>
      <c r="Q605" s="56"/>
      <c r="R605" s="2206"/>
      <c r="S605" s="234"/>
    </row>
    <row r="606" spans="1:19">
      <c r="A606" s="234"/>
      <c r="B606" s="56"/>
      <c r="C606" s="56"/>
      <c r="D606" s="56"/>
      <c r="E606" s="56"/>
      <c r="F606" s="56"/>
      <c r="G606" s="56"/>
      <c r="H606" s="56"/>
      <c r="I606" s="56"/>
      <c r="J606" s="56"/>
      <c r="K606" s="56"/>
      <c r="L606" s="56"/>
      <c r="M606" s="56"/>
      <c r="N606" s="56"/>
      <c r="O606" s="56"/>
      <c r="P606" s="56"/>
      <c r="Q606" s="56"/>
      <c r="R606" s="2206"/>
      <c r="S606" s="234"/>
    </row>
    <row r="607" spans="1:19">
      <c r="A607" s="234"/>
      <c r="B607" s="56"/>
      <c r="C607" s="56"/>
      <c r="D607" s="56"/>
      <c r="E607" s="56"/>
      <c r="F607" s="56"/>
      <c r="G607" s="56"/>
      <c r="H607" s="56"/>
      <c r="I607" s="56"/>
      <c r="J607" s="56"/>
      <c r="K607" s="56"/>
      <c r="L607" s="56"/>
      <c r="M607" s="56"/>
      <c r="N607" s="56"/>
      <c r="O607" s="56"/>
      <c r="P607" s="56"/>
      <c r="Q607" s="56"/>
      <c r="R607" s="2206"/>
      <c r="S607" s="234"/>
    </row>
    <row r="608" spans="1:19">
      <c r="A608" s="234"/>
      <c r="B608" s="56"/>
      <c r="C608" s="56"/>
      <c r="D608" s="56"/>
      <c r="E608" s="56"/>
      <c r="F608" s="56"/>
      <c r="G608" s="56"/>
      <c r="H608" s="56"/>
      <c r="I608" s="56"/>
      <c r="J608" s="56"/>
      <c r="K608" s="56"/>
      <c r="L608" s="56"/>
      <c r="M608" s="56"/>
      <c r="N608" s="56"/>
      <c r="O608" s="56"/>
      <c r="P608" s="56"/>
      <c r="Q608" s="56"/>
      <c r="R608" s="2206"/>
      <c r="S608" s="234"/>
    </row>
    <row r="609" spans="1:19">
      <c r="A609" s="234"/>
      <c r="B609" s="56"/>
      <c r="C609" s="56"/>
      <c r="D609" s="56"/>
      <c r="E609" s="56"/>
      <c r="F609" s="56"/>
      <c r="G609" s="56"/>
      <c r="H609" s="56"/>
      <c r="I609" s="56"/>
      <c r="J609" s="56"/>
      <c r="K609" s="56"/>
      <c r="L609" s="56"/>
      <c r="M609" s="56"/>
      <c r="N609" s="56"/>
      <c r="O609" s="56"/>
      <c r="P609" s="56"/>
      <c r="Q609" s="56"/>
      <c r="R609" s="2206"/>
      <c r="S609" s="234"/>
    </row>
    <row r="610" spans="1:19">
      <c r="A610" s="234"/>
      <c r="B610" s="56"/>
      <c r="C610" s="56"/>
      <c r="D610" s="56"/>
      <c r="E610" s="56"/>
      <c r="F610" s="56"/>
      <c r="G610" s="56"/>
      <c r="H610" s="56"/>
      <c r="I610" s="56"/>
      <c r="J610" s="56"/>
      <c r="K610" s="56"/>
      <c r="L610" s="56"/>
      <c r="M610" s="56"/>
      <c r="N610" s="56"/>
      <c r="O610" s="56"/>
      <c r="P610" s="56"/>
      <c r="Q610" s="56"/>
      <c r="R610" s="2206"/>
      <c r="S610" s="234"/>
    </row>
    <row r="611" spans="1:19">
      <c r="A611" s="234"/>
      <c r="B611" s="56"/>
      <c r="C611" s="56"/>
      <c r="D611" s="56"/>
      <c r="E611" s="56"/>
      <c r="F611" s="56"/>
      <c r="G611" s="56"/>
      <c r="H611" s="56"/>
      <c r="I611" s="56"/>
      <c r="J611" s="56"/>
      <c r="K611" s="56"/>
      <c r="L611" s="56"/>
      <c r="M611" s="56"/>
      <c r="N611" s="56"/>
      <c r="O611" s="56"/>
      <c r="P611" s="56"/>
      <c r="Q611" s="56"/>
      <c r="R611" s="2206"/>
      <c r="S611" s="234"/>
    </row>
    <row r="612" spans="1:19">
      <c r="A612" s="234"/>
      <c r="B612" s="56"/>
      <c r="C612" s="56"/>
      <c r="D612" s="56"/>
      <c r="E612" s="56"/>
      <c r="F612" s="56"/>
      <c r="G612" s="56"/>
      <c r="H612" s="56"/>
      <c r="I612" s="56"/>
      <c r="J612" s="56"/>
      <c r="K612" s="56"/>
      <c r="L612" s="56"/>
      <c r="M612" s="56"/>
      <c r="N612" s="56"/>
      <c r="O612" s="56"/>
      <c r="P612" s="56"/>
      <c r="Q612" s="56"/>
      <c r="R612" s="2206"/>
      <c r="S612" s="234"/>
    </row>
    <row r="613" spans="1:19">
      <c r="A613" s="234"/>
      <c r="B613" s="56"/>
      <c r="C613" s="56"/>
      <c r="D613" s="56"/>
      <c r="E613" s="56"/>
      <c r="F613" s="56"/>
      <c r="G613" s="56"/>
      <c r="H613" s="56"/>
      <c r="I613" s="56"/>
      <c r="J613" s="56"/>
      <c r="K613" s="56"/>
      <c r="L613" s="56"/>
      <c r="M613" s="56"/>
      <c r="N613" s="56"/>
      <c r="O613" s="56"/>
      <c r="P613" s="56"/>
      <c r="Q613" s="56"/>
      <c r="R613" s="2206"/>
      <c r="S613" s="234"/>
    </row>
    <row r="614" spans="1:19">
      <c r="A614" s="234"/>
      <c r="B614" s="56"/>
      <c r="C614" s="56"/>
      <c r="D614" s="56"/>
      <c r="E614" s="56"/>
      <c r="F614" s="56"/>
      <c r="G614" s="56"/>
      <c r="H614" s="56"/>
      <c r="I614" s="56"/>
      <c r="J614" s="56"/>
      <c r="K614" s="56"/>
      <c r="L614" s="56"/>
      <c r="M614" s="56"/>
      <c r="N614" s="56"/>
      <c r="O614" s="56"/>
      <c r="P614" s="56"/>
      <c r="Q614" s="56"/>
      <c r="R614" s="2206"/>
      <c r="S614" s="234"/>
    </row>
    <row r="615" spans="1:19">
      <c r="A615" s="234"/>
      <c r="B615" s="56"/>
      <c r="C615" s="56"/>
      <c r="D615" s="56"/>
      <c r="E615" s="56"/>
      <c r="F615" s="56"/>
      <c r="G615" s="56"/>
      <c r="H615" s="56"/>
      <c r="I615" s="56"/>
      <c r="J615" s="56"/>
      <c r="K615" s="56"/>
      <c r="L615" s="56"/>
      <c r="M615" s="56"/>
      <c r="N615" s="56"/>
      <c r="O615" s="56"/>
      <c r="P615" s="56"/>
      <c r="Q615" s="56"/>
      <c r="R615" s="2206"/>
      <c r="S615" s="234"/>
    </row>
    <row r="616" spans="1:19">
      <c r="A616" s="234"/>
      <c r="B616" s="56"/>
      <c r="C616" s="56"/>
      <c r="D616" s="56"/>
      <c r="E616" s="56"/>
      <c r="F616" s="56"/>
      <c r="G616" s="56"/>
      <c r="H616" s="56"/>
      <c r="I616" s="56"/>
      <c r="J616" s="56"/>
      <c r="K616" s="56"/>
      <c r="L616" s="56"/>
      <c r="M616" s="56"/>
      <c r="N616" s="56"/>
      <c r="O616" s="56"/>
      <c r="P616" s="56"/>
      <c r="Q616" s="56"/>
      <c r="R616" s="2206"/>
      <c r="S616" s="234"/>
    </row>
    <row r="617" spans="1:19">
      <c r="A617" s="234"/>
      <c r="B617" s="56"/>
      <c r="C617" s="56"/>
      <c r="D617" s="56"/>
      <c r="E617" s="56"/>
      <c r="F617" s="56"/>
      <c r="G617" s="56"/>
      <c r="H617" s="56"/>
      <c r="I617" s="56"/>
      <c r="J617" s="56"/>
      <c r="K617" s="56"/>
      <c r="L617" s="56"/>
      <c r="M617" s="56"/>
      <c r="N617" s="56"/>
      <c r="O617" s="56"/>
      <c r="P617" s="56"/>
      <c r="Q617" s="56"/>
      <c r="R617" s="2206"/>
      <c r="S617" s="234"/>
    </row>
    <row r="618" spans="1:19">
      <c r="A618" s="234"/>
      <c r="B618" s="56"/>
      <c r="C618" s="56"/>
      <c r="D618" s="56"/>
      <c r="E618" s="56"/>
      <c r="F618" s="56"/>
      <c r="G618" s="56"/>
      <c r="H618" s="56"/>
      <c r="I618" s="56"/>
      <c r="J618" s="56"/>
      <c r="K618" s="56"/>
      <c r="L618" s="56"/>
      <c r="M618" s="56"/>
      <c r="N618" s="56"/>
      <c r="O618" s="56"/>
      <c r="P618" s="56"/>
      <c r="Q618" s="56"/>
      <c r="R618" s="2206"/>
      <c r="S618" s="234"/>
    </row>
    <row r="619" spans="1:19">
      <c r="A619" s="234"/>
      <c r="B619" s="56"/>
      <c r="C619" s="56"/>
      <c r="D619" s="56"/>
      <c r="E619" s="56"/>
      <c r="F619" s="56"/>
      <c r="G619" s="56"/>
      <c r="H619" s="56"/>
      <c r="I619" s="56"/>
      <c r="J619" s="56"/>
      <c r="K619" s="56"/>
      <c r="L619" s="56"/>
      <c r="M619" s="56"/>
      <c r="N619" s="56"/>
      <c r="O619" s="56"/>
      <c r="P619" s="56"/>
      <c r="Q619" s="56"/>
      <c r="R619" s="2206"/>
      <c r="S619" s="234"/>
    </row>
    <row r="620" spans="1:19">
      <c r="A620" s="234"/>
      <c r="B620" s="56"/>
      <c r="C620" s="56"/>
      <c r="D620" s="56"/>
      <c r="E620" s="56"/>
      <c r="F620" s="56"/>
      <c r="G620" s="56"/>
      <c r="H620" s="56"/>
      <c r="I620" s="56"/>
      <c r="J620" s="56"/>
      <c r="K620" s="56"/>
      <c r="L620" s="56"/>
      <c r="M620" s="56"/>
      <c r="N620" s="56"/>
      <c r="O620" s="56"/>
      <c r="P620" s="56"/>
      <c r="Q620" s="56"/>
      <c r="R620" s="2206"/>
      <c r="S620" s="234"/>
    </row>
    <row r="621" spans="1:19">
      <c r="A621" s="234"/>
      <c r="B621" s="56"/>
      <c r="C621" s="56"/>
      <c r="D621" s="56"/>
      <c r="E621" s="56"/>
      <c r="F621" s="56"/>
      <c r="G621" s="56"/>
      <c r="H621" s="56"/>
      <c r="I621" s="56"/>
      <c r="J621" s="56"/>
      <c r="K621" s="56"/>
      <c r="L621" s="56"/>
      <c r="M621" s="56"/>
      <c r="N621" s="56"/>
      <c r="O621" s="56"/>
      <c r="P621" s="56"/>
      <c r="Q621" s="56"/>
      <c r="R621" s="2206"/>
      <c r="S621" s="234"/>
    </row>
    <row r="622" spans="1:19">
      <c r="A622" s="234"/>
      <c r="B622" s="56"/>
      <c r="C622" s="56"/>
      <c r="D622" s="56"/>
      <c r="E622" s="56"/>
      <c r="F622" s="56"/>
      <c r="G622" s="56"/>
      <c r="H622" s="56"/>
      <c r="I622" s="56"/>
      <c r="J622" s="56"/>
      <c r="K622" s="56"/>
      <c r="L622" s="56"/>
      <c r="M622" s="56"/>
      <c r="N622" s="56"/>
      <c r="O622" s="56"/>
      <c r="P622" s="56"/>
      <c r="Q622" s="56"/>
      <c r="R622" s="2206"/>
      <c r="S622" s="234"/>
    </row>
    <row r="623" spans="1:19">
      <c r="A623" s="234"/>
      <c r="B623" s="56"/>
      <c r="C623" s="56"/>
      <c r="D623" s="56"/>
      <c r="E623" s="56"/>
      <c r="F623" s="56"/>
      <c r="G623" s="56"/>
      <c r="H623" s="56"/>
      <c r="I623" s="56"/>
      <c r="J623" s="56"/>
      <c r="K623" s="56"/>
      <c r="L623" s="56"/>
      <c r="M623" s="56"/>
      <c r="N623" s="56"/>
      <c r="O623" s="56"/>
      <c r="P623" s="56"/>
      <c r="Q623" s="56"/>
      <c r="R623" s="2206"/>
      <c r="S623" s="234"/>
    </row>
    <row r="624" spans="1:19">
      <c r="A624" s="234"/>
      <c r="B624" s="56"/>
      <c r="C624" s="56"/>
      <c r="D624" s="56"/>
      <c r="E624" s="56"/>
      <c r="F624" s="56"/>
      <c r="G624" s="56"/>
      <c r="H624" s="56"/>
      <c r="I624" s="56"/>
      <c r="J624" s="56"/>
      <c r="K624" s="56"/>
      <c r="L624" s="56"/>
      <c r="M624" s="56"/>
      <c r="N624" s="56"/>
      <c r="O624" s="56"/>
      <c r="P624" s="56"/>
      <c r="Q624" s="56"/>
      <c r="R624" s="2206"/>
      <c r="S624" s="234"/>
    </row>
    <row r="625" spans="1:19">
      <c r="A625" s="234"/>
      <c r="B625" s="56"/>
      <c r="C625" s="56"/>
      <c r="D625" s="56"/>
      <c r="E625" s="56"/>
      <c r="F625" s="56"/>
      <c r="G625" s="56"/>
      <c r="H625" s="56"/>
      <c r="I625" s="56"/>
      <c r="J625" s="56"/>
      <c r="K625" s="56"/>
      <c r="L625" s="56"/>
      <c r="M625" s="56"/>
      <c r="N625" s="56"/>
      <c r="O625" s="56"/>
      <c r="P625" s="56"/>
      <c r="Q625" s="56"/>
      <c r="R625" s="2206"/>
      <c r="S625" s="234"/>
    </row>
    <row r="626" spans="1:19">
      <c r="A626" s="234"/>
      <c r="B626" s="56"/>
      <c r="C626" s="56"/>
      <c r="D626" s="56"/>
      <c r="E626" s="56"/>
      <c r="F626" s="56"/>
      <c r="G626" s="56"/>
      <c r="H626" s="56"/>
      <c r="I626" s="56"/>
      <c r="J626" s="56"/>
      <c r="K626" s="56"/>
      <c r="L626" s="56"/>
      <c r="M626" s="56"/>
      <c r="N626" s="56"/>
      <c r="O626" s="56"/>
      <c r="P626" s="56"/>
      <c r="Q626" s="56"/>
      <c r="R626" s="2206"/>
      <c r="S626" s="234"/>
    </row>
    <row r="627" spans="1:19">
      <c r="A627" s="234"/>
      <c r="B627" s="56"/>
      <c r="C627" s="56"/>
      <c r="D627" s="56"/>
      <c r="E627" s="56"/>
      <c r="F627" s="56"/>
      <c r="G627" s="56"/>
      <c r="H627" s="56"/>
      <c r="I627" s="56"/>
      <c r="J627" s="56"/>
      <c r="K627" s="56"/>
      <c r="L627" s="56"/>
      <c r="M627" s="56"/>
      <c r="N627" s="56"/>
      <c r="O627" s="56"/>
      <c r="P627" s="56"/>
      <c r="Q627" s="56"/>
      <c r="R627" s="2206"/>
      <c r="S627" s="234"/>
    </row>
    <row r="628" spans="1:19">
      <c r="A628" s="234"/>
      <c r="B628" s="56"/>
      <c r="C628" s="56"/>
      <c r="D628" s="56"/>
      <c r="E628" s="56"/>
      <c r="F628" s="56"/>
      <c r="G628" s="56"/>
      <c r="H628" s="56"/>
      <c r="I628" s="56"/>
      <c r="J628" s="56"/>
      <c r="K628" s="56"/>
      <c r="L628" s="56"/>
      <c r="M628" s="56"/>
      <c r="N628" s="56"/>
      <c r="O628" s="56"/>
      <c r="P628" s="56"/>
      <c r="Q628" s="56"/>
      <c r="R628" s="2206"/>
      <c r="S628" s="234"/>
    </row>
    <row r="629" spans="1:19">
      <c r="A629" s="234"/>
      <c r="B629" s="56"/>
      <c r="C629" s="56"/>
      <c r="D629" s="56"/>
      <c r="E629" s="56"/>
      <c r="F629" s="56"/>
      <c r="G629" s="56"/>
      <c r="H629" s="56"/>
      <c r="I629" s="56"/>
      <c r="J629" s="56"/>
      <c r="K629" s="56"/>
      <c r="L629" s="56"/>
      <c r="M629" s="56"/>
      <c r="N629" s="56"/>
      <c r="O629" s="56"/>
      <c r="P629" s="56"/>
      <c r="Q629" s="56"/>
      <c r="R629" s="2206"/>
      <c r="S629" s="234"/>
    </row>
    <row r="630" spans="1:19">
      <c r="A630" s="234"/>
      <c r="B630" s="56"/>
      <c r="C630" s="56"/>
      <c r="D630" s="56"/>
      <c r="E630" s="56"/>
      <c r="F630" s="56"/>
      <c r="G630" s="56"/>
      <c r="H630" s="56"/>
      <c r="I630" s="56"/>
      <c r="J630" s="56"/>
      <c r="K630" s="56"/>
      <c r="L630" s="56"/>
      <c r="M630" s="56"/>
      <c r="N630" s="56"/>
      <c r="O630" s="56"/>
      <c r="P630" s="56"/>
      <c r="Q630" s="56"/>
      <c r="R630" s="2206"/>
      <c r="S630" s="234"/>
    </row>
    <row r="631" spans="1:19">
      <c r="A631" s="234"/>
      <c r="B631" s="56"/>
      <c r="C631" s="56"/>
      <c r="D631" s="56"/>
      <c r="E631" s="56"/>
      <c r="F631" s="56"/>
      <c r="G631" s="56"/>
      <c r="H631" s="56"/>
      <c r="I631" s="56"/>
      <c r="J631" s="56"/>
      <c r="K631" s="56"/>
      <c r="L631" s="56"/>
      <c r="M631" s="56"/>
      <c r="N631" s="56"/>
      <c r="O631" s="56"/>
      <c r="P631" s="56"/>
      <c r="Q631" s="56"/>
      <c r="R631" s="2206"/>
      <c r="S631" s="234"/>
    </row>
    <row r="632" spans="1:19">
      <c r="A632" s="234"/>
      <c r="B632" s="56"/>
      <c r="C632" s="56"/>
      <c r="D632" s="56"/>
      <c r="E632" s="56"/>
      <c r="F632" s="56"/>
      <c r="G632" s="56"/>
      <c r="H632" s="56"/>
      <c r="I632" s="56"/>
      <c r="J632" s="56"/>
      <c r="K632" s="56"/>
      <c r="L632" s="56"/>
      <c r="M632" s="56"/>
      <c r="N632" s="56"/>
      <c r="O632" s="56"/>
      <c r="P632" s="56"/>
      <c r="Q632" s="56"/>
      <c r="R632" s="2206"/>
      <c r="S632" s="234"/>
    </row>
    <row r="633" spans="1:19">
      <c r="A633" s="234"/>
      <c r="B633" s="56"/>
      <c r="C633" s="56"/>
      <c r="D633" s="56"/>
      <c r="E633" s="56"/>
      <c r="F633" s="56"/>
      <c r="G633" s="56"/>
      <c r="H633" s="56"/>
      <c r="I633" s="56"/>
      <c r="J633" s="56"/>
      <c r="K633" s="56"/>
      <c r="L633" s="56"/>
      <c r="M633" s="56"/>
      <c r="N633" s="56"/>
      <c r="O633" s="56"/>
      <c r="P633" s="56"/>
      <c r="Q633" s="56"/>
      <c r="R633" s="2206"/>
      <c r="S633" s="234"/>
    </row>
    <row r="634" spans="1:19">
      <c r="A634" s="234"/>
      <c r="B634" s="56"/>
      <c r="C634" s="56"/>
      <c r="D634" s="56"/>
      <c r="E634" s="56"/>
      <c r="F634" s="56"/>
      <c r="G634" s="56"/>
      <c r="H634" s="56"/>
      <c r="I634" s="56"/>
      <c r="J634" s="56"/>
      <c r="K634" s="56"/>
      <c r="L634" s="56"/>
      <c r="M634" s="56"/>
      <c r="N634" s="56"/>
      <c r="O634" s="56"/>
      <c r="P634" s="56"/>
      <c r="Q634" s="56"/>
      <c r="R634" s="2206"/>
      <c r="S634" s="234"/>
    </row>
    <row r="635" spans="1:19">
      <c r="A635" s="234"/>
      <c r="B635" s="56"/>
      <c r="C635" s="56"/>
      <c r="D635" s="56"/>
      <c r="E635" s="56"/>
      <c r="F635" s="56"/>
      <c r="G635" s="56"/>
      <c r="H635" s="56"/>
      <c r="I635" s="56"/>
      <c r="J635" s="56"/>
      <c r="K635" s="56"/>
      <c r="L635" s="56"/>
      <c r="M635" s="56"/>
      <c r="N635" s="56"/>
      <c r="O635" s="56"/>
      <c r="P635" s="56"/>
      <c r="Q635" s="56"/>
      <c r="R635" s="2206"/>
      <c r="S635" s="234"/>
    </row>
    <row r="636" spans="1:19">
      <c r="A636" s="234"/>
      <c r="B636" s="56"/>
      <c r="C636" s="56"/>
      <c r="D636" s="56"/>
      <c r="E636" s="56"/>
      <c r="F636" s="56"/>
      <c r="G636" s="56"/>
      <c r="H636" s="56"/>
      <c r="I636" s="56"/>
      <c r="J636" s="56"/>
      <c r="K636" s="56"/>
      <c r="L636" s="56"/>
      <c r="M636" s="56"/>
      <c r="N636" s="56"/>
      <c r="O636" s="56"/>
      <c r="P636" s="56"/>
      <c r="Q636" s="56"/>
      <c r="R636" s="2206"/>
      <c r="S636" s="234"/>
    </row>
    <row r="637" spans="1:19">
      <c r="A637" s="234"/>
      <c r="B637" s="56"/>
      <c r="C637" s="56"/>
      <c r="D637" s="56"/>
      <c r="E637" s="56"/>
      <c r="F637" s="56"/>
      <c r="G637" s="56"/>
      <c r="H637" s="56"/>
      <c r="I637" s="56"/>
      <c r="J637" s="56"/>
      <c r="K637" s="56"/>
      <c r="L637" s="56"/>
      <c r="M637" s="56"/>
      <c r="N637" s="56"/>
      <c r="O637" s="56"/>
      <c r="P637" s="56"/>
      <c r="Q637" s="56"/>
      <c r="R637" s="2206"/>
      <c r="S637" s="234"/>
    </row>
    <row r="638" spans="1:19">
      <c r="A638" s="234"/>
      <c r="B638" s="56"/>
      <c r="C638" s="56"/>
      <c r="D638" s="56"/>
      <c r="E638" s="56"/>
      <c r="F638" s="56"/>
      <c r="G638" s="56"/>
      <c r="H638" s="56"/>
      <c r="I638" s="56"/>
      <c r="J638" s="56"/>
      <c r="K638" s="56"/>
      <c r="L638" s="56"/>
      <c r="M638" s="56"/>
      <c r="N638" s="56"/>
      <c r="O638" s="56"/>
      <c r="P638" s="56"/>
      <c r="Q638" s="56"/>
      <c r="R638" s="2206"/>
      <c r="S638" s="234"/>
    </row>
    <row r="639" spans="1:19">
      <c r="A639" s="234"/>
      <c r="B639" s="56"/>
      <c r="C639" s="56"/>
      <c r="D639" s="56"/>
      <c r="E639" s="56"/>
      <c r="F639" s="56"/>
      <c r="G639" s="56"/>
      <c r="H639" s="56"/>
      <c r="I639" s="56"/>
      <c r="J639" s="56"/>
      <c r="K639" s="56"/>
      <c r="L639" s="56"/>
      <c r="M639" s="56"/>
      <c r="N639" s="56"/>
      <c r="O639" s="56"/>
      <c r="P639" s="56"/>
      <c r="Q639" s="56"/>
      <c r="R639" s="2206"/>
      <c r="S639" s="234"/>
    </row>
    <row r="640" spans="1:19">
      <c r="A640" s="234"/>
      <c r="B640" s="56"/>
      <c r="C640" s="56"/>
      <c r="D640" s="56"/>
      <c r="E640" s="56"/>
      <c r="F640" s="56"/>
      <c r="G640" s="56"/>
      <c r="H640" s="56"/>
      <c r="I640" s="56"/>
      <c r="J640" s="56"/>
      <c r="K640" s="56"/>
      <c r="L640" s="56"/>
      <c r="M640" s="56"/>
      <c r="N640" s="56"/>
      <c r="O640" s="56"/>
      <c r="P640" s="56"/>
      <c r="Q640" s="56"/>
      <c r="R640" s="2206"/>
      <c r="S640" s="234"/>
    </row>
    <row r="641" spans="1:19">
      <c r="A641" s="234"/>
      <c r="B641" s="56"/>
      <c r="C641" s="56"/>
      <c r="D641" s="56"/>
      <c r="E641" s="56"/>
      <c r="F641" s="56"/>
      <c r="G641" s="56"/>
      <c r="H641" s="56"/>
      <c r="I641" s="56"/>
      <c r="J641" s="56"/>
      <c r="K641" s="56"/>
      <c r="L641" s="56"/>
      <c r="M641" s="56"/>
      <c r="N641" s="56"/>
      <c r="O641" s="56"/>
      <c r="P641" s="56"/>
      <c r="Q641" s="56"/>
      <c r="R641" s="2206"/>
      <c r="S641" s="234"/>
    </row>
    <row r="642" spans="1:19">
      <c r="A642" s="234"/>
      <c r="B642" s="56"/>
      <c r="C642" s="56"/>
      <c r="D642" s="56"/>
      <c r="E642" s="56"/>
      <c r="F642" s="56"/>
      <c r="G642" s="56"/>
      <c r="H642" s="56"/>
      <c r="I642" s="56"/>
      <c r="J642" s="56"/>
      <c r="K642" s="56"/>
      <c r="L642" s="56"/>
      <c r="M642" s="56"/>
      <c r="N642" s="56"/>
      <c r="O642" s="56"/>
      <c r="P642" s="56"/>
      <c r="Q642" s="56"/>
      <c r="R642" s="2206"/>
      <c r="S642" s="234"/>
    </row>
    <row r="643" spans="1:19">
      <c r="A643" s="234"/>
      <c r="B643" s="56"/>
      <c r="C643" s="56"/>
      <c r="D643" s="56"/>
      <c r="E643" s="56"/>
      <c r="F643" s="56"/>
      <c r="G643" s="56"/>
      <c r="H643" s="56"/>
      <c r="I643" s="56"/>
      <c r="J643" s="56"/>
      <c r="K643" s="56"/>
      <c r="L643" s="56"/>
      <c r="M643" s="56"/>
      <c r="N643" s="56"/>
      <c r="O643" s="56"/>
      <c r="P643" s="56"/>
      <c r="Q643" s="56"/>
      <c r="R643" s="2206"/>
      <c r="S643" s="234"/>
    </row>
    <row r="644" spans="1:19">
      <c r="A644" s="234"/>
      <c r="B644" s="56"/>
      <c r="C644" s="56"/>
      <c r="D644" s="56"/>
      <c r="E644" s="56"/>
      <c r="F644" s="56"/>
      <c r="G644" s="56"/>
      <c r="H644" s="56"/>
      <c r="I644" s="56"/>
      <c r="J644" s="56"/>
      <c r="K644" s="56"/>
      <c r="L644" s="56"/>
      <c r="M644" s="56"/>
      <c r="N644" s="56"/>
      <c r="O644" s="56"/>
      <c r="P644" s="56"/>
      <c r="Q644" s="56"/>
      <c r="R644" s="2206"/>
      <c r="S644" s="234"/>
    </row>
    <row r="645" spans="1:19">
      <c r="A645" s="234"/>
      <c r="B645" s="56"/>
      <c r="C645" s="56"/>
      <c r="D645" s="56"/>
      <c r="E645" s="56"/>
      <c r="F645" s="56"/>
      <c r="G645" s="56"/>
      <c r="H645" s="56"/>
      <c r="I645" s="56"/>
      <c r="J645" s="56"/>
      <c r="K645" s="56"/>
      <c r="L645" s="56"/>
      <c r="M645" s="56"/>
      <c r="N645" s="56"/>
      <c r="O645" s="56"/>
      <c r="P645" s="56"/>
      <c r="Q645" s="56"/>
      <c r="R645" s="2206"/>
      <c r="S645" s="234"/>
    </row>
    <row r="646" spans="1:19">
      <c r="A646" s="234"/>
      <c r="B646" s="56"/>
      <c r="C646" s="56"/>
      <c r="D646" s="56"/>
      <c r="E646" s="56"/>
      <c r="F646" s="56"/>
      <c r="G646" s="56"/>
      <c r="H646" s="56"/>
      <c r="I646" s="56"/>
      <c r="J646" s="56"/>
      <c r="K646" s="56"/>
      <c r="L646" s="56"/>
      <c r="M646" s="56"/>
      <c r="N646" s="56"/>
      <c r="O646" s="56"/>
      <c r="P646" s="56"/>
      <c r="Q646" s="56"/>
      <c r="R646" s="2206"/>
      <c r="S646" s="234"/>
    </row>
    <row r="647" spans="1:19">
      <c r="A647" s="234"/>
      <c r="B647" s="56"/>
      <c r="C647" s="56"/>
      <c r="D647" s="56"/>
      <c r="E647" s="56"/>
      <c r="F647" s="56"/>
      <c r="G647" s="56"/>
      <c r="H647" s="56"/>
      <c r="I647" s="56"/>
      <c r="J647" s="56"/>
      <c r="K647" s="56"/>
      <c r="L647" s="56"/>
      <c r="M647" s="56"/>
      <c r="N647" s="56"/>
      <c r="O647" s="56"/>
      <c r="P647" s="56"/>
      <c r="Q647" s="56"/>
      <c r="R647" s="2206"/>
      <c r="S647" s="234"/>
    </row>
    <row r="648" spans="1:19">
      <c r="A648" s="234"/>
      <c r="B648" s="56"/>
      <c r="C648" s="56"/>
      <c r="D648" s="56"/>
      <c r="E648" s="56"/>
      <c r="F648" s="56"/>
      <c r="G648" s="56"/>
      <c r="H648" s="56"/>
      <c r="I648" s="56"/>
      <c r="J648" s="56"/>
      <c r="K648" s="56"/>
      <c r="L648" s="56"/>
      <c r="M648" s="56"/>
      <c r="N648" s="56"/>
      <c r="O648" s="56"/>
      <c r="P648" s="56"/>
      <c r="Q648" s="56"/>
      <c r="R648" s="2206"/>
      <c r="S648" s="234"/>
    </row>
    <row r="649" spans="1:19">
      <c r="A649" s="234"/>
      <c r="B649" s="56"/>
      <c r="C649" s="56"/>
      <c r="D649" s="56"/>
      <c r="E649" s="56"/>
      <c r="F649" s="56"/>
      <c r="G649" s="56"/>
      <c r="H649" s="56"/>
      <c r="I649" s="56"/>
      <c r="J649" s="56"/>
      <c r="K649" s="56"/>
      <c r="L649" s="56"/>
      <c r="M649" s="56"/>
      <c r="N649" s="56"/>
      <c r="O649" s="56"/>
      <c r="P649" s="56"/>
      <c r="Q649" s="56"/>
      <c r="R649" s="2206"/>
      <c r="S649" s="234"/>
    </row>
    <row r="650" spans="1:19">
      <c r="A650" s="234"/>
      <c r="B650" s="56"/>
      <c r="C650" s="56"/>
      <c r="D650" s="56"/>
      <c r="E650" s="56"/>
      <c r="F650" s="56"/>
      <c r="G650" s="56"/>
      <c r="H650" s="56"/>
      <c r="I650" s="56"/>
      <c r="J650" s="56"/>
      <c r="K650" s="56"/>
      <c r="L650" s="56"/>
      <c r="M650" s="56"/>
      <c r="N650" s="56"/>
      <c r="O650" s="56"/>
      <c r="P650" s="56"/>
      <c r="Q650" s="56"/>
      <c r="R650" s="2206"/>
      <c r="S650" s="234"/>
    </row>
    <row r="651" spans="1:19">
      <c r="A651" s="234"/>
      <c r="B651" s="56"/>
      <c r="C651" s="56"/>
      <c r="D651" s="56"/>
      <c r="E651" s="56"/>
      <c r="F651" s="56"/>
      <c r="G651" s="56"/>
      <c r="H651" s="56"/>
      <c r="I651" s="56"/>
      <c r="J651" s="56"/>
      <c r="K651" s="56"/>
      <c r="L651" s="56"/>
      <c r="M651" s="56"/>
      <c r="N651" s="56"/>
      <c r="O651" s="56"/>
      <c r="P651" s="56"/>
      <c r="Q651" s="56"/>
      <c r="R651" s="2206"/>
      <c r="S651" s="234"/>
    </row>
    <row r="652" spans="1:19">
      <c r="A652" s="234"/>
      <c r="B652" s="56"/>
      <c r="C652" s="56"/>
      <c r="D652" s="56"/>
      <c r="E652" s="56"/>
      <c r="F652" s="56"/>
      <c r="G652" s="56"/>
      <c r="H652" s="56"/>
      <c r="I652" s="56"/>
      <c r="J652" s="56"/>
      <c r="K652" s="56"/>
      <c r="L652" s="56"/>
      <c r="M652" s="56"/>
      <c r="N652" s="56"/>
      <c r="O652" s="56"/>
      <c r="P652" s="56"/>
      <c r="Q652" s="56"/>
      <c r="R652" s="2206"/>
      <c r="S652" s="234"/>
    </row>
    <row r="653" spans="1:19">
      <c r="A653" s="234"/>
      <c r="B653" s="56"/>
      <c r="C653" s="56"/>
      <c r="D653" s="56"/>
      <c r="E653" s="56"/>
      <c r="F653" s="56"/>
      <c r="G653" s="56"/>
      <c r="H653" s="56"/>
      <c r="I653" s="56"/>
      <c r="J653" s="56"/>
      <c r="K653" s="56"/>
      <c r="L653" s="56"/>
      <c r="M653" s="56"/>
      <c r="N653" s="56"/>
      <c r="O653" s="56"/>
      <c r="P653" s="56"/>
      <c r="Q653" s="56"/>
      <c r="R653" s="2206"/>
      <c r="S653" s="234"/>
    </row>
    <row r="654" spans="1:19">
      <c r="A654" s="234"/>
      <c r="B654" s="56"/>
      <c r="C654" s="56"/>
      <c r="D654" s="56"/>
      <c r="E654" s="56"/>
      <c r="F654" s="56"/>
      <c r="G654" s="56"/>
      <c r="H654" s="56"/>
      <c r="I654" s="56"/>
      <c r="J654" s="56"/>
      <c r="K654" s="56"/>
      <c r="L654" s="56"/>
      <c r="M654" s="56"/>
      <c r="N654" s="56"/>
      <c r="O654" s="56"/>
      <c r="P654" s="56"/>
      <c r="Q654" s="56"/>
      <c r="R654" s="2206"/>
      <c r="S654" s="234"/>
    </row>
    <row r="655" spans="1:19">
      <c r="A655" s="234"/>
      <c r="B655" s="56"/>
      <c r="C655" s="56"/>
      <c r="D655" s="56"/>
      <c r="E655" s="56"/>
      <c r="F655" s="56"/>
      <c r="G655" s="56"/>
      <c r="H655" s="56"/>
      <c r="I655" s="56"/>
      <c r="J655" s="56"/>
      <c r="K655" s="56"/>
      <c r="L655" s="56"/>
      <c r="M655" s="56"/>
      <c r="N655" s="56"/>
      <c r="O655" s="56"/>
      <c r="P655" s="56"/>
      <c r="Q655" s="56"/>
      <c r="R655" s="2206"/>
      <c r="S655" s="234"/>
    </row>
    <row r="656" spans="1:19">
      <c r="A656" s="234"/>
      <c r="B656" s="56"/>
      <c r="C656" s="56"/>
      <c r="D656" s="56"/>
      <c r="E656" s="56"/>
      <c r="F656" s="56"/>
      <c r="G656" s="56"/>
      <c r="H656" s="56"/>
      <c r="I656" s="56"/>
      <c r="J656" s="56"/>
      <c r="K656" s="56"/>
      <c r="L656" s="56"/>
      <c r="M656" s="56"/>
      <c r="N656" s="56"/>
      <c r="O656" s="56"/>
      <c r="P656" s="56"/>
      <c r="Q656" s="56"/>
      <c r="R656" s="2206"/>
      <c r="S656" s="234"/>
    </row>
    <row r="657" spans="1:19">
      <c r="A657" s="234"/>
      <c r="B657" s="56"/>
      <c r="C657" s="56"/>
      <c r="D657" s="56"/>
      <c r="E657" s="56"/>
      <c r="F657" s="56"/>
      <c r="G657" s="56"/>
      <c r="H657" s="56"/>
      <c r="I657" s="56"/>
      <c r="J657" s="56"/>
      <c r="K657" s="56"/>
      <c r="L657" s="56"/>
      <c r="M657" s="56"/>
      <c r="N657" s="56"/>
      <c r="O657" s="56"/>
      <c r="P657" s="56"/>
      <c r="Q657" s="56"/>
      <c r="R657" s="2206"/>
      <c r="S657" s="234"/>
    </row>
    <row r="658" spans="1:19">
      <c r="A658" s="234"/>
      <c r="B658" s="56"/>
      <c r="C658" s="56"/>
      <c r="D658" s="56"/>
      <c r="E658" s="56"/>
      <c r="F658" s="56"/>
      <c r="G658" s="56"/>
      <c r="H658" s="56"/>
      <c r="I658" s="56"/>
      <c r="J658" s="56"/>
      <c r="K658" s="56"/>
      <c r="L658" s="56"/>
      <c r="M658" s="56"/>
      <c r="N658" s="56"/>
      <c r="O658" s="56"/>
      <c r="P658" s="56"/>
      <c r="Q658" s="56"/>
      <c r="R658" s="2206"/>
      <c r="S658" s="234"/>
    </row>
    <row r="659" spans="1:19">
      <c r="A659" s="234"/>
      <c r="B659" s="56"/>
      <c r="C659" s="56"/>
      <c r="D659" s="56"/>
      <c r="E659" s="56"/>
      <c r="F659" s="56"/>
      <c r="G659" s="56"/>
      <c r="H659" s="56"/>
      <c r="I659" s="56"/>
      <c r="J659" s="56"/>
      <c r="K659" s="56"/>
      <c r="L659" s="56"/>
      <c r="M659" s="56"/>
      <c r="N659" s="56"/>
      <c r="O659" s="56"/>
      <c r="P659" s="56"/>
      <c r="Q659" s="56"/>
      <c r="R659" s="2206"/>
      <c r="S659" s="234"/>
    </row>
    <row r="660" spans="1:19">
      <c r="A660" s="234"/>
      <c r="B660" s="56"/>
      <c r="C660" s="56"/>
      <c r="D660" s="56"/>
      <c r="E660" s="56"/>
      <c r="F660" s="56"/>
      <c r="G660" s="56"/>
      <c r="H660" s="56"/>
      <c r="I660" s="56"/>
      <c r="J660" s="56"/>
      <c r="K660" s="56"/>
      <c r="L660" s="56"/>
      <c r="M660" s="56"/>
      <c r="N660" s="56"/>
      <c r="O660" s="56"/>
      <c r="P660" s="56"/>
      <c r="Q660" s="56"/>
      <c r="R660" s="2206"/>
      <c r="S660" s="234"/>
    </row>
    <row r="661" spans="1:19">
      <c r="A661" s="234"/>
      <c r="B661" s="56"/>
      <c r="C661" s="56"/>
      <c r="D661" s="56"/>
      <c r="E661" s="56"/>
      <c r="F661" s="56"/>
      <c r="G661" s="56"/>
      <c r="H661" s="56"/>
      <c r="I661" s="56"/>
      <c r="J661" s="56"/>
      <c r="K661" s="56"/>
      <c r="L661" s="56"/>
      <c r="M661" s="56"/>
      <c r="N661" s="56"/>
      <c r="O661" s="56"/>
      <c r="P661" s="56"/>
      <c r="Q661" s="56"/>
      <c r="R661" s="2206"/>
      <c r="S661" s="234"/>
    </row>
    <row r="662" spans="1:19">
      <c r="A662" s="234"/>
      <c r="B662" s="56"/>
      <c r="C662" s="56"/>
      <c r="D662" s="56"/>
      <c r="E662" s="56"/>
      <c r="F662" s="56"/>
      <c r="G662" s="56"/>
      <c r="H662" s="56"/>
      <c r="I662" s="56"/>
      <c r="J662" s="56"/>
      <c r="K662" s="56"/>
      <c r="L662" s="56"/>
      <c r="M662" s="56"/>
      <c r="N662" s="56"/>
      <c r="O662" s="56"/>
      <c r="P662" s="56"/>
      <c r="Q662" s="56"/>
      <c r="R662" s="2206"/>
      <c r="S662" s="234"/>
    </row>
    <row r="663" spans="1:19">
      <c r="A663" s="234"/>
      <c r="B663" s="56"/>
      <c r="C663" s="56"/>
      <c r="D663" s="56"/>
      <c r="E663" s="56"/>
      <c r="F663" s="56"/>
      <c r="G663" s="56"/>
      <c r="H663" s="56"/>
      <c r="I663" s="56"/>
      <c r="J663" s="56"/>
      <c r="K663" s="56"/>
      <c r="L663" s="56"/>
      <c r="M663" s="56"/>
      <c r="N663" s="56"/>
      <c r="O663" s="56"/>
      <c r="P663" s="56"/>
      <c r="Q663" s="56"/>
      <c r="R663" s="2206"/>
      <c r="S663" s="234"/>
    </row>
    <row r="664" spans="1:19">
      <c r="A664" s="234"/>
      <c r="B664" s="56"/>
      <c r="C664" s="56"/>
      <c r="D664" s="56"/>
      <c r="E664" s="56"/>
      <c r="F664" s="56"/>
      <c r="G664" s="56"/>
      <c r="H664" s="56"/>
      <c r="I664" s="56"/>
      <c r="J664" s="56"/>
      <c r="K664" s="56"/>
      <c r="L664" s="56"/>
      <c r="M664" s="56"/>
      <c r="N664" s="56"/>
      <c r="O664" s="56"/>
      <c r="P664" s="56"/>
      <c r="Q664" s="56"/>
      <c r="R664" s="2206"/>
      <c r="S664" s="234"/>
    </row>
    <row r="665" spans="1:19">
      <c r="A665" s="234"/>
      <c r="B665" s="56"/>
      <c r="C665" s="56"/>
      <c r="D665" s="56"/>
      <c r="E665" s="56"/>
      <c r="F665" s="56"/>
      <c r="G665" s="56"/>
      <c r="H665" s="56"/>
      <c r="I665" s="56"/>
      <c r="J665" s="56"/>
      <c r="K665" s="56"/>
      <c r="L665" s="56"/>
      <c r="M665" s="56"/>
      <c r="N665" s="56"/>
      <c r="O665" s="56"/>
      <c r="P665" s="56"/>
      <c r="Q665" s="56"/>
      <c r="R665" s="2206"/>
      <c r="S665" s="234"/>
    </row>
    <row r="666" spans="1:19">
      <c r="A666" s="234"/>
      <c r="B666" s="56"/>
      <c r="C666" s="56"/>
      <c r="D666" s="56"/>
      <c r="E666" s="56"/>
      <c r="F666" s="56"/>
      <c r="G666" s="56"/>
      <c r="H666" s="56"/>
      <c r="I666" s="56"/>
      <c r="J666" s="56"/>
      <c r="K666" s="56"/>
      <c r="L666" s="56"/>
      <c r="M666" s="56"/>
      <c r="N666" s="56"/>
      <c r="O666" s="56"/>
      <c r="P666" s="56"/>
      <c r="Q666" s="56"/>
      <c r="R666" s="2206"/>
      <c r="S666" s="234"/>
    </row>
    <row r="667" spans="1:19">
      <c r="A667" s="234"/>
      <c r="B667" s="56"/>
      <c r="C667" s="56"/>
      <c r="D667" s="56"/>
      <c r="E667" s="56"/>
      <c r="F667" s="56"/>
      <c r="G667" s="56"/>
      <c r="H667" s="56"/>
      <c r="I667" s="56"/>
      <c r="J667" s="56"/>
      <c r="K667" s="56"/>
      <c r="L667" s="56"/>
      <c r="M667" s="56"/>
      <c r="N667" s="56"/>
      <c r="O667" s="56"/>
      <c r="P667" s="56"/>
      <c r="Q667" s="56"/>
      <c r="R667" s="2206"/>
      <c r="S667" s="234"/>
    </row>
    <row r="668" spans="1:19">
      <c r="A668" s="234"/>
      <c r="B668" s="56"/>
      <c r="C668" s="56"/>
      <c r="D668" s="56"/>
      <c r="E668" s="56"/>
      <c r="F668" s="56"/>
      <c r="G668" s="56"/>
      <c r="H668" s="56"/>
      <c r="I668" s="56"/>
      <c r="J668" s="56"/>
      <c r="K668" s="56"/>
      <c r="L668" s="56"/>
      <c r="M668" s="56"/>
      <c r="N668" s="56"/>
      <c r="O668" s="56"/>
      <c r="P668" s="56"/>
      <c r="Q668" s="56"/>
      <c r="R668" s="2206"/>
      <c r="S668" s="234"/>
    </row>
    <row r="669" spans="1:19">
      <c r="A669" s="234"/>
      <c r="B669" s="56"/>
      <c r="C669" s="56"/>
      <c r="D669" s="56"/>
      <c r="E669" s="56"/>
      <c r="F669" s="56"/>
      <c r="G669" s="56"/>
      <c r="H669" s="56"/>
      <c r="I669" s="56"/>
      <c r="J669" s="56"/>
      <c r="K669" s="56"/>
      <c r="L669" s="56"/>
      <c r="M669" s="56"/>
      <c r="N669" s="56"/>
      <c r="O669" s="56"/>
      <c r="P669" s="56"/>
      <c r="Q669" s="56"/>
      <c r="R669" s="2206"/>
      <c r="S669" s="234"/>
    </row>
    <row r="670" spans="1:19">
      <c r="A670" s="234"/>
      <c r="B670" s="56"/>
      <c r="C670" s="56"/>
      <c r="D670" s="56"/>
      <c r="E670" s="56"/>
      <c r="F670" s="56"/>
      <c r="G670" s="56"/>
      <c r="H670" s="56"/>
      <c r="I670" s="56"/>
      <c r="J670" s="56"/>
      <c r="K670" s="56"/>
      <c r="L670" s="56"/>
      <c r="M670" s="56"/>
      <c r="N670" s="56"/>
      <c r="O670" s="56"/>
      <c r="P670" s="56"/>
      <c r="Q670" s="56"/>
      <c r="R670" s="2206"/>
      <c r="S670" s="234"/>
    </row>
    <row r="671" spans="1:19">
      <c r="A671" s="234"/>
      <c r="B671" s="56"/>
      <c r="C671" s="56"/>
      <c r="D671" s="56"/>
      <c r="E671" s="56"/>
      <c r="F671" s="56"/>
      <c r="G671" s="56"/>
      <c r="H671" s="56"/>
      <c r="I671" s="56"/>
      <c r="J671" s="56"/>
      <c r="K671" s="56"/>
      <c r="L671" s="56"/>
      <c r="M671" s="56"/>
      <c r="N671" s="56"/>
      <c r="O671" s="56"/>
      <c r="P671" s="56"/>
      <c r="Q671" s="56"/>
      <c r="R671" s="2206"/>
      <c r="S671" s="234"/>
    </row>
    <row r="672" spans="1:19">
      <c r="A672" s="234"/>
      <c r="B672" s="56"/>
      <c r="C672" s="56"/>
      <c r="D672" s="56"/>
      <c r="E672" s="56"/>
      <c r="F672" s="56"/>
      <c r="G672" s="56"/>
      <c r="H672" s="56"/>
      <c r="I672" s="56"/>
      <c r="J672" s="56"/>
      <c r="K672" s="56"/>
      <c r="L672" s="56"/>
      <c r="M672" s="56"/>
      <c r="N672" s="56"/>
      <c r="O672" s="56"/>
      <c r="P672" s="56"/>
      <c r="Q672" s="56"/>
      <c r="R672" s="2206"/>
      <c r="S672" s="234"/>
    </row>
    <row r="673" spans="1:19">
      <c r="A673" s="234"/>
      <c r="B673" s="56"/>
      <c r="C673" s="56"/>
      <c r="D673" s="56"/>
      <c r="E673" s="56"/>
      <c r="F673" s="56"/>
      <c r="G673" s="56"/>
      <c r="H673" s="56"/>
      <c r="I673" s="56"/>
      <c r="J673" s="56"/>
      <c r="K673" s="56"/>
      <c r="L673" s="56"/>
      <c r="M673" s="56"/>
      <c r="N673" s="56"/>
      <c r="O673" s="56"/>
      <c r="P673" s="56"/>
      <c r="Q673" s="56"/>
      <c r="R673" s="2206"/>
      <c r="S673" s="234"/>
    </row>
    <row r="674" spans="1:19">
      <c r="A674" s="234"/>
      <c r="B674" s="56"/>
      <c r="C674" s="56"/>
      <c r="D674" s="56"/>
      <c r="E674" s="56"/>
      <c r="F674" s="56"/>
      <c r="G674" s="56"/>
      <c r="H674" s="56"/>
      <c r="I674" s="56"/>
      <c r="J674" s="56"/>
      <c r="K674" s="56"/>
      <c r="L674" s="56"/>
      <c r="M674" s="56"/>
      <c r="N674" s="56"/>
      <c r="O674" s="56"/>
      <c r="P674" s="56"/>
      <c r="Q674" s="56"/>
      <c r="R674" s="2206"/>
      <c r="S674" s="234"/>
    </row>
    <row r="675" spans="1:19">
      <c r="A675" s="234"/>
      <c r="B675" s="56"/>
      <c r="C675" s="56"/>
      <c r="D675" s="56"/>
      <c r="E675" s="56"/>
      <c r="F675" s="56"/>
      <c r="G675" s="56"/>
      <c r="H675" s="56"/>
      <c r="I675" s="56"/>
      <c r="J675" s="56"/>
      <c r="K675" s="56"/>
      <c r="L675" s="56"/>
      <c r="M675" s="56"/>
      <c r="N675" s="56"/>
      <c r="O675" s="56"/>
      <c r="P675" s="56"/>
      <c r="Q675" s="56"/>
      <c r="R675" s="2206"/>
      <c r="S675" s="234"/>
    </row>
    <row r="676" spans="1:19">
      <c r="A676" s="234"/>
      <c r="B676" s="56"/>
      <c r="C676" s="56"/>
      <c r="D676" s="56"/>
      <c r="E676" s="56"/>
      <c r="F676" s="56"/>
      <c r="G676" s="56"/>
      <c r="H676" s="56"/>
      <c r="I676" s="56"/>
      <c r="J676" s="56"/>
      <c r="K676" s="56"/>
      <c r="L676" s="56"/>
      <c r="M676" s="56"/>
      <c r="N676" s="56"/>
      <c r="O676" s="56"/>
      <c r="P676" s="56"/>
      <c r="Q676" s="56"/>
      <c r="R676" s="2206"/>
      <c r="S676" s="234"/>
    </row>
    <row r="677" spans="1:19">
      <c r="A677" s="234"/>
      <c r="B677" s="56"/>
      <c r="C677" s="56"/>
      <c r="D677" s="56"/>
      <c r="E677" s="56"/>
      <c r="F677" s="56"/>
      <c r="G677" s="56"/>
      <c r="H677" s="56"/>
      <c r="I677" s="56"/>
      <c r="J677" s="56"/>
      <c r="K677" s="56"/>
      <c r="L677" s="56"/>
      <c r="M677" s="56"/>
      <c r="N677" s="56"/>
      <c r="O677" s="56"/>
      <c r="P677" s="56"/>
      <c r="Q677" s="56"/>
      <c r="R677" s="2206"/>
      <c r="S677" s="234"/>
    </row>
    <row r="678" spans="1:19">
      <c r="A678" s="234"/>
      <c r="B678" s="56"/>
      <c r="C678" s="56"/>
      <c r="D678" s="56"/>
      <c r="E678" s="56"/>
      <c r="F678" s="56"/>
      <c r="G678" s="56"/>
      <c r="H678" s="56"/>
      <c r="I678" s="56"/>
      <c r="J678" s="56"/>
      <c r="K678" s="56"/>
      <c r="L678" s="56"/>
      <c r="M678" s="56"/>
      <c r="N678" s="56"/>
      <c r="O678" s="56"/>
      <c r="P678" s="56"/>
      <c r="Q678" s="56"/>
      <c r="R678" s="2206"/>
      <c r="S678" s="234"/>
    </row>
    <row r="679" spans="1:19">
      <c r="A679" s="234"/>
      <c r="B679" s="56"/>
      <c r="C679" s="56"/>
      <c r="D679" s="56"/>
      <c r="E679" s="56"/>
      <c r="F679" s="56"/>
      <c r="G679" s="56"/>
      <c r="H679" s="56"/>
      <c r="I679" s="56"/>
      <c r="J679" s="56"/>
      <c r="K679" s="56"/>
      <c r="L679" s="56"/>
      <c r="M679" s="56"/>
      <c r="N679" s="56"/>
      <c r="O679" s="56"/>
      <c r="P679" s="56"/>
      <c r="Q679" s="56"/>
      <c r="R679" s="2206"/>
      <c r="S679" s="234"/>
    </row>
    <row r="680" spans="1:19">
      <c r="A680" s="234"/>
      <c r="B680" s="56"/>
      <c r="C680" s="56"/>
      <c r="D680" s="56"/>
      <c r="E680" s="56"/>
      <c r="F680" s="56"/>
      <c r="G680" s="56"/>
      <c r="H680" s="56"/>
      <c r="I680" s="56"/>
      <c r="J680" s="56"/>
      <c r="K680" s="56"/>
      <c r="L680" s="56"/>
      <c r="M680" s="56"/>
      <c r="N680" s="56"/>
      <c r="O680" s="56"/>
      <c r="P680" s="56"/>
      <c r="Q680" s="56"/>
      <c r="R680" s="2206"/>
      <c r="S680" s="234"/>
    </row>
    <row r="681" spans="1:19">
      <c r="A681" s="234"/>
      <c r="B681" s="56"/>
      <c r="C681" s="56"/>
      <c r="D681" s="56"/>
      <c r="E681" s="56"/>
      <c r="F681" s="56"/>
      <c r="G681" s="56"/>
      <c r="H681" s="56"/>
      <c r="I681" s="56"/>
      <c r="J681" s="56"/>
      <c r="K681" s="56"/>
      <c r="L681" s="56"/>
      <c r="M681" s="56"/>
      <c r="N681" s="56"/>
      <c r="O681" s="56"/>
      <c r="P681" s="56"/>
      <c r="Q681" s="56"/>
      <c r="R681" s="2206"/>
      <c r="S681" s="234"/>
    </row>
    <row r="682" spans="1:19">
      <c r="A682" s="234"/>
      <c r="B682" s="56"/>
      <c r="C682" s="56"/>
      <c r="D682" s="56"/>
      <c r="E682" s="56"/>
      <c r="F682" s="56"/>
      <c r="G682" s="56"/>
      <c r="H682" s="56"/>
      <c r="I682" s="56"/>
      <c r="J682" s="56"/>
      <c r="K682" s="56"/>
      <c r="L682" s="56"/>
      <c r="M682" s="56"/>
      <c r="N682" s="56"/>
      <c r="O682" s="56"/>
      <c r="P682" s="56"/>
      <c r="Q682" s="56"/>
      <c r="R682" s="2206"/>
      <c r="S682" s="234"/>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8" zoomScale="80" zoomScaleNormal="80" workbookViewId="0">
      <selection activeCell="I47" sqref="I47"/>
    </sheetView>
  </sheetViews>
  <sheetFormatPr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82" t="s">
        <v>755</v>
      </c>
      <c r="B1" s="483" t="s">
        <v>843</v>
      </c>
      <c r="C1" s="484" t="s">
        <v>757</v>
      </c>
      <c r="D1" s="2356" t="s">
        <v>3293</v>
      </c>
      <c r="E1" s="486"/>
      <c r="F1" s="2825" t="s">
        <v>2843</v>
      </c>
      <c r="G1" s="1582" t="s">
        <v>758</v>
      </c>
      <c r="H1" s="486"/>
      <c r="I1" s="486"/>
      <c r="J1" s="486"/>
      <c r="K1" s="487"/>
      <c r="L1" s="1543"/>
      <c r="M1" s="1544"/>
      <c r="N1" s="1544"/>
      <c r="O1" s="1544"/>
      <c r="P1" s="1545"/>
      <c r="Q1" s="1545"/>
      <c r="R1" s="1545"/>
      <c r="S1" s="1545"/>
      <c r="T1" s="1545"/>
      <c r="U1" s="1545"/>
      <c r="V1" s="1545"/>
      <c r="W1" s="1545"/>
      <c r="X1" s="1545"/>
      <c r="Y1" s="1545"/>
      <c r="Z1" s="1545"/>
      <c r="AA1" s="1545"/>
      <c r="AB1" s="1545"/>
      <c r="AC1" s="1546"/>
    </row>
    <row r="2" spans="1:29" s="1321" customFormat="1" ht="28.5" customHeight="1">
      <c r="A2" s="403" t="s">
        <v>450</v>
      </c>
      <c r="B2" s="830">
        <f>ROUND(B3*D3/10000,0)</f>
        <v>107089</v>
      </c>
      <c r="C2" s="2107"/>
      <c r="D2" s="2107"/>
      <c r="E2" s="2038"/>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1546"/>
    </row>
    <row r="3" spans="1:29" s="1321" customFormat="1" ht="28.5" customHeight="1" thickBot="1">
      <c r="A3" s="489" t="s">
        <v>503</v>
      </c>
      <c r="B3" s="490">
        <f>C49</f>
        <v>51912</v>
      </c>
      <c r="C3" s="832" t="s">
        <v>759</v>
      </c>
      <c r="D3" s="831">
        <f>SUMIF('数据-汇总表'!$C19:$C36,D1,'数据-汇总表'!$E19:$E36)</f>
        <v>20628.919999999998</v>
      </c>
      <c r="E3" s="2038"/>
      <c r="F3" s="2109"/>
      <c r="G3" s="2108"/>
      <c r="H3" s="2108"/>
      <c r="I3" s="2108"/>
      <c r="J3" s="2108"/>
      <c r="K3" s="2110"/>
      <c r="L3" s="2111"/>
      <c r="M3" s="2112"/>
      <c r="N3" s="2112"/>
      <c r="O3" s="2112"/>
      <c r="P3" s="1545"/>
      <c r="Q3" s="1545"/>
      <c r="R3" s="1545"/>
      <c r="S3" s="1545"/>
      <c r="T3" s="1545"/>
      <c r="U3" s="1545"/>
      <c r="V3" s="1545"/>
      <c r="W3" s="1545"/>
      <c r="X3" s="1545"/>
      <c r="Y3" s="1545"/>
      <c r="Z3" s="1545"/>
      <c r="AA3" s="1545"/>
      <c r="AB3" s="1545"/>
      <c r="AC3" s="408"/>
    </row>
    <row r="4" spans="1:29" ht="15">
      <c r="A4" s="492" t="s">
        <v>505</v>
      </c>
      <c r="B4" s="493"/>
      <c r="C4" s="3402" t="s">
        <v>506</v>
      </c>
      <c r="D4" s="3403"/>
      <c r="E4" s="3444" t="s">
        <v>507</v>
      </c>
      <c r="F4" s="3445"/>
      <c r="G4" s="3402" t="s">
        <v>508</v>
      </c>
      <c r="H4" s="3403"/>
      <c r="I4" s="3402" t="s">
        <v>509</v>
      </c>
      <c r="J4" s="3403"/>
      <c r="K4" s="494" t="s">
        <v>510</v>
      </c>
      <c r="L4" s="2113"/>
      <c r="M4" s="2114"/>
      <c r="N4" s="2114"/>
      <c r="O4" s="2114"/>
      <c r="P4" s="3404" t="s">
        <v>511</v>
      </c>
      <c r="Q4" s="3405"/>
      <c r="R4" s="3410" t="s">
        <v>507</v>
      </c>
      <c r="S4" s="3411"/>
      <c r="T4" s="3410" t="s">
        <v>508</v>
      </c>
      <c r="U4" s="3411"/>
      <c r="V4" s="3397" t="s">
        <v>509</v>
      </c>
      <c r="W4" s="3397"/>
      <c r="X4" s="1548"/>
      <c r="Y4" s="3410" t="s">
        <v>511</v>
      </c>
      <c r="Z4" s="3411"/>
      <c r="AA4" s="3399" t="s">
        <v>507</v>
      </c>
      <c r="AB4" s="3397" t="s">
        <v>508</v>
      </c>
      <c r="AC4" s="3399" t="s">
        <v>509</v>
      </c>
    </row>
    <row r="5" spans="1:29" ht="15">
      <c r="A5" s="495"/>
      <c r="B5" s="496"/>
      <c r="C5" s="3418" t="str">
        <f>'[1]不动产比较法-多层'!C5:D5</f>
        <v>昌平区南邵镇0303-07地块</v>
      </c>
      <c r="D5" s="3419"/>
      <c r="E5" s="3528" t="s">
        <v>3344</v>
      </c>
      <c r="F5" s="3529"/>
      <c r="G5" s="3515" t="s">
        <v>3345</v>
      </c>
      <c r="H5" s="3421"/>
      <c r="I5" s="3515" t="s">
        <v>3346</v>
      </c>
      <c r="J5" s="3421"/>
      <c r="K5" s="494"/>
      <c r="L5" s="2113"/>
      <c r="M5" s="2114"/>
      <c r="N5" s="2114"/>
      <c r="O5" s="2114"/>
      <c r="P5" s="3406"/>
      <c r="Q5" s="3407"/>
      <c r="R5" s="3412"/>
      <c r="S5" s="3413"/>
      <c r="T5" s="3412"/>
      <c r="U5" s="3413"/>
      <c r="V5" s="3397"/>
      <c r="W5" s="3397"/>
      <c r="X5" s="1548"/>
      <c r="Y5" s="3412"/>
      <c r="Z5" s="3413"/>
      <c r="AA5" s="3400"/>
      <c r="AB5" s="3397"/>
      <c r="AC5" s="3400"/>
    </row>
    <row r="6" spans="1:29" ht="15.75" thickBot="1">
      <c r="A6" s="497"/>
      <c r="B6" s="498"/>
      <c r="C6" s="3418" t="str">
        <f>'[1]不动产比较法-多层'!C6:D6</f>
        <v>昌平区南邵镇（中关村科技园昌平园东区二期）0303-07地块住宅混合公建用地（配建“限价商品住房”）</v>
      </c>
      <c r="D6" s="3419"/>
      <c r="E6" s="3516" t="s">
        <v>3347</v>
      </c>
      <c r="F6" s="3527"/>
      <c r="G6" s="3514" t="s">
        <v>3348</v>
      </c>
      <c r="H6" s="3526"/>
      <c r="I6" s="3514" t="s">
        <v>3349</v>
      </c>
      <c r="J6" s="3526"/>
      <c r="K6" s="494" t="s">
        <v>517</v>
      </c>
      <c r="L6" s="2113"/>
      <c r="M6" s="2114"/>
      <c r="N6" s="2114"/>
      <c r="O6" s="2114"/>
      <c r="P6" s="3408"/>
      <c r="Q6" s="3409"/>
      <c r="R6" s="3412"/>
      <c r="S6" s="3413"/>
      <c r="T6" s="3414"/>
      <c r="U6" s="3415"/>
      <c r="V6" s="3397"/>
      <c r="W6" s="3397"/>
      <c r="X6" s="1548"/>
      <c r="Y6" s="3414"/>
      <c r="Z6" s="3415"/>
      <c r="AA6" s="3401"/>
      <c r="AB6" s="3397"/>
      <c r="AC6" s="3401"/>
    </row>
    <row r="7" spans="1:29" s="1199" customFormat="1" ht="15.75" thickBot="1">
      <c r="A7" s="2929"/>
      <c r="B7" s="2936" t="s">
        <v>518</v>
      </c>
      <c r="C7" s="499">
        <f>'数据-取费表'!B2</f>
        <v>42898</v>
      </c>
      <c r="D7" s="500">
        <v>100</v>
      </c>
      <c r="E7" s="501">
        <f>C7</f>
        <v>42898</v>
      </c>
      <c r="F7" s="502">
        <f>SUMIF(58:58,YEAR(E7)&amp;"-"&amp;MONTH(E7),59:59)</f>
        <v>100</v>
      </c>
      <c r="G7" s="501">
        <f>E7</f>
        <v>42898</v>
      </c>
      <c r="H7" s="500">
        <f>SUMIF(58:58,YEAR(G7)&amp;"-"&amp;MONTH(G7),59:59)</f>
        <v>100</v>
      </c>
      <c r="I7" s="501">
        <v>42795</v>
      </c>
      <c r="J7" s="500">
        <f>SUMIF(58:58,YEAR(I7)&amp;"-"&amp;MONTH(I7),59:59)</f>
        <v>98.5</v>
      </c>
      <c r="K7" s="504"/>
      <c r="L7" s="2115"/>
      <c r="M7" s="2116"/>
      <c r="N7" s="2116"/>
      <c r="O7" s="2116"/>
      <c r="P7" s="3431" t="s">
        <v>519</v>
      </c>
      <c r="Q7" s="3433"/>
      <c r="R7" s="1549" t="s">
        <v>8</v>
      </c>
      <c r="S7" s="1550">
        <f t="shared" ref="S7:S15" si="0">F7</f>
        <v>100</v>
      </c>
      <c r="T7" s="1549" t="s">
        <v>8</v>
      </c>
      <c r="U7" s="1550">
        <f t="shared" ref="U7:U15" si="1">H7</f>
        <v>100</v>
      </c>
      <c r="V7" s="1549" t="s">
        <v>8</v>
      </c>
      <c r="W7" s="1550">
        <f t="shared" ref="W7:W15" si="2">J7</f>
        <v>98.5</v>
      </c>
      <c r="X7" s="1551"/>
      <c r="Y7" s="3431" t="s">
        <v>519</v>
      </c>
      <c r="Z7" s="3432"/>
      <c r="AA7" s="1552">
        <f>D7/F7</f>
        <v>1</v>
      </c>
      <c r="AB7" s="1552">
        <f>D7/H7</f>
        <v>1</v>
      </c>
      <c r="AC7" s="1552">
        <f>D7/J7</f>
        <v>1.015228426395939</v>
      </c>
    </row>
    <row r="8" spans="1:29" s="1199" customFormat="1" ht="15.75" thickBot="1">
      <c r="A8" s="2930"/>
      <c r="B8" s="2937" t="s">
        <v>520</v>
      </c>
      <c r="C8" s="505" t="s">
        <v>572</v>
      </c>
      <c r="D8" s="500">
        <v>100</v>
      </c>
      <c r="E8" s="3144" t="s">
        <v>3266</v>
      </c>
      <c r="F8" s="502">
        <f>SUMIF(61:61,E8,62:62)-SUMIF(61:61,C8,62:62)+100</f>
        <v>100</v>
      </c>
      <c r="G8" s="3144" t="s">
        <v>3314</v>
      </c>
      <c r="H8" s="500">
        <f>SUMIF(61:61,G8,62:62)-SUMIF(61:61,C8,62:62)+100</f>
        <v>100</v>
      </c>
      <c r="I8" s="3144" t="s">
        <v>3314</v>
      </c>
      <c r="J8" s="500">
        <f>SUMIF(61:61,I8,62:62)-SUMIF(61:61,C8,62:62)+100</f>
        <v>100</v>
      </c>
      <c r="K8" s="504"/>
      <c r="L8" s="2115"/>
      <c r="M8" s="2116"/>
      <c r="N8" s="2116"/>
      <c r="O8" s="2116"/>
      <c r="P8" s="3431" t="s">
        <v>522</v>
      </c>
      <c r="Q8" s="3432"/>
      <c r="R8" s="1549" t="s">
        <v>8</v>
      </c>
      <c r="S8" s="1550">
        <f t="shared" si="0"/>
        <v>100</v>
      </c>
      <c r="T8" s="1549" t="s">
        <v>8</v>
      </c>
      <c r="U8" s="1550">
        <f t="shared" si="1"/>
        <v>100</v>
      </c>
      <c r="V8" s="1549" t="s">
        <v>8</v>
      </c>
      <c r="W8" s="1550">
        <f t="shared" si="2"/>
        <v>100</v>
      </c>
      <c r="X8" s="1551"/>
      <c r="Y8" s="3431" t="s">
        <v>522</v>
      </c>
      <c r="Z8" s="3432"/>
      <c r="AA8" s="1552">
        <f t="shared" ref="AA8:AA46" si="3">D8/F8</f>
        <v>1</v>
      </c>
      <c r="AB8" s="1552">
        <f t="shared" ref="AB8:AB46" si="4">D8/H8</f>
        <v>1</v>
      </c>
      <c r="AC8" s="1552">
        <f t="shared" ref="AC8:AC46" si="5">D8/J8</f>
        <v>1</v>
      </c>
    </row>
    <row r="9" spans="1:29" s="1199" customFormat="1" ht="15">
      <c r="A9" s="2931"/>
      <c r="B9" s="2938" t="s">
        <v>3039</v>
      </c>
      <c r="C9" s="837" t="s">
        <v>844</v>
      </c>
      <c r="D9" s="231">
        <v>100</v>
      </c>
      <c r="E9" s="3191" t="s">
        <v>845</v>
      </c>
      <c r="F9" s="231">
        <f>SUMIF(63:63,E9,64:64)-SUMIF(63:63,C9,64:64)+100</f>
        <v>100</v>
      </c>
      <c r="G9" s="3184" t="s">
        <v>1886</v>
      </c>
      <c r="H9" s="231">
        <f>SUMIF(63:63,G9,64:64)-SUMIF(63:63,C9,64:64)+100</f>
        <v>100</v>
      </c>
      <c r="I9" s="3184" t="s">
        <v>845</v>
      </c>
      <c r="J9" s="231">
        <f>SUMIF(63:63,I9,64:64)-SUMIF(63:63,C9,64:64)+100</f>
        <v>100</v>
      </c>
      <c r="K9" s="504"/>
      <c r="L9" s="2115"/>
      <c r="M9" s="2116"/>
      <c r="N9" s="2116"/>
      <c r="O9" s="2117"/>
      <c r="P9" s="3396" t="s">
        <v>524</v>
      </c>
      <c r="Q9" s="1130" t="str">
        <f t="shared" ref="Q9:Q15" si="6">B9</f>
        <v>用途</v>
      </c>
      <c r="R9" s="1549" t="s">
        <v>8</v>
      </c>
      <c r="S9" s="1550">
        <f t="shared" si="0"/>
        <v>100</v>
      </c>
      <c r="T9" s="1549" t="s">
        <v>8</v>
      </c>
      <c r="U9" s="1550">
        <f t="shared" si="1"/>
        <v>100</v>
      </c>
      <c r="V9" s="1549" t="s">
        <v>8</v>
      </c>
      <c r="W9" s="1550">
        <f t="shared" si="2"/>
        <v>100</v>
      </c>
      <c r="X9" s="1551"/>
      <c r="Y9" s="3343" t="s">
        <v>525</v>
      </c>
      <c r="Z9" s="1129" t="str">
        <f t="shared" ref="Z9:Z15" si="7">Q9</f>
        <v>用途</v>
      </c>
      <c r="AA9" s="1552">
        <f t="shared" si="3"/>
        <v>1</v>
      </c>
      <c r="AB9" s="1552">
        <f t="shared" si="4"/>
        <v>1</v>
      </c>
      <c r="AC9" s="1552">
        <f t="shared" si="5"/>
        <v>1</v>
      </c>
    </row>
    <row r="10" spans="1:29" s="1323" customFormat="1" ht="27">
      <c r="A10" s="2932"/>
      <c r="B10" s="2937" t="s">
        <v>3040</v>
      </c>
      <c r="C10" s="841" t="s">
        <v>846</v>
      </c>
      <c r="D10" s="232">
        <v>100</v>
      </c>
      <c r="E10" s="3181" t="s">
        <v>3350</v>
      </c>
      <c r="F10" s="232">
        <f>SUMIF(65:65,E10,66:66)-SUMIF(65:65,C10,66:66)+100</f>
        <v>100</v>
      </c>
      <c r="G10" s="3185" t="s">
        <v>3350</v>
      </c>
      <c r="H10" s="232">
        <f>SUMIF(65:65,G10,66:66)-SUMIF(65:65,C10,66:66)+100</f>
        <v>100</v>
      </c>
      <c r="I10" s="3181" t="s">
        <v>3350</v>
      </c>
      <c r="J10" s="232">
        <f>SUMIF(65:65,I10,66:66)-SUMIF(65:65,C10,66:66)+100</f>
        <v>100</v>
      </c>
      <c r="K10" s="564">
        <f>'[1]不动产比较法-多层'!K10</f>
        <v>2</v>
      </c>
      <c r="L10" s="2118"/>
      <c r="M10" s="2158"/>
      <c r="N10" s="2158"/>
      <c r="O10" s="2119"/>
      <c r="P10" s="3396"/>
      <c r="Q10" s="1130" t="str">
        <f t="shared" si="6"/>
        <v>土地使用年限（年）</v>
      </c>
      <c r="R10" s="1549" t="s">
        <v>8</v>
      </c>
      <c r="S10" s="1550">
        <f t="shared" si="0"/>
        <v>100</v>
      </c>
      <c r="T10" s="1549" t="s">
        <v>8</v>
      </c>
      <c r="U10" s="1550">
        <f t="shared" si="1"/>
        <v>100</v>
      </c>
      <c r="V10" s="1549" t="s">
        <v>8</v>
      </c>
      <c r="W10" s="1550">
        <f t="shared" si="2"/>
        <v>100</v>
      </c>
      <c r="X10" s="1551"/>
      <c r="Y10" s="3343"/>
      <c r="Z10" s="1129" t="str">
        <f t="shared" si="7"/>
        <v>土地使用年限（年）</v>
      </c>
      <c r="AA10" s="1552">
        <f t="shared" si="3"/>
        <v>1</v>
      </c>
      <c r="AB10" s="1552">
        <f t="shared" si="4"/>
        <v>1</v>
      </c>
      <c r="AC10" s="1552">
        <f t="shared" si="5"/>
        <v>1</v>
      </c>
    </row>
    <row r="11" spans="1:29" ht="15">
      <c r="A11" s="2933"/>
      <c r="B11" s="2937" t="s">
        <v>3041</v>
      </c>
      <c r="C11" s="513">
        <v>1.5</v>
      </c>
      <c r="D11" s="232">
        <v>100</v>
      </c>
      <c r="E11" s="513">
        <v>2.2000000000000002</v>
      </c>
      <c r="F11" s="232">
        <f>LOOKUP(E11,68:68,69:69)-LOOKUP(C11,68:68,69:69)+100</f>
        <v>99</v>
      </c>
      <c r="G11" s="514">
        <v>2</v>
      </c>
      <c r="H11" s="232">
        <f>LOOKUP(G11,68:68,69:69)-LOOKUP(C11,68:68,69:69)+100</f>
        <v>99</v>
      </c>
      <c r="I11" s="513">
        <v>2.75</v>
      </c>
      <c r="J11" s="232">
        <f>LOOKUP(I11,68:68,69:69)-LOOKUP(C11,68:68,69:69)+100</f>
        <v>99</v>
      </c>
      <c r="K11" s="564">
        <f>'[1]不动产比较法-多层'!K11</f>
        <v>1</v>
      </c>
      <c r="L11" s="2120"/>
      <c r="M11" s="2114"/>
      <c r="N11" s="2114"/>
      <c r="O11" s="2121"/>
      <c r="P11" s="3396"/>
      <c r="Q11" s="1130" t="str">
        <f t="shared" si="6"/>
        <v>容积率</v>
      </c>
      <c r="R11" s="1549" t="s">
        <v>8</v>
      </c>
      <c r="S11" s="1550">
        <f t="shared" si="0"/>
        <v>99</v>
      </c>
      <c r="T11" s="1549" t="s">
        <v>8</v>
      </c>
      <c r="U11" s="1550">
        <f t="shared" si="1"/>
        <v>99</v>
      </c>
      <c r="V11" s="1549" t="s">
        <v>8</v>
      </c>
      <c r="W11" s="1550">
        <f t="shared" si="2"/>
        <v>99</v>
      </c>
      <c r="X11" s="1551"/>
      <c r="Y11" s="3343"/>
      <c r="Z11" s="1129" t="str">
        <f t="shared" si="7"/>
        <v>容积率</v>
      </c>
      <c r="AA11" s="1552">
        <f t="shared" si="3"/>
        <v>1.0101010101010102</v>
      </c>
      <c r="AB11" s="1552">
        <f t="shared" si="4"/>
        <v>1.0101010101010102</v>
      </c>
      <c r="AC11" s="1552">
        <f t="shared" si="5"/>
        <v>1.0101010101010102</v>
      </c>
    </row>
    <row r="12" spans="1:29" s="1199" customFormat="1" ht="15">
      <c r="A12" s="2934"/>
      <c r="B12" s="2940"/>
      <c r="C12" s="508"/>
      <c r="D12" s="518">
        <v>100</v>
      </c>
      <c r="E12" s="519"/>
      <c r="F12" s="232">
        <f>SUMIF(70:70,E12,71:71)-SUMIF(70:70,C12,71:71)+100</f>
        <v>100</v>
      </c>
      <c r="G12" s="891"/>
      <c r="H12" s="232">
        <f>SUMIF(70:70,G12,71:71)-SUMIF(70:70,C12,71:71)+100</f>
        <v>100</v>
      </c>
      <c r="I12" s="519"/>
      <c r="J12" s="232">
        <f>SUMIF(70:70,I12,71:71)-SUMIF(70:70,C12,71:71)+100</f>
        <v>100</v>
      </c>
      <c r="K12" s="561"/>
      <c r="L12" s="2115"/>
      <c r="M12" s="2116"/>
      <c r="N12" s="2116"/>
      <c r="O12" s="2117"/>
      <c r="P12" s="3396"/>
      <c r="Q12" s="1130">
        <f t="shared" si="6"/>
        <v>0</v>
      </c>
      <c r="R12" s="1549" t="s">
        <v>8</v>
      </c>
      <c r="S12" s="1550">
        <f t="shared" si="0"/>
        <v>100</v>
      </c>
      <c r="T12" s="1549" t="s">
        <v>8</v>
      </c>
      <c r="U12" s="1550">
        <f t="shared" si="1"/>
        <v>100</v>
      </c>
      <c r="V12" s="1549" t="s">
        <v>8</v>
      </c>
      <c r="W12" s="1550">
        <f t="shared" si="2"/>
        <v>100</v>
      </c>
      <c r="X12" s="1551"/>
      <c r="Y12" s="3343"/>
      <c r="Z12" s="1129">
        <f t="shared" si="7"/>
        <v>0</v>
      </c>
      <c r="AA12" s="1552">
        <f>D12/F12</f>
        <v>1</v>
      </c>
      <c r="AB12" s="1552">
        <f>D12/H12</f>
        <v>1</v>
      </c>
      <c r="AC12" s="1552">
        <f>D12/J12</f>
        <v>1</v>
      </c>
    </row>
    <row r="13" spans="1:29" ht="15">
      <c r="A13" s="2934"/>
      <c r="B13" s="2940"/>
      <c r="C13" s="519"/>
      <c r="D13" s="520">
        <v>100</v>
      </c>
      <c r="E13" s="519"/>
      <c r="F13" s="232">
        <f>SUMIF(72:72,E13,73:73)-SUMIF(72:72,C13,73:73)+100</f>
        <v>100</v>
      </c>
      <c r="G13" s="891"/>
      <c r="H13" s="520">
        <f>SUMIF(72:72,G13,73:73)-SUMIF(72:72,C13,73:73)+100</f>
        <v>100</v>
      </c>
      <c r="I13" s="519"/>
      <c r="J13" s="520">
        <f>SUMIF(72:72,I13,73:73)-SUMIF(72:72,C13,73:73)+100</f>
        <v>100</v>
      </c>
      <c r="K13" s="561"/>
      <c r="L13" s="2122"/>
      <c r="M13" s="2114"/>
      <c r="N13" s="2114"/>
      <c r="O13" s="2121"/>
      <c r="P13" s="3396"/>
      <c r="Q13" s="1130">
        <f t="shared" si="6"/>
        <v>0</v>
      </c>
      <c r="R13" s="1549" t="s">
        <v>8</v>
      </c>
      <c r="S13" s="1550">
        <f t="shared" si="0"/>
        <v>100</v>
      </c>
      <c r="T13" s="1549" t="s">
        <v>8</v>
      </c>
      <c r="U13" s="1550">
        <f t="shared" si="1"/>
        <v>100</v>
      </c>
      <c r="V13" s="1549" t="s">
        <v>8</v>
      </c>
      <c r="W13" s="1550">
        <f t="shared" si="2"/>
        <v>100</v>
      </c>
      <c r="X13" s="1551"/>
      <c r="Y13" s="3343"/>
      <c r="Z13" s="1129">
        <f t="shared" si="7"/>
        <v>0</v>
      </c>
      <c r="AA13" s="1552">
        <f t="shared" si="3"/>
        <v>1</v>
      </c>
      <c r="AB13" s="1552">
        <f t="shared" si="4"/>
        <v>1</v>
      </c>
      <c r="AC13" s="1552">
        <f t="shared" si="5"/>
        <v>1</v>
      </c>
    </row>
    <row r="14" spans="1:29" ht="15.75" thickBot="1">
      <c r="A14" s="2935"/>
      <c r="B14" s="2941"/>
      <c r="C14" s="525"/>
      <c r="D14" s="526">
        <v>100</v>
      </c>
      <c r="E14" s="525"/>
      <c r="F14" s="526">
        <f>SUMIF(74:74,E14,75:75)-SUMIF(74:74,C14,75:75)+100</f>
        <v>100</v>
      </c>
      <c r="G14" s="891"/>
      <c r="H14" s="526">
        <f>SUMIF(74:74,G14,75:75)-SUMIF(74:74,C14,75:75)+100</f>
        <v>100</v>
      </c>
      <c r="I14" s="519"/>
      <c r="J14" s="526">
        <f>SUMIF(74:74,I14,75:75)-SUMIF(74:74,C14,75:75)+100</f>
        <v>100</v>
      </c>
      <c r="K14" s="561"/>
      <c r="L14" s="2122"/>
      <c r="M14" s="2114"/>
      <c r="N14" s="2114"/>
      <c r="O14" s="2121"/>
      <c r="P14" s="3396"/>
      <c r="Q14" s="1130">
        <f t="shared" si="6"/>
        <v>0</v>
      </c>
      <c r="R14" s="1549" t="s">
        <v>8</v>
      </c>
      <c r="S14" s="1550">
        <f t="shared" si="0"/>
        <v>100</v>
      </c>
      <c r="T14" s="1549" t="s">
        <v>8</v>
      </c>
      <c r="U14" s="1550">
        <f t="shared" si="1"/>
        <v>100</v>
      </c>
      <c r="V14" s="1549" t="s">
        <v>8</v>
      </c>
      <c r="W14" s="1550">
        <f t="shared" si="2"/>
        <v>100</v>
      </c>
      <c r="X14" s="1551"/>
      <c r="Y14" s="3343"/>
      <c r="Z14" s="1129">
        <f t="shared" si="7"/>
        <v>0</v>
      </c>
      <c r="AA14" s="1552">
        <f t="shared" si="3"/>
        <v>1</v>
      </c>
      <c r="AB14" s="1552">
        <f t="shared" si="4"/>
        <v>1</v>
      </c>
      <c r="AC14" s="1552">
        <f t="shared" si="5"/>
        <v>1</v>
      </c>
    </row>
    <row r="15" spans="1:29" ht="85.5">
      <c r="A15" s="2927" t="s">
        <v>3037</v>
      </c>
      <c r="B15" s="157" t="s">
        <v>532</v>
      </c>
      <c r="C15" s="847" t="str">
        <f>估价对象房地状况!C4</f>
        <v>估价对象周边商业用地较少，周边2km仅有小超市、商业规模较小，综合评价商业繁华度较差</v>
      </c>
      <c r="D15" s="529">
        <v>100</v>
      </c>
      <c r="E15" s="3201" t="s">
        <v>3351</v>
      </c>
      <c r="F15" s="531">
        <f>SUMIF(76:76,E16,77:77)-SUMIF(76:76,C16,77:77)+100</f>
        <v>100</v>
      </c>
      <c r="G15" s="3203" t="s">
        <v>3351</v>
      </c>
      <c r="H15" s="529">
        <f>SUMIF(76:76,G16,77:77)-SUMIF(76:76,C16,77:77)+100</f>
        <v>100</v>
      </c>
      <c r="I15" s="3201" t="s">
        <v>3359</v>
      </c>
      <c r="J15" s="529">
        <f>SUMIF(76:76,I16,77:77)-SUMIF(76:76,C16,77:77)+100</f>
        <v>110</v>
      </c>
      <c r="K15" s="878">
        <f>'[1]比较法-住宅、综合'!K19</f>
        <v>5</v>
      </c>
      <c r="L15" s="2122"/>
      <c r="M15" s="2114"/>
      <c r="N15" s="2114"/>
      <c r="O15" s="2121"/>
      <c r="P15" s="3434" t="s">
        <v>529</v>
      </c>
      <c r="Q15" s="1553" t="str">
        <f t="shared" si="6"/>
        <v>商业繁华度</v>
      </c>
      <c r="R15" s="1554" t="s">
        <v>8</v>
      </c>
      <c r="S15" s="1555">
        <f t="shared" si="0"/>
        <v>100</v>
      </c>
      <c r="T15" s="1554" t="s">
        <v>8</v>
      </c>
      <c r="U15" s="1555">
        <f t="shared" si="1"/>
        <v>100</v>
      </c>
      <c r="V15" s="1554" t="s">
        <v>8</v>
      </c>
      <c r="W15" s="1555">
        <f t="shared" si="2"/>
        <v>110</v>
      </c>
      <c r="X15" s="1548"/>
      <c r="Y15" s="3434" t="s">
        <v>529</v>
      </c>
      <c r="Z15" s="1556" t="str">
        <f t="shared" si="7"/>
        <v>商业繁华度</v>
      </c>
      <c r="AA15" s="1557">
        <f t="shared" si="3"/>
        <v>1</v>
      </c>
      <c r="AB15" s="1557">
        <f t="shared" si="4"/>
        <v>1</v>
      </c>
      <c r="AC15" s="1557">
        <f t="shared" si="5"/>
        <v>0.90909090909090906</v>
      </c>
    </row>
    <row r="16" spans="1:29" ht="15">
      <c r="A16" s="512"/>
      <c r="B16" s="849"/>
      <c r="C16" s="556" t="s">
        <v>1075</v>
      </c>
      <c r="D16" s="535"/>
      <c r="E16" s="556" t="s">
        <v>1075</v>
      </c>
      <c r="F16" s="537"/>
      <c r="G16" s="556" t="s">
        <v>1075</v>
      </c>
      <c r="H16" s="539"/>
      <c r="I16" s="556" t="s">
        <v>531</v>
      </c>
      <c r="J16" s="535"/>
      <c r="K16" s="879"/>
      <c r="L16" s="2122"/>
      <c r="M16" s="2114"/>
      <c r="N16" s="2114"/>
      <c r="O16" s="2121"/>
      <c r="P16" s="3435"/>
      <c r="Q16" s="1553"/>
      <c r="R16" s="1554"/>
      <c r="S16" s="1555"/>
      <c r="T16" s="1554"/>
      <c r="U16" s="1555"/>
      <c r="V16" s="1554"/>
      <c r="W16" s="1555"/>
      <c r="X16" s="1548"/>
      <c r="Y16" s="3435"/>
      <c r="Z16" s="1556"/>
      <c r="AA16" s="1557">
        <v>1</v>
      </c>
      <c r="AB16" s="1557">
        <v>1</v>
      </c>
      <c r="AC16" s="1557">
        <v>1</v>
      </c>
    </row>
    <row r="17" spans="1:29" ht="128.25">
      <c r="A17" s="512"/>
      <c r="B17" s="851" t="s">
        <v>279</v>
      </c>
      <c r="C17" s="852" t="str">
        <f>估价对象房地状况!C6</f>
        <v>估价对象周边有326、643等公交线路、紧邻昌平线，公共交通通达情况；项目自身有停车位、停车便捷程度较好，综合评价交通便捷度较好</v>
      </c>
      <c r="D17" s="539">
        <v>100</v>
      </c>
      <c r="E17" s="3151" t="s">
        <v>3320</v>
      </c>
      <c r="F17" s="543">
        <f>SUMIF(78:78,E18,79:79)-SUMIF(78:78,C18,79:79)+100</f>
        <v>100</v>
      </c>
      <c r="G17" s="3146" t="s">
        <v>3356</v>
      </c>
      <c r="H17" s="545">
        <f>SUMIF(78:78,G18,79:79)-SUMIF(78:78,C18,79:79)+100</f>
        <v>98</v>
      </c>
      <c r="I17" s="3151" t="s">
        <v>3360</v>
      </c>
      <c r="J17" s="545">
        <f>SUMIF(78:78,I18,79:79)-SUMIF(78:78,C18,79:79)+100</f>
        <v>100</v>
      </c>
      <c r="K17" s="878">
        <f>'[1]不动产比较法-多层'!K17</f>
        <v>2</v>
      </c>
      <c r="L17" s="2122"/>
      <c r="M17" s="2114"/>
      <c r="N17" s="2114"/>
      <c r="O17" s="2121"/>
      <c r="P17" s="3435"/>
      <c r="Q17" s="1553" t="str">
        <f>B17</f>
        <v>交通便捷度</v>
      </c>
      <c r="R17" s="1554" t="s">
        <v>8</v>
      </c>
      <c r="S17" s="1555">
        <f>F17</f>
        <v>100</v>
      </c>
      <c r="T17" s="1554" t="s">
        <v>8</v>
      </c>
      <c r="U17" s="1555">
        <f>H17</f>
        <v>98</v>
      </c>
      <c r="V17" s="1554" t="s">
        <v>8</v>
      </c>
      <c r="W17" s="1555">
        <f>J17</f>
        <v>100</v>
      </c>
      <c r="X17" s="1548"/>
      <c r="Y17" s="3435"/>
      <c r="Z17" s="1556" t="str">
        <f>Q17</f>
        <v>交通便捷度</v>
      </c>
      <c r="AA17" s="1557">
        <f t="shared" si="3"/>
        <v>1</v>
      </c>
      <c r="AB17" s="1557">
        <f t="shared" si="4"/>
        <v>1.0204081632653061</v>
      </c>
      <c r="AC17" s="1557">
        <f t="shared" si="5"/>
        <v>1</v>
      </c>
    </row>
    <row r="18" spans="1:29" ht="15">
      <c r="A18" s="512"/>
      <c r="B18" s="575"/>
      <c r="C18" s="853" t="s">
        <v>1072</v>
      </c>
      <c r="D18" s="539"/>
      <c r="E18" s="547" t="s">
        <v>1072</v>
      </c>
      <c r="F18" s="543"/>
      <c r="G18" s="853" t="s">
        <v>1073</v>
      </c>
      <c r="H18" s="535"/>
      <c r="I18" s="547" t="s">
        <v>1072</v>
      </c>
      <c r="J18" s="535"/>
      <c r="K18" s="879"/>
      <c r="L18" s="2122"/>
      <c r="M18" s="2114"/>
      <c r="N18" s="2114"/>
      <c r="O18" s="2121"/>
      <c r="P18" s="3435"/>
      <c r="Q18" s="1553"/>
      <c r="R18" s="1554"/>
      <c r="S18" s="1555"/>
      <c r="T18" s="1554"/>
      <c r="U18" s="1555"/>
      <c r="V18" s="1554"/>
      <c r="W18" s="1555"/>
      <c r="X18" s="1548"/>
      <c r="Y18" s="3435"/>
      <c r="Z18" s="1556"/>
      <c r="AA18" s="1557">
        <v>1</v>
      </c>
      <c r="AB18" s="1557">
        <v>1</v>
      </c>
      <c r="AC18" s="1557">
        <v>1</v>
      </c>
    </row>
    <row r="19" spans="1:29" ht="42.75">
      <c r="A19" s="512"/>
      <c r="B19" s="2613" t="s">
        <v>2813</v>
      </c>
      <c r="C19" s="852" t="str">
        <f>估价对象房地状况!C7</f>
        <v>估价对象所在区域公共配套设施较齐备；</v>
      </c>
      <c r="D19" s="545">
        <v>100</v>
      </c>
      <c r="E19" s="571" t="s">
        <v>3263</v>
      </c>
      <c r="F19" s="551">
        <f>SUMIF(80:80,E20,81:81)-SUMIF(80:80,C20,81:81)+100</f>
        <v>100</v>
      </c>
      <c r="G19" s="3169" t="s">
        <v>3263</v>
      </c>
      <c r="H19" s="539">
        <f>SUMIF(80:80,G20,81:81)-SUMIF(80:80,C20,81:81)+100</f>
        <v>100</v>
      </c>
      <c r="I19" s="571" t="s">
        <v>3263</v>
      </c>
      <c r="J19" s="539">
        <f>SUMIF(80:80,I20,81:81)-SUMIF(80:80,C20,81:81)+100</f>
        <v>100</v>
      </c>
      <c r="K19" s="878">
        <f>'[1]不动产比较法-多层'!K19</f>
        <v>2</v>
      </c>
      <c r="L19" s="2122"/>
      <c r="M19" s="2114"/>
      <c r="N19" s="2114"/>
      <c r="O19" s="2121"/>
      <c r="P19" s="3435"/>
      <c r="Q19" s="1553" t="str">
        <f>B19</f>
        <v>公共配套设施</v>
      </c>
      <c r="R19" s="1554" t="s">
        <v>8</v>
      </c>
      <c r="S19" s="1555">
        <f>F19</f>
        <v>100</v>
      </c>
      <c r="T19" s="1554" t="s">
        <v>8</v>
      </c>
      <c r="U19" s="1555">
        <f>H19</f>
        <v>100</v>
      </c>
      <c r="V19" s="1554" t="s">
        <v>8</v>
      </c>
      <c r="W19" s="1555">
        <f>J19</f>
        <v>100</v>
      </c>
      <c r="X19" s="1548"/>
      <c r="Y19" s="3435"/>
      <c r="Z19" s="1556" t="str">
        <f>Q19</f>
        <v>公共配套设施</v>
      </c>
      <c r="AA19" s="1557">
        <f t="shared" si="3"/>
        <v>1</v>
      </c>
      <c r="AB19" s="1557">
        <f t="shared" si="4"/>
        <v>1</v>
      </c>
      <c r="AC19" s="1557">
        <f t="shared" si="5"/>
        <v>1</v>
      </c>
    </row>
    <row r="20" spans="1:29" ht="15">
      <c r="A20" s="512"/>
      <c r="B20" s="575"/>
      <c r="C20" s="556" t="s">
        <v>531</v>
      </c>
      <c r="D20" s="535"/>
      <c r="E20" s="534" t="s">
        <v>1072</v>
      </c>
      <c r="F20" s="537"/>
      <c r="G20" s="556" t="s">
        <v>1072</v>
      </c>
      <c r="H20" s="535"/>
      <c r="I20" s="534" t="s">
        <v>531</v>
      </c>
      <c r="J20" s="535"/>
      <c r="K20" s="879"/>
      <c r="L20" s="2122"/>
      <c r="M20" s="2114"/>
      <c r="N20" s="2114"/>
      <c r="O20" s="2121"/>
      <c r="P20" s="3435"/>
      <c r="Q20" s="1553"/>
      <c r="R20" s="1554"/>
      <c r="S20" s="1555"/>
      <c r="T20" s="1554"/>
      <c r="U20" s="1555"/>
      <c r="V20" s="1554"/>
      <c r="W20" s="1555"/>
      <c r="X20" s="1548"/>
      <c r="Y20" s="3435"/>
      <c r="Z20" s="1556"/>
      <c r="AA20" s="1557">
        <v>1</v>
      </c>
      <c r="AB20" s="1557">
        <v>1</v>
      </c>
      <c r="AC20" s="1557">
        <v>1</v>
      </c>
    </row>
    <row r="21" spans="1:29" ht="28.5">
      <c r="A21" s="512"/>
      <c r="B21" s="2606" t="s">
        <v>2827</v>
      </c>
      <c r="C21" s="852" t="str">
        <f>估价对象房地状况!C8</f>
        <v>基础设施水平七通一平</v>
      </c>
      <c r="D21" s="545">
        <v>100</v>
      </c>
      <c r="E21" s="3169" t="s">
        <v>3264</v>
      </c>
      <c r="F21" s="551">
        <f>SUMIF(82:82,E22,83:83)-SUMIF(82:82,C22,83:83)+100</f>
        <v>100</v>
      </c>
      <c r="G21" s="3169" t="s">
        <v>3264</v>
      </c>
      <c r="H21" s="545">
        <f>SUMIF(82:82,G22,83:83)-SUMIF(82:82,C22,83:83)+100</f>
        <v>100</v>
      </c>
      <c r="I21" s="571" t="s">
        <v>3264</v>
      </c>
      <c r="J21" s="545">
        <f>SUMIF(82:82,I22,83:83)-SUMIF(82:82,C22,83:83)+100</f>
        <v>100</v>
      </c>
      <c r="K21" s="878">
        <v>1</v>
      </c>
      <c r="L21" s="2122"/>
      <c r="M21" s="2114"/>
      <c r="N21" s="2114"/>
      <c r="O21" s="2121"/>
      <c r="P21" s="3435"/>
      <c r="Q21" s="2591" t="str">
        <f>B21</f>
        <v>基础设施水平</v>
      </c>
      <c r="R21" s="1554" t="s">
        <v>8</v>
      </c>
      <c r="S21" s="1555">
        <f>F21</f>
        <v>100</v>
      </c>
      <c r="T21" s="1554" t="s">
        <v>8</v>
      </c>
      <c r="U21" s="1555">
        <f>H21</f>
        <v>100</v>
      </c>
      <c r="V21" s="1554" t="s">
        <v>8</v>
      </c>
      <c r="W21" s="1555">
        <f>J21</f>
        <v>100</v>
      </c>
      <c r="X21" s="2593"/>
      <c r="Y21" s="3435"/>
      <c r="Z21" s="2592" t="str">
        <f>Q21</f>
        <v>基础设施水平</v>
      </c>
      <c r="AA21" s="1557">
        <f t="shared" ref="AA21" si="8">D21/F21</f>
        <v>1</v>
      </c>
      <c r="AB21" s="1557">
        <f t="shared" ref="AB21" si="9">D21/H21</f>
        <v>1</v>
      </c>
      <c r="AC21" s="1557">
        <f t="shared" ref="AC21" si="10">D21/J21</f>
        <v>1</v>
      </c>
    </row>
    <row r="22" spans="1:29" ht="15">
      <c r="A22" s="512"/>
      <c r="B22" s="901"/>
      <c r="C22" s="853" t="s">
        <v>2805</v>
      </c>
      <c r="D22" s="535"/>
      <c r="E22" s="556" t="s">
        <v>2805</v>
      </c>
      <c r="F22" s="537"/>
      <c r="G22" s="556" t="s">
        <v>2805</v>
      </c>
      <c r="H22" s="535"/>
      <c r="I22" s="556" t="s">
        <v>2805</v>
      </c>
      <c r="J22" s="535"/>
      <c r="K22" s="2615"/>
      <c r="L22" s="2122"/>
      <c r="M22" s="2114"/>
      <c r="N22" s="2114"/>
      <c r="O22" s="2121"/>
      <c r="P22" s="3435"/>
      <c r="Q22" s="2591"/>
      <c r="R22" s="1554"/>
      <c r="S22" s="1555"/>
      <c r="T22" s="1554"/>
      <c r="U22" s="1555"/>
      <c r="V22" s="1554"/>
      <c r="W22" s="1555"/>
      <c r="X22" s="2593"/>
      <c r="Y22" s="3435"/>
      <c r="Z22" s="2592"/>
      <c r="AA22" s="1557">
        <v>1</v>
      </c>
      <c r="AB22" s="1557">
        <v>1</v>
      </c>
      <c r="AC22" s="1557">
        <v>1</v>
      </c>
    </row>
    <row r="23" spans="1:29" ht="71.25">
      <c r="A23" s="512"/>
      <c r="B23" s="851" t="s">
        <v>280</v>
      </c>
      <c r="C23" s="880" t="str">
        <f>估价对象房地状况!C9</f>
        <v>区域自然环境：白浮泉公园等；人文环境：无；综合评价环境状况一般</v>
      </c>
      <c r="D23" s="539">
        <v>100</v>
      </c>
      <c r="E23" s="3151" t="s">
        <v>3251</v>
      </c>
      <c r="F23" s="543">
        <f>SUMIF(84:84,E24,85:85)-SUMIF(84:84,C24,85:85)+100</f>
        <v>100</v>
      </c>
      <c r="G23" s="3148" t="s">
        <v>3357</v>
      </c>
      <c r="H23" s="539">
        <f>SUMIF(84:84,G24,85:85)-SUMIF(84:84,C24,85:85)+100</f>
        <v>100</v>
      </c>
      <c r="I23" s="3151" t="s">
        <v>3361</v>
      </c>
      <c r="J23" s="539">
        <f>SUMIF(84:84,I24,85:85)-SUMIF(84:84,C24,85:85)+100</f>
        <v>100</v>
      </c>
      <c r="K23" s="878">
        <v>2</v>
      </c>
      <c r="L23" s="2122"/>
      <c r="M23" s="2114"/>
      <c r="N23" s="2114"/>
      <c r="O23" s="2121"/>
      <c r="P23" s="3435"/>
      <c r="Q23" s="1553" t="str">
        <f>B23</f>
        <v>自然及人文环境</v>
      </c>
      <c r="R23" s="1554" t="s">
        <v>8</v>
      </c>
      <c r="S23" s="1555">
        <f>F23</f>
        <v>100</v>
      </c>
      <c r="T23" s="1554" t="s">
        <v>8</v>
      </c>
      <c r="U23" s="1555">
        <f>H23</f>
        <v>100</v>
      </c>
      <c r="V23" s="1554" t="s">
        <v>8</v>
      </c>
      <c r="W23" s="1555">
        <f>J23</f>
        <v>100</v>
      </c>
      <c r="X23" s="1548"/>
      <c r="Y23" s="3435"/>
      <c r="Z23" s="1556" t="str">
        <f>Q23</f>
        <v>自然及人文环境</v>
      </c>
      <c r="AA23" s="1557">
        <f t="shared" si="3"/>
        <v>1</v>
      </c>
      <c r="AB23" s="1557">
        <f t="shared" si="4"/>
        <v>1</v>
      </c>
      <c r="AC23" s="1557">
        <f t="shared" si="5"/>
        <v>1</v>
      </c>
    </row>
    <row r="24" spans="1:29" ht="15">
      <c r="A24" s="512"/>
      <c r="B24" s="575"/>
      <c r="C24" s="556" t="s">
        <v>530</v>
      </c>
      <c r="D24" s="535"/>
      <c r="E24" s="534" t="s">
        <v>1073</v>
      </c>
      <c r="F24" s="537"/>
      <c r="G24" s="556" t="s">
        <v>1073</v>
      </c>
      <c r="H24" s="535"/>
      <c r="I24" s="534" t="s">
        <v>1073</v>
      </c>
      <c r="J24" s="535"/>
      <c r="K24" s="879"/>
      <c r="L24" s="2122"/>
      <c r="M24" s="2114"/>
      <c r="N24" s="2114"/>
      <c r="O24" s="2121"/>
      <c r="P24" s="3435"/>
      <c r="Q24" s="1553"/>
      <c r="R24" s="1554"/>
      <c r="S24" s="1555"/>
      <c r="T24" s="1554"/>
      <c r="U24" s="1555"/>
      <c r="V24" s="1554"/>
      <c r="W24" s="1555"/>
      <c r="X24" s="1548"/>
      <c r="Y24" s="3435"/>
      <c r="Z24" s="1556"/>
      <c r="AA24" s="1557">
        <v>1</v>
      </c>
      <c r="AB24" s="1557">
        <v>1</v>
      </c>
      <c r="AC24" s="1557">
        <v>1</v>
      </c>
    </row>
    <row r="25" spans="1:29" ht="15">
      <c r="A25" s="512"/>
      <c r="B25" s="507" t="s">
        <v>539</v>
      </c>
      <c r="C25" s="563" t="s">
        <v>626</v>
      </c>
      <c r="D25" s="520">
        <v>100</v>
      </c>
      <c r="E25" s="563" t="s">
        <v>3352</v>
      </c>
      <c r="F25" s="555">
        <f>SUMIF(86:86,E25,87:87)-SUMIF(86:86,C25,87:87)+100</f>
        <v>100</v>
      </c>
      <c r="G25" s="563" t="s">
        <v>3352</v>
      </c>
      <c r="H25" s="520">
        <f>SUMIF(86:86,G25,87:87)-SUMIF(86:86,C25,87:87)+100</f>
        <v>100</v>
      </c>
      <c r="I25" s="563" t="s">
        <v>3352</v>
      </c>
      <c r="J25" s="520">
        <f>SUMIF(86:86,I25,87:87)-SUMIF(86:86,C25,87:87)+100</f>
        <v>100</v>
      </c>
      <c r="K25" s="564">
        <v>3</v>
      </c>
      <c r="L25" s="2122"/>
      <c r="M25" s="2114"/>
      <c r="N25" s="2114"/>
      <c r="O25" s="2121"/>
      <c r="P25" s="3435"/>
      <c r="Q25" s="1553" t="str">
        <f t="shared" ref="Q25:Q46" si="11">B25</f>
        <v>临街状况</v>
      </c>
      <c r="R25" s="1554" t="s">
        <v>8</v>
      </c>
      <c r="S25" s="1555">
        <f>F25</f>
        <v>100</v>
      </c>
      <c r="T25" s="1554" t="s">
        <v>8</v>
      </c>
      <c r="U25" s="1555">
        <f>H25</f>
        <v>100</v>
      </c>
      <c r="V25" s="1554" t="s">
        <v>8</v>
      </c>
      <c r="W25" s="1555">
        <f>J25</f>
        <v>100</v>
      </c>
      <c r="X25" s="1548"/>
      <c r="Y25" s="3435"/>
      <c r="Z25" s="1556" t="str">
        <f>Q25</f>
        <v>临街状况</v>
      </c>
      <c r="AA25" s="1557">
        <f t="shared" si="3"/>
        <v>1</v>
      </c>
      <c r="AB25" s="1557">
        <f t="shared" si="4"/>
        <v>1</v>
      </c>
      <c r="AC25" s="1557">
        <f t="shared" si="5"/>
        <v>1</v>
      </c>
    </row>
    <row r="26" spans="1:29" ht="15">
      <c r="A26" s="512"/>
      <c r="B26" s="857" t="s">
        <v>849</v>
      </c>
      <c r="C26" s="519"/>
      <c r="D26" s="520">
        <v>100</v>
      </c>
      <c r="E26" s="3202"/>
      <c r="F26" s="555">
        <f>SUMIF(88:88,E26,89:89)-SUMIF(88:88,C26,89:89)+100</f>
        <v>100</v>
      </c>
      <c r="G26" s="519"/>
      <c r="H26" s="520">
        <f>SUMIF(88:88,G26,89:89)-SUMIF(88:88,C26,89:89)+100</f>
        <v>100</v>
      </c>
      <c r="I26" s="519"/>
      <c r="J26" s="520">
        <f>SUMIF(88:88,I26,89:89)-SUMIF(88:88,C26,89:89)+100</f>
        <v>100</v>
      </c>
      <c r="K26" s="561"/>
      <c r="L26" s="2122"/>
      <c r="M26" s="2114"/>
      <c r="N26" s="2114"/>
      <c r="O26" s="2121"/>
      <c r="P26" s="3435"/>
      <c r="Q26" s="1553" t="str">
        <f t="shared" si="11"/>
        <v>平面位置/可视性</v>
      </c>
      <c r="R26" s="1554" t="s">
        <v>8</v>
      </c>
      <c r="S26" s="1555">
        <f>F26</f>
        <v>100</v>
      </c>
      <c r="T26" s="1554" t="s">
        <v>8</v>
      </c>
      <c r="U26" s="1555">
        <f>H26</f>
        <v>100</v>
      </c>
      <c r="V26" s="1554" t="s">
        <v>8</v>
      </c>
      <c r="W26" s="1555">
        <f>J26</f>
        <v>100</v>
      </c>
      <c r="X26" s="1548"/>
      <c r="Y26" s="3435"/>
      <c r="Z26" s="1556" t="str">
        <f>Q26</f>
        <v>平面位置/可视性</v>
      </c>
      <c r="AA26" s="1557">
        <f t="shared" si="3"/>
        <v>1</v>
      </c>
      <c r="AB26" s="1557">
        <f t="shared" si="4"/>
        <v>1</v>
      </c>
      <c r="AC26" s="1557">
        <f t="shared" si="5"/>
        <v>1</v>
      </c>
    </row>
    <row r="27" spans="1:29" s="1199" customFormat="1" ht="15">
      <c r="A27" s="516"/>
      <c r="B27" s="851" t="s">
        <v>850</v>
      </c>
      <c r="C27" s="881" t="s">
        <v>1073</v>
      </c>
      <c r="D27" s="855">
        <v>100</v>
      </c>
      <c r="E27" s="881" t="s">
        <v>1073</v>
      </c>
      <c r="F27" s="856">
        <f>SUMIF(90:90,E27,91:91)-SUMIF(90:90,C27,91:91)+100</f>
        <v>100</v>
      </c>
      <c r="G27" s="881" t="s">
        <v>3358</v>
      </c>
      <c r="H27" s="855">
        <f>SUMIF(90:90,G27,91:91)-SUMIF(90:90,C27,91:91)+100</f>
        <v>97</v>
      </c>
      <c r="I27" s="881" t="s">
        <v>3362</v>
      </c>
      <c r="J27" s="855">
        <f>SUMIF(90:90,I27,91:91)-SUMIF(90:90,C27,91:91)+100</f>
        <v>103</v>
      </c>
      <c r="K27" s="564">
        <v>3</v>
      </c>
      <c r="L27" s="2115"/>
      <c r="M27" s="2116"/>
      <c r="N27" s="2116"/>
      <c r="O27" s="2117"/>
      <c r="P27" s="3435"/>
      <c r="Q27" s="1130" t="str">
        <f t="shared" si="11"/>
        <v>人流量</v>
      </c>
      <c r="R27" s="1549" t="s">
        <v>8</v>
      </c>
      <c r="S27" s="1550">
        <f>F27</f>
        <v>100</v>
      </c>
      <c r="T27" s="1549" t="s">
        <v>8</v>
      </c>
      <c r="U27" s="1550">
        <f>H27</f>
        <v>97</v>
      </c>
      <c r="V27" s="1549" t="s">
        <v>8</v>
      </c>
      <c r="W27" s="1550">
        <f>J27</f>
        <v>103</v>
      </c>
      <c r="X27" s="1551"/>
      <c r="Y27" s="3435"/>
      <c r="Z27" s="1129" t="str">
        <f>Q27</f>
        <v>人流量</v>
      </c>
      <c r="AA27" s="1557">
        <f>D27/F27</f>
        <v>1</v>
      </c>
      <c r="AB27" s="1557">
        <f>D27/H27</f>
        <v>1.0309278350515463</v>
      </c>
      <c r="AC27" s="1557">
        <f>D27/J27</f>
        <v>0.970873786407767</v>
      </c>
    </row>
    <row r="28" spans="1:29" ht="15">
      <c r="A28" s="512"/>
      <c r="B28" s="507" t="s">
        <v>852</v>
      </c>
      <c r="C28" s="563" t="s">
        <v>853</v>
      </c>
      <c r="D28" s="520">
        <v>100</v>
      </c>
      <c r="E28" s="563" t="s">
        <v>3353</v>
      </c>
      <c r="F28" s="555">
        <f>SUMIF(92:92,E28,93:93)-SUMIF(92:92,C28,93:93)+100</f>
        <v>100</v>
      </c>
      <c r="G28" s="563" t="s">
        <v>3353</v>
      </c>
      <c r="H28" s="520">
        <f>SUMIF(92:92,G28,93:93)-SUMIF(92:92,C28,93:93)+100</f>
        <v>100</v>
      </c>
      <c r="I28" s="563" t="s">
        <v>3363</v>
      </c>
      <c r="J28" s="520">
        <f>SUMIF(92:92,I28,93:93)-SUMIF(92:92,C28,93:93)+100</f>
        <v>85</v>
      </c>
      <c r="K28" s="561"/>
      <c r="L28" s="2122"/>
      <c r="M28" s="2114"/>
      <c r="N28" s="2114"/>
      <c r="O28" s="2121"/>
      <c r="P28" s="3435"/>
      <c r="Q28" s="1553" t="str">
        <f t="shared" si="11"/>
        <v>楼层</v>
      </c>
      <c r="R28" s="1554" t="s">
        <v>8</v>
      </c>
      <c r="S28" s="1555">
        <f t="shared" ref="S28:S46" si="12">F28</f>
        <v>100</v>
      </c>
      <c r="T28" s="1554" t="s">
        <v>8</v>
      </c>
      <c r="U28" s="1555">
        <f t="shared" ref="U28:U46" si="13">H28</f>
        <v>100</v>
      </c>
      <c r="V28" s="1554" t="s">
        <v>8</v>
      </c>
      <c r="W28" s="1555">
        <f t="shared" ref="W28:W46" si="14">J28</f>
        <v>85</v>
      </c>
      <c r="X28" s="1548"/>
      <c r="Y28" s="3435"/>
      <c r="Z28" s="1556" t="str">
        <f t="shared" ref="Z28:Z46" si="15">Q28</f>
        <v>楼层</v>
      </c>
      <c r="AA28" s="1557">
        <f t="shared" si="3"/>
        <v>1</v>
      </c>
      <c r="AB28" s="1557">
        <f t="shared" si="4"/>
        <v>1</v>
      </c>
      <c r="AC28" s="1557">
        <f t="shared" si="5"/>
        <v>1.1764705882352942</v>
      </c>
    </row>
    <row r="29" spans="1:29" ht="15">
      <c r="A29" s="512"/>
      <c r="B29" s="857"/>
      <c r="C29" s="519"/>
      <c r="D29" s="520">
        <v>100</v>
      </c>
      <c r="E29" s="519"/>
      <c r="F29" s="555">
        <f>SUMIF(94:94,E29,95:95)-SUMIF(94:94,C29,95:95)+100</f>
        <v>100</v>
      </c>
      <c r="G29" s="3188"/>
      <c r="H29" s="520">
        <f>SUMIF(94:94,G29,95:95)-SUMIF(94:94,C29,95:95)+100</f>
        <v>100</v>
      </c>
      <c r="I29" s="519"/>
      <c r="J29" s="520">
        <f>SUMIF(94:94,I29,95:95)-SUMIF(94:94,C29,95:95)+100</f>
        <v>100</v>
      </c>
      <c r="K29" s="561"/>
      <c r="L29" s="2122"/>
      <c r="M29" s="2114"/>
      <c r="N29" s="2114"/>
      <c r="O29" s="2121"/>
      <c r="P29" s="3435"/>
      <c r="Q29" s="1553">
        <f t="shared" si="11"/>
        <v>0</v>
      </c>
      <c r="R29" s="1554" t="s">
        <v>8</v>
      </c>
      <c r="S29" s="1555">
        <f t="shared" si="12"/>
        <v>100</v>
      </c>
      <c r="T29" s="1554" t="s">
        <v>8</v>
      </c>
      <c r="U29" s="1555">
        <f t="shared" si="13"/>
        <v>100</v>
      </c>
      <c r="V29" s="1554" t="s">
        <v>8</v>
      </c>
      <c r="W29" s="1555">
        <f t="shared" si="14"/>
        <v>100</v>
      </c>
      <c r="X29" s="1548"/>
      <c r="Y29" s="3435"/>
      <c r="Z29" s="1556">
        <f t="shared" si="15"/>
        <v>0</v>
      </c>
      <c r="AA29" s="1557">
        <f t="shared" si="3"/>
        <v>1</v>
      </c>
      <c r="AB29" s="1557">
        <f t="shared" si="4"/>
        <v>1</v>
      </c>
      <c r="AC29" s="1557">
        <f t="shared" si="5"/>
        <v>1</v>
      </c>
    </row>
    <row r="30" spans="1:29" ht="15">
      <c r="A30" s="512"/>
      <c r="B30" s="857"/>
      <c r="C30" s="519"/>
      <c r="D30" s="520">
        <v>100</v>
      </c>
      <c r="E30" s="519"/>
      <c r="F30" s="555">
        <f>SUMIF(96:96,E30,97:97)-SUMIF(96:96,C30,97:97)+100</f>
        <v>100</v>
      </c>
      <c r="G30" s="519"/>
      <c r="H30" s="520">
        <f>SUMIF(96:96,G30,97:97)-SUMIF(96:96,C30,97:97)+100</f>
        <v>100</v>
      </c>
      <c r="I30" s="519"/>
      <c r="J30" s="520">
        <f>SUMIF(96:96,I30,97:97)-SUMIF(96:96,C30,97:97)+100</f>
        <v>100</v>
      </c>
      <c r="K30" s="561"/>
      <c r="L30" s="2122"/>
      <c r="M30" s="2114"/>
      <c r="N30" s="2114"/>
      <c r="O30" s="2121"/>
      <c r="P30" s="3435"/>
      <c r="Q30" s="1553">
        <f t="shared" si="11"/>
        <v>0</v>
      </c>
      <c r="R30" s="1554" t="s">
        <v>8</v>
      </c>
      <c r="S30" s="1555">
        <f t="shared" si="12"/>
        <v>100</v>
      </c>
      <c r="T30" s="1554" t="s">
        <v>8</v>
      </c>
      <c r="U30" s="1555">
        <f t="shared" si="13"/>
        <v>100</v>
      </c>
      <c r="V30" s="1554" t="s">
        <v>8</v>
      </c>
      <c r="W30" s="1555">
        <f t="shared" si="14"/>
        <v>100</v>
      </c>
      <c r="X30" s="1548"/>
      <c r="Y30" s="3435"/>
      <c r="Z30" s="1556">
        <f t="shared" si="15"/>
        <v>0</v>
      </c>
      <c r="AA30" s="1557">
        <f t="shared" si="3"/>
        <v>1</v>
      </c>
      <c r="AB30" s="1557">
        <f t="shared" si="4"/>
        <v>1</v>
      </c>
      <c r="AC30" s="1557">
        <f t="shared" si="5"/>
        <v>1</v>
      </c>
    </row>
    <row r="31" spans="1:29" ht="15.75" thickBot="1">
      <c r="A31" s="523"/>
      <c r="B31" s="857"/>
      <c r="C31" s="525"/>
      <c r="D31" s="526">
        <v>100</v>
      </c>
      <c r="E31" s="519"/>
      <c r="F31" s="846">
        <f>SUMIF(98:98,E31,99:99)-SUMIF(98:98,C31,99:99)+100</f>
        <v>100</v>
      </c>
      <c r="G31" s="519"/>
      <c r="H31" s="526">
        <f>SUMIF(98:98,G31,99:99)-SUMIF(98:98,C31,99:99)+100</f>
        <v>100</v>
      </c>
      <c r="I31" s="519"/>
      <c r="J31" s="526">
        <f>SUMIF(98:98,I31,99:99)-SUMIF(98:98,C31,99:99)+100</f>
        <v>100</v>
      </c>
      <c r="K31" s="561"/>
      <c r="L31" s="2122"/>
      <c r="M31" s="2114"/>
      <c r="N31" s="2114"/>
      <c r="O31" s="2121"/>
      <c r="P31" s="3435"/>
      <c r="Q31" s="1553">
        <f t="shared" si="11"/>
        <v>0</v>
      </c>
      <c r="R31" s="1554" t="s">
        <v>8</v>
      </c>
      <c r="S31" s="1555">
        <f t="shared" si="12"/>
        <v>100</v>
      </c>
      <c r="T31" s="1554" t="s">
        <v>8</v>
      </c>
      <c r="U31" s="1555">
        <f t="shared" si="13"/>
        <v>100</v>
      </c>
      <c r="V31" s="1554" t="s">
        <v>8</v>
      </c>
      <c r="W31" s="1555">
        <f t="shared" si="14"/>
        <v>100</v>
      </c>
      <c r="X31" s="1548"/>
      <c r="Y31" s="3435"/>
      <c r="Z31" s="1556">
        <f t="shared" si="15"/>
        <v>0</v>
      </c>
      <c r="AA31" s="1557">
        <f t="shared" si="3"/>
        <v>1</v>
      </c>
      <c r="AB31" s="1557">
        <f t="shared" si="4"/>
        <v>1</v>
      </c>
      <c r="AC31" s="1557">
        <f t="shared" si="5"/>
        <v>1</v>
      </c>
    </row>
    <row r="32" spans="1:29" ht="15">
      <c r="A32" s="2925" t="s">
        <v>3038</v>
      </c>
      <c r="B32" s="163" t="s">
        <v>855</v>
      </c>
      <c r="C32" s="895" t="s">
        <v>3366</v>
      </c>
      <c r="D32" s="577">
        <v>100</v>
      </c>
      <c r="E32" s="895" t="s">
        <v>3354</v>
      </c>
      <c r="F32" s="555">
        <f>SUMIF(100:100,E32,101:101)-SUMIF(100:100,C32,101:101)+100</f>
        <v>104</v>
      </c>
      <c r="G32" s="895" t="s">
        <v>3354</v>
      </c>
      <c r="H32" s="520">
        <f>SUMIF(100:100,G32,101:101)-SUMIF(100:100,C32,101:101)+100</f>
        <v>104</v>
      </c>
      <c r="I32" s="895" t="s">
        <v>3354</v>
      </c>
      <c r="J32" s="577">
        <f>SUMIF(100:100,I32,101:101)-SUMIF(100:100,C32,101:101)+100</f>
        <v>104</v>
      </c>
      <c r="K32" s="3204">
        <v>4</v>
      </c>
      <c r="L32" s="2122"/>
      <c r="M32" s="2114"/>
      <c r="N32" s="2114"/>
      <c r="O32" s="2121"/>
      <c r="P32" s="3436" t="s">
        <v>543</v>
      </c>
      <c r="Q32" s="1553" t="str">
        <f t="shared" si="11"/>
        <v>商业类型</v>
      </c>
      <c r="R32" s="1554" t="s">
        <v>8</v>
      </c>
      <c r="S32" s="1555">
        <f t="shared" si="12"/>
        <v>104</v>
      </c>
      <c r="T32" s="1554" t="s">
        <v>8</v>
      </c>
      <c r="U32" s="1555">
        <f t="shared" si="13"/>
        <v>104</v>
      </c>
      <c r="V32" s="1554" t="s">
        <v>8</v>
      </c>
      <c r="W32" s="1555">
        <f t="shared" si="14"/>
        <v>104</v>
      </c>
      <c r="X32" s="1548"/>
      <c r="Y32" s="3437" t="s">
        <v>543</v>
      </c>
      <c r="Z32" s="1556" t="str">
        <f t="shared" si="15"/>
        <v>商业类型</v>
      </c>
      <c r="AA32" s="1557">
        <f t="shared" si="3"/>
        <v>0.96153846153846156</v>
      </c>
      <c r="AB32" s="1557">
        <f t="shared" si="4"/>
        <v>0.96153846153846156</v>
      </c>
      <c r="AC32" s="1557">
        <f t="shared" si="5"/>
        <v>0.96153846153846156</v>
      </c>
    </row>
    <row r="33" spans="1:29" s="1324" customFormat="1" ht="15">
      <c r="A33" s="583"/>
      <c r="B33" s="507" t="s">
        <v>772</v>
      </c>
      <c r="C33" s="3182">
        <f>'不动产比较法-住宅'!C33</f>
        <v>550500</v>
      </c>
      <c r="D33" s="232">
        <v>100</v>
      </c>
      <c r="E33" s="514">
        <v>169000</v>
      </c>
      <c r="F33" s="843">
        <f>LOOKUP(E33,103:103,104:104)-LOOKUP(C33,103:103,104:104)+100</f>
        <v>96</v>
      </c>
      <c r="G33" s="513">
        <v>62240</v>
      </c>
      <c r="H33" s="232">
        <f>LOOKUP(G33,103:103,104:104)-LOOKUP(C33,103:103,104:104)+100</f>
        <v>95</v>
      </c>
      <c r="I33" s="513">
        <v>264700</v>
      </c>
      <c r="J33" s="232">
        <f>LOOKUP(I33,103:103,104:104)-LOOKUP(C33,103:103,104:104)+100</f>
        <v>97</v>
      </c>
      <c r="K33" s="561"/>
      <c r="L33" s="2120"/>
      <c r="M33" s="2151"/>
      <c r="N33" s="2151"/>
      <c r="O33" s="2123"/>
      <c r="P33" s="3437"/>
      <c r="Q33" s="1586" t="str">
        <f t="shared" si="11"/>
        <v>项目建筑规模</v>
      </c>
      <c r="R33" s="1558" t="s">
        <v>8</v>
      </c>
      <c r="S33" s="1559">
        <f t="shared" si="12"/>
        <v>96</v>
      </c>
      <c r="T33" s="1558" t="s">
        <v>8</v>
      </c>
      <c r="U33" s="1559">
        <f t="shared" si="13"/>
        <v>95</v>
      </c>
      <c r="V33" s="1558" t="s">
        <v>8</v>
      </c>
      <c r="W33" s="1559">
        <f t="shared" si="14"/>
        <v>97</v>
      </c>
      <c r="X33" s="1560"/>
      <c r="Y33" s="3437"/>
      <c r="Z33" s="1561" t="str">
        <f t="shared" si="15"/>
        <v>项目建筑规模</v>
      </c>
      <c r="AA33" s="1557">
        <f t="shared" si="3"/>
        <v>1.0416666666666667</v>
      </c>
      <c r="AB33" s="1557">
        <f t="shared" si="4"/>
        <v>1.0526315789473684</v>
      </c>
      <c r="AC33" s="1557">
        <f t="shared" si="5"/>
        <v>1.0309278350515463</v>
      </c>
    </row>
    <row r="34" spans="1:29" ht="15">
      <c r="A34" s="574"/>
      <c r="B34" s="507" t="s">
        <v>773</v>
      </c>
      <c r="C34" s="554" t="s">
        <v>774</v>
      </c>
      <c r="D34" s="520">
        <v>100</v>
      </c>
      <c r="E34" s="3186" t="s">
        <v>774</v>
      </c>
      <c r="F34" s="555">
        <f>SUMIF(105:105,E34,106:106)-SUMIF(105:105,C34,106:106)+100</f>
        <v>100</v>
      </c>
      <c r="G34" s="554" t="s">
        <v>2626</v>
      </c>
      <c r="H34" s="520">
        <f>SUMIF(105:105,G34,106:106)-SUMIF(105:105,C34,106:106)+100</f>
        <v>100</v>
      </c>
      <c r="I34" s="554" t="s">
        <v>2626</v>
      </c>
      <c r="J34" s="520">
        <f>SUMIF(105:105,I34,106:106)-SUMIF(105:105,C34,106:106)+100</f>
        <v>100</v>
      </c>
      <c r="K34" s="564">
        <f>'[1]不动产比较法-多层'!K34</f>
        <v>2</v>
      </c>
      <c r="L34" s="2122"/>
      <c r="M34" s="2114"/>
      <c r="N34" s="2114"/>
      <c r="O34" s="2121"/>
      <c r="P34" s="3437"/>
      <c r="Q34" s="1553" t="str">
        <f t="shared" si="11"/>
        <v>建筑结构</v>
      </c>
      <c r="R34" s="1554" t="s">
        <v>8</v>
      </c>
      <c r="S34" s="1555">
        <f t="shared" si="12"/>
        <v>100</v>
      </c>
      <c r="T34" s="1554" t="s">
        <v>8</v>
      </c>
      <c r="U34" s="1555">
        <f t="shared" si="13"/>
        <v>100</v>
      </c>
      <c r="V34" s="1554" t="s">
        <v>8</v>
      </c>
      <c r="W34" s="1555">
        <f t="shared" si="14"/>
        <v>100</v>
      </c>
      <c r="X34" s="1548"/>
      <c r="Y34" s="3437"/>
      <c r="Z34" s="1556" t="str">
        <f t="shared" si="15"/>
        <v>建筑结构</v>
      </c>
      <c r="AA34" s="1557">
        <f t="shared" si="3"/>
        <v>1</v>
      </c>
      <c r="AB34" s="1557">
        <f t="shared" si="4"/>
        <v>1</v>
      </c>
      <c r="AC34" s="1557">
        <f t="shared" si="5"/>
        <v>1</v>
      </c>
    </row>
    <row r="35" spans="1:29" ht="15">
      <c r="A35" s="574"/>
      <c r="B35" s="507" t="s">
        <v>860</v>
      </c>
      <c r="C35" s="554" t="s">
        <v>3318</v>
      </c>
      <c r="D35" s="520">
        <v>100</v>
      </c>
      <c r="E35" s="554" t="s">
        <v>3318</v>
      </c>
      <c r="F35" s="555">
        <f>SUMIF(107:107,E35,108:108)-SUMIF(107:107,C35,108:108)+100</f>
        <v>100</v>
      </c>
      <c r="G35" s="554" t="s">
        <v>777</v>
      </c>
      <c r="H35" s="520">
        <f>SUMIF(107:107,G35,108:108)-SUMIF(107:107,C35,108:108)+100</f>
        <v>100</v>
      </c>
      <c r="I35" s="554" t="s">
        <v>3318</v>
      </c>
      <c r="J35" s="520">
        <f>SUMIF(107:107,I35,108:108)-SUMIF(107:107,C35,108:108)+100</f>
        <v>100</v>
      </c>
      <c r="K35" s="564">
        <f>'[1]不动产比较法-多层'!K36</f>
        <v>2</v>
      </c>
      <c r="L35" s="2122"/>
      <c r="M35" s="2114"/>
      <c r="N35" s="2114"/>
      <c r="O35" s="2121"/>
      <c r="P35" s="3437"/>
      <c r="Q35" s="1553" t="str">
        <f t="shared" si="11"/>
        <v>公共部分装修</v>
      </c>
      <c r="R35" s="1554" t="s">
        <v>8</v>
      </c>
      <c r="S35" s="1555">
        <f t="shared" si="12"/>
        <v>100</v>
      </c>
      <c r="T35" s="1554" t="s">
        <v>8</v>
      </c>
      <c r="U35" s="1555">
        <f t="shared" si="13"/>
        <v>100</v>
      </c>
      <c r="V35" s="1554" t="s">
        <v>8</v>
      </c>
      <c r="W35" s="1555">
        <f t="shared" si="14"/>
        <v>100</v>
      </c>
      <c r="X35" s="1548"/>
      <c r="Y35" s="3437"/>
      <c r="Z35" s="1556" t="str">
        <f t="shared" si="15"/>
        <v>公共部分装修</v>
      </c>
      <c r="AA35" s="1557">
        <f t="shared" si="3"/>
        <v>1</v>
      </c>
      <c r="AB35" s="1557">
        <f t="shared" si="4"/>
        <v>1</v>
      </c>
      <c r="AC35" s="1557">
        <f t="shared" si="5"/>
        <v>1</v>
      </c>
    </row>
    <row r="36" spans="1:29" ht="15">
      <c r="A36" s="574"/>
      <c r="B36" s="507" t="s">
        <v>863</v>
      </c>
      <c r="C36" s="860">
        <f>'[1]不动产比较法-多层'!C37</f>
        <v>1</v>
      </c>
      <c r="D36" s="520">
        <v>100</v>
      </c>
      <c r="E36" s="514">
        <f>ROUND(1-(2017-2015)/60,2)</f>
        <v>0.97</v>
      </c>
      <c r="F36" s="555">
        <f>LOOKUP(E36,110:110,111:111)-LOOKUP(C36,110:110,111:111)+100</f>
        <v>100</v>
      </c>
      <c r="G36" s="514">
        <f>ROUND(1-(2017-2014)/60,2)</f>
        <v>0.95</v>
      </c>
      <c r="H36" s="555">
        <f>LOOKUP(G36,110:110,111:111)-LOOKUP(C36,110:110,111:111)+100</f>
        <v>100</v>
      </c>
      <c r="I36" s="860">
        <v>1</v>
      </c>
      <c r="J36" s="520">
        <f>LOOKUP(I36,110:110,111:111)-LOOKUP(C36,110:110,111:111)+100</f>
        <v>100</v>
      </c>
      <c r="K36" s="564">
        <f>'[1]不动产比较法-多层'!K37</f>
        <v>2</v>
      </c>
      <c r="L36" s="2122"/>
      <c r="M36" s="2114"/>
      <c r="N36" s="2114"/>
      <c r="O36" s="2121"/>
      <c r="P36" s="3437"/>
      <c r="Q36" s="1553" t="str">
        <f t="shared" si="11"/>
        <v>成新度</v>
      </c>
      <c r="R36" s="1554" t="s">
        <v>8</v>
      </c>
      <c r="S36" s="1555">
        <f t="shared" si="12"/>
        <v>100</v>
      </c>
      <c r="T36" s="1554" t="s">
        <v>8</v>
      </c>
      <c r="U36" s="1555">
        <f t="shared" si="13"/>
        <v>100</v>
      </c>
      <c r="V36" s="1554" t="s">
        <v>8</v>
      </c>
      <c r="W36" s="1555">
        <f t="shared" si="14"/>
        <v>100</v>
      </c>
      <c r="X36" s="1548"/>
      <c r="Y36" s="3437"/>
      <c r="Z36" s="1556" t="str">
        <f t="shared" si="15"/>
        <v>成新度</v>
      </c>
      <c r="AA36" s="1557">
        <f t="shared" si="3"/>
        <v>1</v>
      </c>
      <c r="AB36" s="1557">
        <f t="shared" si="4"/>
        <v>1</v>
      </c>
      <c r="AC36" s="1557">
        <f t="shared" si="5"/>
        <v>1</v>
      </c>
    </row>
    <row r="37" spans="1:29" s="1199" customFormat="1" ht="15">
      <c r="A37" s="580"/>
      <c r="B37" s="1870" t="s">
        <v>2834</v>
      </c>
      <c r="C37" s="554" t="s">
        <v>781</v>
      </c>
      <c r="D37" s="232">
        <v>100</v>
      </c>
      <c r="E37" s="554" t="s">
        <v>2805</v>
      </c>
      <c r="F37" s="555">
        <f>SUMIF(112:112,E37,113:113)-SUMIF(112:112,C37,113:113)+100</f>
        <v>100</v>
      </c>
      <c r="G37" s="554" t="s">
        <v>2587</v>
      </c>
      <c r="H37" s="520">
        <f>SUMIF(112:112,G37,113:113)-SUMIF(112:112,C37,113:113)+100</f>
        <v>98</v>
      </c>
      <c r="I37" s="554" t="s">
        <v>2587</v>
      </c>
      <c r="J37" s="520">
        <f>SUMIF(112:112,I37,113:113)-SUMIF(112:112,C37,113:113)+100</f>
        <v>98</v>
      </c>
      <c r="K37" s="564">
        <f>'[1]不动产比较法-多层'!K39</f>
        <v>1</v>
      </c>
      <c r="L37" s="2115"/>
      <c r="M37" s="2116"/>
      <c r="N37" s="2116"/>
      <c r="O37" s="2117"/>
      <c r="P37" s="3437"/>
      <c r="Q37" s="1130" t="str">
        <f t="shared" si="11"/>
        <v>市政基础设施</v>
      </c>
      <c r="R37" s="1549" t="s">
        <v>8</v>
      </c>
      <c r="S37" s="1550">
        <f t="shared" si="12"/>
        <v>100</v>
      </c>
      <c r="T37" s="1549" t="s">
        <v>8</v>
      </c>
      <c r="U37" s="1550">
        <f t="shared" si="13"/>
        <v>98</v>
      </c>
      <c r="V37" s="1549" t="s">
        <v>8</v>
      </c>
      <c r="W37" s="1550">
        <f t="shared" si="14"/>
        <v>98</v>
      </c>
      <c r="X37" s="1551"/>
      <c r="Y37" s="3437"/>
      <c r="Z37" s="1129" t="str">
        <f t="shared" si="15"/>
        <v>市政基础设施</v>
      </c>
      <c r="AA37" s="1552">
        <f t="shared" si="3"/>
        <v>1</v>
      </c>
      <c r="AB37" s="1552">
        <f t="shared" si="4"/>
        <v>1.0204081632653061</v>
      </c>
      <c r="AC37" s="1552">
        <f t="shared" si="5"/>
        <v>1.0204081632653061</v>
      </c>
    </row>
    <row r="38" spans="1:29" ht="15">
      <c r="A38" s="574"/>
      <c r="B38" s="507" t="s">
        <v>867</v>
      </c>
      <c r="C38" s="554" t="s">
        <v>3343</v>
      </c>
      <c r="D38" s="520">
        <v>100</v>
      </c>
      <c r="E38" s="554" t="s">
        <v>3343</v>
      </c>
      <c r="F38" s="555">
        <f>SUMIF(114:114,E38,115:115)-SUMIF(114:114,C38,115:115)+100</f>
        <v>100</v>
      </c>
      <c r="G38" s="554" t="s">
        <v>868</v>
      </c>
      <c r="H38" s="520">
        <f>SUMIF(114:114,G38,115:115)-SUMIF(114:114,C38,115:115)+100</f>
        <v>100</v>
      </c>
      <c r="I38" s="554" t="s">
        <v>3343</v>
      </c>
      <c r="J38" s="520">
        <f>SUMIF(114:114,I38,115:115)-SUMIF(114:114,C38,115:115)+100</f>
        <v>100</v>
      </c>
      <c r="K38" s="564">
        <v>2.5</v>
      </c>
      <c r="L38" s="2122"/>
      <c r="M38" s="2114"/>
      <c r="N38" s="2114"/>
      <c r="O38" s="2121"/>
      <c r="P38" s="3437" t="s">
        <v>869</v>
      </c>
      <c r="Q38" s="1553" t="str">
        <f t="shared" si="11"/>
        <v>业态</v>
      </c>
      <c r="R38" s="1554" t="s">
        <v>8</v>
      </c>
      <c r="S38" s="1555">
        <f t="shared" si="12"/>
        <v>100</v>
      </c>
      <c r="T38" s="1554" t="s">
        <v>8</v>
      </c>
      <c r="U38" s="1555">
        <f t="shared" si="13"/>
        <v>100</v>
      </c>
      <c r="V38" s="1554" t="s">
        <v>8</v>
      </c>
      <c r="W38" s="1555">
        <f t="shared" si="14"/>
        <v>100</v>
      </c>
      <c r="X38" s="1548"/>
      <c r="Y38" s="3437" t="s">
        <v>869</v>
      </c>
      <c r="Z38" s="1556" t="str">
        <f t="shared" si="15"/>
        <v>业态</v>
      </c>
      <c r="AA38" s="1557">
        <f t="shared" si="3"/>
        <v>1</v>
      </c>
      <c r="AB38" s="1557">
        <f t="shared" si="4"/>
        <v>1</v>
      </c>
      <c r="AC38" s="1557">
        <f t="shared" si="5"/>
        <v>1</v>
      </c>
    </row>
    <row r="39" spans="1:29" ht="15">
      <c r="A39" s="574"/>
      <c r="B39" s="507" t="s">
        <v>870</v>
      </c>
      <c r="C39" s="554" t="s">
        <v>871</v>
      </c>
      <c r="D39" s="520">
        <v>100</v>
      </c>
      <c r="E39" s="554" t="s">
        <v>3355</v>
      </c>
      <c r="F39" s="555">
        <f>SUMIF(116:116,E39,117:117)-SUMIF(116:116,C39,117:117)+100</f>
        <v>100</v>
      </c>
      <c r="G39" s="554" t="s">
        <v>871</v>
      </c>
      <c r="H39" s="520">
        <f>SUMIF(116:116,G39,117:117)-SUMIF(116:116,C39,117:117)+100</f>
        <v>100</v>
      </c>
      <c r="I39" s="554" t="s">
        <v>871</v>
      </c>
      <c r="J39" s="520">
        <f>SUMIF(116:116,I39,117:117)-SUMIF(116:116,C39,117:117)+100</f>
        <v>100</v>
      </c>
      <c r="K39" s="564">
        <v>2</v>
      </c>
      <c r="L39" s="2122"/>
      <c r="M39" s="2114"/>
      <c r="N39" s="2114"/>
      <c r="O39" s="2121"/>
      <c r="P39" s="3437"/>
      <c r="Q39" s="1553" t="str">
        <f t="shared" si="11"/>
        <v>层高</v>
      </c>
      <c r="R39" s="1554" t="s">
        <v>8</v>
      </c>
      <c r="S39" s="1555">
        <f t="shared" si="12"/>
        <v>100</v>
      </c>
      <c r="T39" s="1554" t="s">
        <v>8</v>
      </c>
      <c r="U39" s="1555">
        <f t="shared" si="13"/>
        <v>100</v>
      </c>
      <c r="V39" s="1554" t="s">
        <v>8</v>
      </c>
      <c r="W39" s="1555">
        <f t="shared" si="14"/>
        <v>100</v>
      </c>
      <c r="X39" s="1548"/>
      <c r="Y39" s="3437"/>
      <c r="Z39" s="1556" t="str">
        <f t="shared" si="15"/>
        <v>层高</v>
      </c>
      <c r="AA39" s="1557">
        <f t="shared" si="3"/>
        <v>1</v>
      </c>
      <c r="AB39" s="1557">
        <f t="shared" si="4"/>
        <v>1</v>
      </c>
      <c r="AC39" s="1557">
        <f t="shared" si="5"/>
        <v>1</v>
      </c>
    </row>
    <row r="40" spans="1:29" ht="15">
      <c r="A40" s="574"/>
      <c r="B40" s="507" t="s">
        <v>872</v>
      </c>
      <c r="C40" s="882"/>
      <c r="D40" s="520">
        <v>100</v>
      </c>
      <c r="E40" s="882"/>
      <c r="F40" s="555">
        <f>SUMIF(118:118,E40,119:119)-SUMIF(118:118,C40,119:119)+100</f>
        <v>100</v>
      </c>
      <c r="G40" s="882"/>
      <c r="H40" s="520">
        <f>SUMIF(118:118,G40,119:119)-SUMIF(118:118,C40,119:119)+100</f>
        <v>100</v>
      </c>
      <c r="I40" s="882"/>
      <c r="J40" s="520">
        <f>SUMIF(118:118,I40,119:119)-SUMIF(118:118,C40,119:119)+100</f>
        <v>100</v>
      </c>
      <c r="K40" s="561"/>
      <c r="L40" s="2122"/>
      <c r="M40" s="2114"/>
      <c r="N40" s="2114"/>
      <c r="O40" s="2121"/>
      <c r="P40" s="3437"/>
      <c r="Q40" s="1553" t="str">
        <f t="shared" si="11"/>
        <v>单套建筑面积</v>
      </c>
      <c r="R40" s="1554" t="s">
        <v>8</v>
      </c>
      <c r="S40" s="1555">
        <f t="shared" si="12"/>
        <v>100</v>
      </c>
      <c r="T40" s="1554" t="s">
        <v>8</v>
      </c>
      <c r="U40" s="1555">
        <f t="shared" si="13"/>
        <v>100</v>
      </c>
      <c r="V40" s="1554" t="s">
        <v>8</v>
      </c>
      <c r="W40" s="1555">
        <f t="shared" si="14"/>
        <v>100</v>
      </c>
      <c r="X40" s="1548"/>
      <c r="Y40" s="3437"/>
      <c r="Z40" s="1556" t="str">
        <f t="shared" si="15"/>
        <v>单套建筑面积</v>
      </c>
      <c r="AA40" s="1557">
        <f t="shared" si="3"/>
        <v>1</v>
      </c>
      <c r="AB40" s="1557">
        <f t="shared" si="4"/>
        <v>1</v>
      </c>
      <c r="AC40" s="1557">
        <f t="shared" si="5"/>
        <v>1</v>
      </c>
    </row>
    <row r="41" spans="1:29" s="1324" customFormat="1" ht="15">
      <c r="A41" s="583"/>
      <c r="B41" s="883" t="s">
        <v>873</v>
      </c>
      <c r="C41" s="563" t="s">
        <v>3342</v>
      </c>
      <c r="D41" s="520">
        <v>100</v>
      </c>
      <c r="E41" s="563" t="s">
        <v>874</v>
      </c>
      <c r="F41" s="555">
        <f>SUMIF(120:120,E41,121:121)-SUMIF(120:120,C41,121:121)+100</f>
        <v>100</v>
      </c>
      <c r="G41" s="563" t="s">
        <v>3342</v>
      </c>
      <c r="H41" s="520">
        <f>SUMIF(120:120,G41,121:121)-SUMIF(120:120,C41,121:121)+100</f>
        <v>100</v>
      </c>
      <c r="I41" s="563" t="s">
        <v>3342</v>
      </c>
      <c r="J41" s="520">
        <f>SUMIF(120:120,I41,121:121)-SUMIF(120:120,C41,121:121)+100</f>
        <v>100</v>
      </c>
      <c r="K41" s="564">
        <v>2</v>
      </c>
      <c r="L41" s="2120"/>
      <c r="M41" s="2151"/>
      <c r="N41" s="2151"/>
      <c r="O41" s="2123"/>
      <c r="P41" s="3437"/>
      <c r="Q41" s="1586" t="str">
        <f t="shared" si="11"/>
        <v>进深比</v>
      </c>
      <c r="R41" s="1558" t="s">
        <v>8</v>
      </c>
      <c r="S41" s="1559">
        <f t="shared" si="12"/>
        <v>100</v>
      </c>
      <c r="T41" s="1558" t="s">
        <v>8</v>
      </c>
      <c r="U41" s="1559">
        <f t="shared" si="13"/>
        <v>100</v>
      </c>
      <c r="V41" s="1558" t="s">
        <v>8</v>
      </c>
      <c r="W41" s="1559">
        <f t="shared" si="14"/>
        <v>100</v>
      </c>
      <c r="X41" s="1560"/>
      <c r="Y41" s="3437"/>
      <c r="Z41" s="1561" t="str">
        <f t="shared" si="15"/>
        <v>进深比</v>
      </c>
      <c r="AA41" s="1557">
        <f t="shared" si="3"/>
        <v>1</v>
      </c>
      <c r="AB41" s="1557">
        <f t="shared" si="4"/>
        <v>1</v>
      </c>
      <c r="AC41" s="1557">
        <f t="shared" si="5"/>
        <v>1</v>
      </c>
    </row>
    <row r="42" spans="1:29" ht="15">
      <c r="A42" s="574"/>
      <c r="B42" s="507" t="s">
        <v>875</v>
      </c>
      <c r="C42" s="554" t="s">
        <v>3335</v>
      </c>
      <c r="D42" s="520">
        <v>100</v>
      </c>
      <c r="E42" s="554" t="s">
        <v>3335</v>
      </c>
      <c r="F42" s="555">
        <f>SUMIF(122:122,E42,123:123)-SUMIF(122:122,C42,123:123)+100</f>
        <v>100</v>
      </c>
      <c r="G42" s="554" t="s">
        <v>3335</v>
      </c>
      <c r="H42" s="520">
        <f>SUMIF(122:122,G42,123:123)-SUMIF(122:122,C42,123:123)+100</f>
        <v>100</v>
      </c>
      <c r="I42" s="554" t="s">
        <v>3335</v>
      </c>
      <c r="J42" s="520">
        <f>SUMIF(122:122,I42,123:123)-SUMIF(122:122,C42,123:123)+100</f>
        <v>100</v>
      </c>
      <c r="K42" s="564">
        <f>'[1]不动产比较法-多层'!K42</f>
        <v>2</v>
      </c>
      <c r="L42" s="2122"/>
      <c r="M42" s="2114"/>
      <c r="N42" s="2114"/>
      <c r="O42" s="2121"/>
      <c r="P42" s="3437"/>
      <c r="Q42" s="1553" t="str">
        <f t="shared" si="11"/>
        <v>内部装修</v>
      </c>
      <c r="R42" s="1554" t="s">
        <v>8</v>
      </c>
      <c r="S42" s="1555">
        <f t="shared" si="12"/>
        <v>100</v>
      </c>
      <c r="T42" s="1554" t="s">
        <v>8</v>
      </c>
      <c r="U42" s="1555">
        <f t="shared" si="13"/>
        <v>100</v>
      </c>
      <c r="V42" s="1554" t="s">
        <v>8</v>
      </c>
      <c r="W42" s="1555">
        <f t="shared" si="14"/>
        <v>100</v>
      </c>
      <c r="X42" s="1548"/>
      <c r="Y42" s="3437"/>
      <c r="Z42" s="1556" t="str">
        <f t="shared" si="15"/>
        <v>内部装修</v>
      </c>
      <c r="AA42" s="1557">
        <f t="shared" si="3"/>
        <v>1</v>
      </c>
      <c r="AB42" s="1557">
        <f t="shared" si="4"/>
        <v>1</v>
      </c>
      <c r="AC42" s="1557">
        <f t="shared" si="5"/>
        <v>1</v>
      </c>
    </row>
    <row r="43" spans="1:29" ht="27">
      <c r="A43" s="574"/>
      <c r="B43" s="507" t="s">
        <v>787</v>
      </c>
      <c r="C43" s="554" t="s">
        <v>531</v>
      </c>
      <c r="D43" s="520">
        <v>100</v>
      </c>
      <c r="E43" s="554" t="s">
        <v>1072</v>
      </c>
      <c r="F43" s="555">
        <f>SUMIF(124:124,E43,125:125)-SUMIF(124:124,C43,125:125)+100</f>
        <v>100</v>
      </c>
      <c r="G43" s="554" t="s">
        <v>1072</v>
      </c>
      <c r="H43" s="520">
        <f>SUMIF(124:124,G43,125:125)-SUMIF(124:124,C43,125:125)+100</f>
        <v>100</v>
      </c>
      <c r="I43" s="554" t="s">
        <v>1072</v>
      </c>
      <c r="J43" s="520">
        <f>SUMIF(124:124,I43,125:125)-SUMIF(124:124,C43,125:125)+100</f>
        <v>100</v>
      </c>
      <c r="K43" s="564">
        <f>'[1]不动产比较法-多层'!K43</f>
        <v>2</v>
      </c>
      <c r="L43" s="2122"/>
      <c r="M43" s="2114"/>
      <c r="N43" s="2114"/>
      <c r="O43" s="2121"/>
      <c r="P43" s="3437"/>
      <c r="Q43" s="1553" t="str">
        <f t="shared" si="11"/>
        <v>内部装修维护情况</v>
      </c>
      <c r="R43" s="1554" t="s">
        <v>8</v>
      </c>
      <c r="S43" s="1555">
        <f t="shared" si="12"/>
        <v>100</v>
      </c>
      <c r="T43" s="1554" t="s">
        <v>8</v>
      </c>
      <c r="U43" s="1555">
        <f t="shared" si="13"/>
        <v>100</v>
      </c>
      <c r="V43" s="1554" t="s">
        <v>8</v>
      </c>
      <c r="W43" s="1555">
        <f t="shared" si="14"/>
        <v>100</v>
      </c>
      <c r="X43" s="1548"/>
      <c r="Y43" s="3437"/>
      <c r="Z43" s="1556" t="str">
        <f t="shared" si="15"/>
        <v>内部装修维护情况</v>
      </c>
      <c r="AA43" s="1557">
        <f t="shared" si="3"/>
        <v>1</v>
      </c>
      <c r="AB43" s="1557">
        <f t="shared" si="4"/>
        <v>1</v>
      </c>
      <c r="AC43" s="1557">
        <f t="shared" si="5"/>
        <v>1</v>
      </c>
    </row>
    <row r="44" spans="1:29" s="1199" customFormat="1" ht="15">
      <c r="A44" s="580"/>
      <c r="B44" s="857"/>
      <c r="C44" s="860"/>
      <c r="D44" s="232">
        <v>100</v>
      </c>
      <c r="E44" s="519"/>
      <c r="F44" s="843">
        <f>SUMIF(126:126,E44,127:127)-SUMIF(126:126,C44,127:127)+100</f>
        <v>100</v>
      </c>
      <c r="G44" s="519"/>
      <c r="H44" s="232">
        <f>SUMIF(126:126,G44,127:127)-SUMIF(126:126,C44,127:127)+100</f>
        <v>100</v>
      </c>
      <c r="I44" s="519"/>
      <c r="J44" s="232">
        <f>SUMIF(126:126,I44,127:127)-SUMIF(126:126,C44,127:127)+100</f>
        <v>100</v>
      </c>
      <c r="K44" s="561"/>
      <c r="L44" s="2115"/>
      <c r="M44" s="2116"/>
      <c r="N44" s="2116"/>
      <c r="O44" s="2117"/>
      <c r="P44" s="3437"/>
      <c r="Q44" s="1130">
        <f t="shared" si="11"/>
        <v>0</v>
      </c>
      <c r="R44" s="1549" t="s">
        <v>8</v>
      </c>
      <c r="S44" s="1550">
        <f t="shared" si="12"/>
        <v>100</v>
      </c>
      <c r="T44" s="1549" t="s">
        <v>8</v>
      </c>
      <c r="U44" s="1550">
        <f t="shared" si="13"/>
        <v>100</v>
      </c>
      <c r="V44" s="1549" t="s">
        <v>8</v>
      </c>
      <c r="W44" s="1550">
        <f t="shared" si="14"/>
        <v>100</v>
      </c>
      <c r="X44" s="1551"/>
      <c r="Y44" s="3437"/>
      <c r="Z44" s="1129">
        <f t="shared" si="15"/>
        <v>0</v>
      </c>
      <c r="AA44" s="1552">
        <f t="shared" si="3"/>
        <v>1</v>
      </c>
      <c r="AB44" s="1552">
        <f t="shared" si="4"/>
        <v>1</v>
      </c>
      <c r="AC44" s="1552">
        <f t="shared" si="5"/>
        <v>1</v>
      </c>
    </row>
    <row r="45" spans="1:29" ht="15">
      <c r="A45" s="574"/>
      <c r="B45" s="857"/>
      <c r="C45" s="519"/>
      <c r="D45" s="520">
        <v>100</v>
      </c>
      <c r="E45" s="519"/>
      <c r="F45" s="555">
        <f>SUMIF(128:128,E45,129:129)-SUMIF(128:128,C45,129:129)+100</f>
        <v>100</v>
      </c>
      <c r="G45" s="519"/>
      <c r="H45" s="520">
        <f>SUMIF(128:128,G45,129:129)-SUMIF(128:128,C45,129:129)+100</f>
        <v>100</v>
      </c>
      <c r="I45" s="519"/>
      <c r="J45" s="520">
        <f>SUMIF(128:128,I45,129:129)-SUMIF(128:128,C45,129:129)+100</f>
        <v>100</v>
      </c>
      <c r="K45" s="561"/>
      <c r="L45" s="2122"/>
      <c r="M45" s="2114"/>
      <c r="N45" s="2114"/>
      <c r="O45" s="2121"/>
      <c r="P45" s="3437"/>
      <c r="Q45" s="1553">
        <f t="shared" si="11"/>
        <v>0</v>
      </c>
      <c r="R45" s="1554" t="s">
        <v>8</v>
      </c>
      <c r="S45" s="1555">
        <f t="shared" si="12"/>
        <v>100</v>
      </c>
      <c r="T45" s="1554" t="s">
        <v>8</v>
      </c>
      <c r="U45" s="1555">
        <f t="shared" si="13"/>
        <v>100</v>
      </c>
      <c r="V45" s="1554" t="s">
        <v>8</v>
      </c>
      <c r="W45" s="1555">
        <f t="shared" si="14"/>
        <v>100</v>
      </c>
      <c r="X45" s="1548"/>
      <c r="Y45" s="3437"/>
      <c r="Z45" s="1556">
        <f t="shared" si="15"/>
        <v>0</v>
      </c>
      <c r="AA45" s="1557">
        <f t="shared" si="3"/>
        <v>1</v>
      </c>
      <c r="AB45" s="1557">
        <f t="shared" si="4"/>
        <v>1</v>
      </c>
      <c r="AC45" s="1557">
        <f t="shared" si="5"/>
        <v>1</v>
      </c>
    </row>
    <row r="46" spans="1:29" ht="15.75" thickBot="1">
      <c r="A46" s="866"/>
      <c r="B46" s="524"/>
      <c r="C46" s="525"/>
      <c r="D46" s="526">
        <v>100</v>
      </c>
      <c r="E46" s="519"/>
      <c r="F46" s="846">
        <f>SUMIF(130:130,E46,131:131)-SUMIF(130:130,C46,131:131)+100</f>
        <v>100</v>
      </c>
      <c r="G46" s="519"/>
      <c r="H46" s="526">
        <f>SUMIF(130:130,G46,131:131)-SUMIF(130:130,C46,131:131)+100</f>
        <v>100</v>
      </c>
      <c r="I46" s="519"/>
      <c r="J46" s="526">
        <f>SUMIF(130:130,I46,131:131)-SUMIF(130:130,C46,131:131)+100</f>
        <v>100</v>
      </c>
      <c r="K46" s="561"/>
      <c r="L46" s="2122"/>
      <c r="M46" s="2114"/>
      <c r="N46" s="2114"/>
      <c r="O46" s="2121"/>
      <c r="P46" s="3513"/>
      <c r="Q46" s="1553">
        <f t="shared" si="11"/>
        <v>0</v>
      </c>
      <c r="R46" s="1554" t="s">
        <v>8</v>
      </c>
      <c r="S46" s="1555">
        <f t="shared" si="12"/>
        <v>100</v>
      </c>
      <c r="T46" s="1554" t="s">
        <v>8</v>
      </c>
      <c r="U46" s="1555">
        <f t="shared" si="13"/>
        <v>100</v>
      </c>
      <c r="V46" s="1554" t="s">
        <v>8</v>
      </c>
      <c r="W46" s="1555">
        <f t="shared" si="14"/>
        <v>100</v>
      </c>
      <c r="X46" s="1548"/>
      <c r="Y46" s="3513"/>
      <c r="Z46" s="1556">
        <f t="shared" si="15"/>
        <v>0</v>
      </c>
      <c r="AA46" s="1557">
        <f t="shared" si="3"/>
        <v>1</v>
      </c>
      <c r="AB46" s="1557">
        <f t="shared" si="4"/>
        <v>1</v>
      </c>
      <c r="AC46" s="1557">
        <f t="shared" si="5"/>
        <v>1</v>
      </c>
    </row>
    <row r="47" spans="1:29" ht="15">
      <c r="A47" s="587" t="s">
        <v>790</v>
      </c>
      <c r="B47" s="867"/>
      <c r="C47" s="2640" t="s">
        <v>1</v>
      </c>
      <c r="D47" s="2641"/>
      <c r="E47" s="2642">
        <f>ROUND(50219.34,0)</f>
        <v>50219</v>
      </c>
      <c r="F47" s="2643"/>
      <c r="G47" s="2644">
        <v>48000</v>
      </c>
      <c r="H47" s="2645"/>
      <c r="I47" s="2642">
        <f>ROUND(49500*0.98,0)</f>
        <v>48510</v>
      </c>
      <c r="J47" s="2645"/>
      <c r="K47" s="1592"/>
      <c r="L47" s="2124"/>
      <c r="M47" s="2125"/>
      <c r="N47" s="2114"/>
      <c r="O47" s="2125"/>
      <c r="P47" s="3396" t="str">
        <f>A47</f>
        <v>成交单价（元/平方米）</v>
      </c>
      <c r="Q47" s="3396"/>
      <c r="R47" s="3512">
        <f>E47</f>
        <v>50219</v>
      </c>
      <c r="S47" s="3512"/>
      <c r="T47" s="3512">
        <f>G47</f>
        <v>48000</v>
      </c>
      <c r="U47" s="3512"/>
      <c r="V47" s="3512">
        <f>I47</f>
        <v>48510</v>
      </c>
      <c r="W47" s="3512"/>
      <c r="X47" s="1540"/>
      <c r="Y47" s="1562"/>
      <c r="Z47" s="1540"/>
      <c r="AA47" s="1540"/>
      <c r="AB47" s="1540"/>
      <c r="AC47" s="1540"/>
    </row>
    <row r="48" spans="1:29" ht="15.75" thickBot="1">
      <c r="A48" s="595" t="s">
        <v>3043</v>
      </c>
      <c r="B48" s="868"/>
      <c r="C48" s="2646">
        <f>R49</f>
        <v>51912</v>
      </c>
      <c r="D48" s="2647"/>
      <c r="E48" s="2648">
        <f>R48</f>
        <v>50808</v>
      </c>
      <c r="F48" s="2648"/>
      <c r="G48" s="2646">
        <f>T48</f>
        <v>52678</v>
      </c>
      <c r="H48" s="2647"/>
      <c r="I48" s="2648">
        <f>V48</f>
        <v>52249</v>
      </c>
      <c r="J48" s="2647"/>
      <c r="K48" s="1593"/>
      <c r="L48" s="2124"/>
      <c r="M48" s="2125"/>
      <c r="N48" s="2114"/>
      <c r="O48" s="2125"/>
      <c r="P48" s="3396" t="str">
        <f>A48</f>
        <v>比较价格（元/平方米）</v>
      </c>
      <c r="Q48" s="3396"/>
      <c r="R48" s="3512">
        <f>IF(F1="售价",ROUND(PRODUCT(R47,AA7:AA46),0),ROUND(PRODUCT(R47,AA7:AA46),1))</f>
        <v>50808</v>
      </c>
      <c r="S48" s="3512"/>
      <c r="T48" s="3512">
        <f>IF(F1="售价",ROUND(PRODUCT(T47,AB7:AB46),0),ROUND(PRODUCT(T47,AB7:AB46),1))</f>
        <v>52678</v>
      </c>
      <c r="U48" s="3512"/>
      <c r="V48" s="3512">
        <f>IF(F1="售价",ROUND(PRODUCT(V47,AC7:AC46),0),ROUND(PRODUCT(V47,AC7:AC46),1))</f>
        <v>52249</v>
      </c>
      <c r="W48" s="3512"/>
      <c r="X48" s="1540"/>
      <c r="Y48" s="1540"/>
      <c r="Z48" s="1540"/>
      <c r="AA48" s="1540"/>
      <c r="AB48" s="1540"/>
      <c r="AC48" s="1540"/>
    </row>
    <row r="49" spans="1:29" ht="15.75" thickBot="1">
      <c r="A49" s="601" t="s">
        <v>3044</v>
      </c>
      <c r="B49" s="602"/>
      <c r="C49" s="2649">
        <f>R49</f>
        <v>51912</v>
      </c>
      <c r="D49" s="2649"/>
      <c r="E49" s="2649"/>
      <c r="F49" s="2649"/>
      <c r="G49" s="2649"/>
      <c r="H49" s="2649"/>
      <c r="I49" s="2649"/>
      <c r="J49" s="2649"/>
      <c r="K49" s="1594"/>
      <c r="L49" s="2124"/>
      <c r="M49" s="2125"/>
      <c r="N49" s="2114"/>
      <c r="O49" s="2125"/>
      <c r="P49" s="3393" t="str">
        <f>A49</f>
        <v>估价对象XX用房的比较价格（楼面单价，元/平方米）</v>
      </c>
      <c r="Q49" s="3394"/>
      <c r="R49" s="3511">
        <f>IF(F1="售价",ROUND(AVERAGE(R48:V48),0),ROUND(AVERAGE(R48:V48),1))</f>
        <v>51912</v>
      </c>
      <c r="S49" s="3511"/>
      <c r="T49" s="3511"/>
      <c r="U49" s="3511"/>
      <c r="V49" s="3511"/>
      <c r="W49" s="3511"/>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04" t="s">
        <v>553</v>
      </c>
      <c r="D52" s="605"/>
      <c r="E52" s="606">
        <f>IF(E47&lt;E48,E48/E47-1,E47/E48-1)</f>
        <v>1.1728628606702651E-2</v>
      </c>
      <c r="F52" s="607" t="str">
        <f>IF(OR(E52&gt;=0.3,E52&lt;=-0.3),"超过30%","")</f>
        <v/>
      </c>
      <c r="G52" s="606">
        <f>IF(G47&lt;G48,G48/G47-1,G47/G48-1)</f>
        <v>9.7458333333333425E-2</v>
      </c>
      <c r="H52" s="607" t="str">
        <f>IF(OR(G52&gt;=0.3,G52&lt;=-0.3),"超过30%","")</f>
        <v/>
      </c>
      <c r="I52" s="606">
        <f>IF(I47&lt;I48,I48/I47-1,I47/I48-1)</f>
        <v>7.7076891362605648E-2</v>
      </c>
      <c r="J52" s="607"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04" t="s">
        <v>554</v>
      </c>
      <c r="D53" s="608"/>
      <c r="E53" s="606">
        <f>IF(E48&lt;G48,G48/E48-1,E48/G48-1)</f>
        <v>3.6805227523224682E-2</v>
      </c>
      <c r="F53" s="607" t="str">
        <f>IF(OR(E53&gt;=0.2,E53&lt;=-0.2),"超过20%","")</f>
        <v/>
      </c>
      <c r="G53" s="606">
        <f>IF(G48&lt;I48,I48/G48-1,G48/I48-1)</f>
        <v>8.2106834580566446E-3</v>
      </c>
      <c r="H53" s="607" t="str">
        <f>IF(OR(G53&gt;=0.2,G53&lt;=-0.2),"超过20%","")</f>
        <v/>
      </c>
      <c r="I53" s="606">
        <f>IF(I48&lt;E48,E48/I48-1,I48/E48-1)</f>
        <v>2.8361675326720182E-2</v>
      </c>
      <c r="J53" s="607"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0" customFormat="1" ht="13.5" customHeight="1">
      <c r="A54" s="2126"/>
      <c r="B54" s="2126"/>
      <c r="C54" s="604" t="s">
        <v>555</v>
      </c>
      <c r="D54" s="608"/>
      <c r="E54" s="606">
        <f>IF(E47&lt;G47,G47/E47-1,E47/G47-1)</f>
        <v>4.6229166666666766E-2</v>
      </c>
      <c r="F54" s="607" t="str">
        <f>IF(OR(E54&gt;=0.3,E54&lt;=-0.3),"超过30%","")</f>
        <v/>
      </c>
      <c r="G54" s="606">
        <f>IF(G47&lt;I47,I47/G47-1,G47/I47-1)</f>
        <v>1.0625000000000107E-2</v>
      </c>
      <c r="H54" s="607" t="str">
        <f>IF(OR(G54&gt;=0.3,G54&lt;=-0.3),"超过30%","")</f>
        <v/>
      </c>
      <c r="I54" s="606">
        <f>IF(I47&lt;E47,E47/I47-1,I47/E47-1)</f>
        <v>3.5229849515563849E-2</v>
      </c>
      <c r="J54" s="607"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0"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5" t="s">
        <v>570</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2" customFormat="1" ht="15">
      <c r="A58" s="625" t="s">
        <v>518</v>
      </c>
      <c r="B58" s="626"/>
      <c r="C58" s="2820" t="str">
        <f>YEAR(C7)&amp;"-"&amp;MONTH(C7)</f>
        <v>2017-6</v>
      </c>
      <c r="D58" s="2822">
        <f>EDATE(C58,-1)</f>
        <v>42856</v>
      </c>
      <c r="E58" s="2822">
        <f t="shared" ref="E58:O58" si="16">EDATE(D58,-1)</f>
        <v>42826</v>
      </c>
      <c r="F58" s="2822">
        <f t="shared" si="16"/>
        <v>42795</v>
      </c>
      <c r="G58" s="2822">
        <f t="shared" si="16"/>
        <v>42767</v>
      </c>
      <c r="H58" s="2822">
        <f t="shared" si="16"/>
        <v>42736</v>
      </c>
      <c r="I58" s="2822">
        <f t="shared" si="16"/>
        <v>42705</v>
      </c>
      <c r="J58" s="2822">
        <f t="shared" si="16"/>
        <v>42675</v>
      </c>
      <c r="K58" s="2822">
        <f t="shared" si="16"/>
        <v>42644</v>
      </c>
      <c r="L58" s="2822">
        <f t="shared" si="16"/>
        <v>42614</v>
      </c>
      <c r="M58" s="2822">
        <f t="shared" si="16"/>
        <v>42583</v>
      </c>
      <c r="N58" s="2822">
        <f t="shared" si="16"/>
        <v>42552</v>
      </c>
      <c r="O58" s="2822">
        <f t="shared" si="16"/>
        <v>42522</v>
      </c>
      <c r="P58" s="2140"/>
      <c r="Q58" s="2141"/>
      <c r="R58" s="2141"/>
      <c r="S58" s="2141"/>
      <c r="T58" s="2141"/>
      <c r="U58" s="2141"/>
      <c r="V58" s="2141"/>
      <c r="W58" s="2141"/>
      <c r="X58" s="2141"/>
      <c r="Y58" s="2141"/>
      <c r="Z58" s="2141"/>
      <c r="AA58" s="2141"/>
      <c r="AB58" s="2141"/>
      <c r="AC58" s="2141"/>
    </row>
    <row r="59" spans="1:29" s="1199" customFormat="1" ht="15">
      <c r="A59" s="627"/>
      <c r="B59" s="628"/>
      <c r="C59" s="629">
        <v>100</v>
      </c>
      <c r="D59" s="630">
        <v>99.5</v>
      </c>
      <c r="E59" s="630">
        <v>99</v>
      </c>
      <c r="F59" s="630">
        <v>98.5</v>
      </c>
      <c r="G59" s="630">
        <v>98</v>
      </c>
      <c r="H59" s="630">
        <v>97.5</v>
      </c>
      <c r="I59" s="630">
        <v>97</v>
      </c>
      <c r="J59" s="630">
        <v>96.5</v>
      </c>
      <c r="K59" s="630">
        <v>96</v>
      </c>
      <c r="L59" s="630">
        <v>95.5</v>
      </c>
      <c r="M59" s="631">
        <v>95</v>
      </c>
      <c r="N59" s="630">
        <v>94.5</v>
      </c>
      <c r="O59" s="632">
        <v>94</v>
      </c>
      <c r="P59" s="2138"/>
      <c r="Q59" s="1969"/>
      <c r="R59" s="1969"/>
      <c r="S59" s="1969"/>
      <c r="T59" s="1969"/>
      <c r="U59" s="1969"/>
      <c r="V59" s="1969"/>
      <c r="W59" s="1969"/>
      <c r="X59" s="1969"/>
      <c r="Y59" s="1969"/>
      <c r="Z59" s="1969"/>
      <c r="AA59" s="1969"/>
      <c r="AB59" s="1969"/>
      <c r="AC59" s="1969"/>
    </row>
    <row r="60" spans="1:29" s="1199" customFormat="1" ht="15.75" thickBot="1">
      <c r="A60" s="633" t="s">
        <v>571</v>
      </c>
      <c r="B60" s="634"/>
      <c r="C60" s="635"/>
      <c r="D60" s="636"/>
      <c r="E60" s="636"/>
      <c r="F60" s="636"/>
      <c r="G60" s="636"/>
      <c r="H60" s="636"/>
      <c r="I60" s="636"/>
      <c r="J60" s="636"/>
      <c r="K60" s="636"/>
      <c r="L60" s="636"/>
      <c r="M60" s="637"/>
      <c r="N60" s="636"/>
      <c r="O60" s="638"/>
      <c r="P60" s="2138"/>
      <c r="Q60" s="2138"/>
      <c r="R60" s="1969"/>
      <c r="S60" s="1969"/>
      <c r="T60" s="1969"/>
      <c r="U60" s="1969"/>
      <c r="V60" s="1969"/>
      <c r="W60" s="1969"/>
      <c r="X60" s="1969"/>
      <c r="Y60" s="1969"/>
      <c r="Z60" s="1969"/>
      <c r="AA60" s="1969"/>
      <c r="AB60" s="1969"/>
      <c r="AC60" s="1969"/>
    </row>
    <row r="61" spans="1:29" s="1199" customFormat="1" ht="15">
      <c r="A61" s="639" t="s">
        <v>520</v>
      </c>
      <c r="B61" s="628"/>
      <c r="C61" s="640" t="s">
        <v>572</v>
      </c>
      <c r="D61" s="641" t="s">
        <v>573</v>
      </c>
      <c r="E61" s="641"/>
      <c r="F61" s="641"/>
      <c r="G61" s="641"/>
      <c r="H61" s="641"/>
      <c r="I61" s="641"/>
      <c r="J61" s="641"/>
      <c r="K61" s="641"/>
      <c r="L61" s="642"/>
      <c r="M61" s="643"/>
      <c r="N61" s="2142"/>
      <c r="O61" s="2142"/>
      <c r="P61" s="2143"/>
      <c r="Q61" s="2138"/>
      <c r="R61" s="1969"/>
      <c r="S61" s="1969"/>
      <c r="T61" s="1969"/>
      <c r="U61" s="1969"/>
      <c r="V61" s="1969"/>
      <c r="W61" s="1969"/>
      <c r="X61" s="1969"/>
      <c r="Y61" s="1969"/>
      <c r="Z61" s="1969"/>
      <c r="AA61" s="1969"/>
      <c r="AB61" s="1969"/>
      <c r="AC61" s="1969"/>
    </row>
    <row r="62" spans="1:29" s="1199" customFormat="1" ht="15.75" thickBot="1">
      <c r="A62" s="639"/>
      <c r="B62" s="628"/>
      <c r="C62" s="869">
        <v>100</v>
      </c>
      <c r="D62" s="630">
        <v>102</v>
      </c>
      <c r="E62" s="630"/>
      <c r="F62" s="630"/>
      <c r="G62" s="630"/>
      <c r="H62" s="630"/>
      <c r="I62" s="630"/>
      <c r="J62" s="630"/>
      <c r="K62" s="630"/>
      <c r="L62" s="630"/>
      <c r="M62" s="632"/>
      <c r="N62" s="2142"/>
      <c r="O62" s="2142"/>
      <c r="P62" s="2138"/>
      <c r="Q62" s="2138"/>
      <c r="R62" s="1969"/>
      <c r="S62" s="1969"/>
      <c r="T62" s="1969"/>
      <c r="U62" s="1969"/>
      <c r="V62" s="1969"/>
      <c r="W62" s="1969"/>
      <c r="X62" s="1969"/>
      <c r="Y62" s="1969"/>
      <c r="Z62" s="1969"/>
      <c r="AA62" s="1969"/>
      <c r="AB62" s="1969"/>
      <c r="AC62" s="1184"/>
    </row>
    <row r="63" spans="1:29">
      <c r="A63" s="644" t="s">
        <v>574</v>
      </c>
      <c r="B63" s="645" t="s">
        <v>523</v>
      </c>
      <c r="C63" s="684" t="str">
        <f>C9</f>
        <v>商业</v>
      </c>
      <c r="D63" s="578" t="s">
        <v>876</v>
      </c>
      <c r="E63" s="578"/>
      <c r="F63" s="578"/>
      <c r="G63" s="578"/>
      <c r="H63" s="578"/>
      <c r="I63" s="578"/>
      <c r="J63" s="578"/>
      <c r="K63" s="646"/>
      <c r="L63" s="647"/>
      <c r="M63" s="648"/>
      <c r="N63" s="2144"/>
      <c r="O63" s="2144"/>
      <c r="P63" s="2145"/>
      <c r="Q63" s="2138"/>
      <c r="R63" s="2125"/>
      <c r="S63" s="2125"/>
      <c r="T63" s="2125"/>
      <c r="U63" s="2125"/>
      <c r="V63" s="2125"/>
      <c r="W63" s="2125"/>
      <c r="X63" s="2125"/>
      <c r="Y63" s="2125"/>
      <c r="Z63" s="2125"/>
      <c r="AA63" s="2125"/>
      <c r="AB63" s="2125"/>
      <c r="AC63" s="2125"/>
    </row>
    <row r="64" spans="1:29" ht="15.75" thickBot="1">
      <c r="A64" s="649"/>
      <c r="B64" s="650"/>
      <c r="C64" s="651">
        <v>100</v>
      </c>
      <c r="D64" s="651">
        <v>95</v>
      </c>
      <c r="E64" s="651"/>
      <c r="F64" s="651"/>
      <c r="G64" s="651"/>
      <c r="H64" s="651"/>
      <c r="I64" s="651"/>
      <c r="J64" s="651"/>
      <c r="K64" s="651"/>
      <c r="L64" s="651"/>
      <c r="M64" s="652"/>
      <c r="N64" s="2146"/>
      <c r="O64" s="2146"/>
      <c r="P64" s="2145"/>
      <c r="Q64" s="2138"/>
      <c r="R64" s="2125"/>
      <c r="S64" s="2125"/>
      <c r="T64" s="2125"/>
      <c r="U64" s="2125"/>
      <c r="V64" s="2125"/>
      <c r="W64" s="2125"/>
      <c r="X64" s="2125"/>
      <c r="Y64" s="2125"/>
      <c r="Z64" s="2125"/>
      <c r="AA64" s="2125"/>
      <c r="AB64" s="2125"/>
      <c r="AC64" s="2125"/>
    </row>
    <row r="65" spans="1:29" ht="27.75" thickTop="1">
      <c r="A65" s="649"/>
      <c r="B65" s="653" t="s">
        <v>526</v>
      </c>
      <c r="C65" s="654" t="s">
        <v>792</v>
      </c>
      <c r="D65" s="654" t="s">
        <v>793</v>
      </c>
      <c r="E65" s="654" t="s">
        <v>794</v>
      </c>
      <c r="F65" s="654" t="s">
        <v>795</v>
      </c>
      <c r="G65" s="654" t="s">
        <v>796</v>
      </c>
      <c r="H65" s="654" t="s">
        <v>797</v>
      </c>
      <c r="I65" s="654" t="s">
        <v>798</v>
      </c>
      <c r="J65" s="654"/>
      <c r="K65" s="655"/>
      <c r="L65" s="656"/>
      <c r="M65" s="657"/>
      <c r="N65" s="2144"/>
      <c r="O65" s="2144"/>
      <c r="P65" s="2145"/>
      <c r="Q65" s="2138"/>
      <c r="R65" s="2125"/>
      <c r="S65" s="2125"/>
      <c r="T65" s="2125"/>
      <c r="U65" s="2125"/>
      <c r="V65" s="2125"/>
      <c r="W65" s="2125"/>
      <c r="X65" s="2125"/>
      <c r="Y65" s="2125"/>
      <c r="Z65" s="2125"/>
      <c r="AA65" s="2125"/>
      <c r="AB65" s="2125"/>
      <c r="AC65" s="2125"/>
    </row>
    <row r="66" spans="1:29" ht="15.75" thickBot="1">
      <c r="A66" s="649"/>
      <c r="B66" s="658"/>
      <c r="C66" s="659" t="s">
        <v>14</v>
      </c>
      <c r="D66" s="659" t="s">
        <v>15</v>
      </c>
      <c r="E66" s="659" t="s">
        <v>16</v>
      </c>
      <c r="F66" s="659">
        <v>100</v>
      </c>
      <c r="G66" s="659">
        <f>F66-$K10</f>
        <v>98</v>
      </c>
      <c r="H66" s="659">
        <f>G66-$K10</f>
        <v>96</v>
      </c>
      <c r="I66" s="659">
        <f>H66-$K10</f>
        <v>94</v>
      </c>
      <c r="J66" s="659"/>
      <c r="K66" s="659"/>
      <c r="L66" s="659"/>
      <c r="M66" s="660"/>
      <c r="N66" s="2146"/>
      <c r="O66" s="2146"/>
      <c r="P66" s="2145"/>
      <c r="Q66" s="2138"/>
      <c r="R66" s="2125"/>
      <c r="S66" s="2125"/>
      <c r="T66" s="2125"/>
      <c r="U66" s="2125"/>
      <c r="V66" s="2125"/>
      <c r="W66" s="2125"/>
      <c r="X66" s="2125"/>
      <c r="Y66" s="2125"/>
      <c r="Z66" s="2125"/>
      <c r="AA66" s="2125"/>
      <c r="AB66" s="2125"/>
      <c r="AC66" s="2125"/>
    </row>
    <row r="67" spans="1:29" ht="15.75" thickTop="1">
      <c r="A67" s="649"/>
      <c r="B67" s="661" t="s">
        <v>527</v>
      </c>
      <c r="C67" s="662" t="str">
        <f>C68&amp;"（含）"&amp;"-"&amp;D68</f>
        <v>0（含）-1</v>
      </c>
      <c r="D67" s="662" t="str">
        <f t="shared" ref="D67:L67" si="17">D68&amp;"（含）"&amp;"-"&amp;E68</f>
        <v>1（含）-2</v>
      </c>
      <c r="E67" s="662" t="str">
        <f t="shared" si="17"/>
        <v>2（含）-3</v>
      </c>
      <c r="F67" s="662" t="str">
        <f t="shared" si="17"/>
        <v>3（含）-4</v>
      </c>
      <c r="G67" s="662" t="str">
        <f t="shared" si="17"/>
        <v>4（含）-</v>
      </c>
      <c r="H67" s="662" t="str">
        <f t="shared" si="17"/>
        <v>（含）-</v>
      </c>
      <c r="I67" s="662" t="str">
        <f t="shared" si="17"/>
        <v>（含）-</v>
      </c>
      <c r="J67" s="662" t="str">
        <f t="shared" si="17"/>
        <v>（含）-</v>
      </c>
      <c r="K67" s="662" t="str">
        <f t="shared" si="17"/>
        <v>（含）-</v>
      </c>
      <c r="L67" s="662" t="str">
        <f t="shared" si="17"/>
        <v>（含）-</v>
      </c>
      <c r="M67" s="535"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49"/>
      <c r="B68" s="663"/>
      <c r="C68" s="521">
        <v>0</v>
      </c>
      <c r="D68" s="521">
        <v>1</v>
      </c>
      <c r="E68" s="521">
        <v>2</v>
      </c>
      <c r="F68" s="521">
        <v>3</v>
      </c>
      <c r="G68" s="521">
        <v>4</v>
      </c>
      <c r="H68" s="521"/>
      <c r="I68" s="521"/>
      <c r="J68" s="521"/>
      <c r="K68" s="664"/>
      <c r="L68" s="665"/>
      <c r="M68" s="666"/>
      <c r="N68" s="2144"/>
      <c r="O68" s="2144"/>
      <c r="P68" s="2145"/>
      <c r="Q68" s="2138"/>
      <c r="R68" s="2125"/>
      <c r="S68" s="2125"/>
      <c r="T68" s="2125"/>
      <c r="U68" s="2125"/>
      <c r="V68" s="2125"/>
      <c r="W68" s="2125"/>
      <c r="X68" s="2125"/>
      <c r="Y68" s="2125"/>
      <c r="Z68" s="2125"/>
      <c r="AA68" s="2125"/>
      <c r="AB68" s="2125"/>
      <c r="AC68" s="2125"/>
    </row>
    <row r="69" spans="1:29" ht="15.75" thickBot="1">
      <c r="A69" s="649"/>
      <c r="B69" s="650"/>
      <c r="C69" s="659">
        <v>100</v>
      </c>
      <c r="D69" s="659">
        <f t="shared" ref="D69:M69" si="18">C69-$K11</f>
        <v>99</v>
      </c>
      <c r="E69" s="659">
        <f t="shared" si="18"/>
        <v>98</v>
      </c>
      <c r="F69" s="659">
        <f t="shared" si="18"/>
        <v>97</v>
      </c>
      <c r="G69" s="659">
        <f t="shared" si="18"/>
        <v>96</v>
      </c>
      <c r="H69" s="659">
        <f t="shared" si="18"/>
        <v>95</v>
      </c>
      <c r="I69" s="659">
        <f t="shared" si="18"/>
        <v>94</v>
      </c>
      <c r="J69" s="659">
        <f t="shared" si="18"/>
        <v>93</v>
      </c>
      <c r="K69" s="659">
        <f t="shared" si="18"/>
        <v>92</v>
      </c>
      <c r="L69" s="659">
        <f t="shared" si="18"/>
        <v>91</v>
      </c>
      <c r="M69" s="660">
        <f t="shared" si="18"/>
        <v>90</v>
      </c>
      <c r="N69" s="2146"/>
      <c r="O69" s="2146"/>
      <c r="P69" s="2145"/>
      <c r="Q69" s="2138"/>
      <c r="R69" s="2125"/>
      <c r="S69" s="2125"/>
      <c r="T69" s="2125"/>
      <c r="U69" s="2125"/>
      <c r="V69" s="2125"/>
      <c r="W69" s="2125"/>
      <c r="X69" s="2125"/>
      <c r="Y69" s="2125"/>
      <c r="Z69" s="2125"/>
      <c r="AA69" s="2125"/>
      <c r="AB69" s="2125"/>
      <c r="AC69" s="2125"/>
    </row>
    <row r="70" spans="1:29" s="1324" customFormat="1" ht="15.75" thickTop="1">
      <c r="A70" s="667"/>
      <c r="B70" s="653">
        <f>B12</f>
        <v>0</v>
      </c>
      <c r="C70" s="668">
        <v>111</v>
      </c>
      <c r="D70" s="668">
        <v>222</v>
      </c>
      <c r="E70" s="668">
        <v>333</v>
      </c>
      <c r="F70" s="668">
        <v>444</v>
      </c>
      <c r="G70" s="668"/>
      <c r="H70" s="669"/>
      <c r="I70" s="669"/>
      <c r="J70" s="669"/>
      <c r="K70" s="669"/>
      <c r="L70" s="670"/>
      <c r="M70" s="671"/>
      <c r="N70" s="2147"/>
      <c r="O70" s="2147"/>
      <c r="P70" s="2148"/>
      <c r="Q70" s="2149"/>
      <c r="R70" s="2150"/>
      <c r="S70" s="2150"/>
      <c r="T70" s="2150"/>
      <c r="U70" s="2150"/>
      <c r="V70" s="2150"/>
      <c r="W70" s="2150"/>
      <c r="X70" s="2150"/>
      <c r="Y70" s="2150"/>
      <c r="Z70" s="2150"/>
      <c r="AA70" s="2150"/>
      <c r="AB70" s="2150"/>
      <c r="AC70" s="2150"/>
    </row>
    <row r="71" spans="1:29" s="1324" customFormat="1" ht="15.75" thickBot="1">
      <c r="A71" s="667"/>
      <c r="B71" s="658"/>
      <c r="C71" s="672">
        <v>100</v>
      </c>
      <c r="D71" s="651">
        <v>99</v>
      </c>
      <c r="E71" s="651">
        <v>98</v>
      </c>
      <c r="F71" s="651">
        <v>97</v>
      </c>
      <c r="G71" s="651"/>
      <c r="H71" s="651"/>
      <c r="I71" s="651"/>
      <c r="J71" s="651"/>
      <c r="K71" s="651"/>
      <c r="L71" s="651"/>
      <c r="M71" s="652"/>
      <c r="N71" s="2146"/>
      <c r="O71" s="2146"/>
      <c r="P71" s="2148"/>
      <c r="Q71" s="2149"/>
      <c r="R71" s="2150"/>
      <c r="S71" s="2150"/>
      <c r="T71" s="2150"/>
      <c r="U71" s="2150"/>
      <c r="V71" s="2150"/>
      <c r="W71" s="2150"/>
      <c r="X71" s="2150"/>
      <c r="Y71" s="2150"/>
      <c r="Z71" s="2150"/>
      <c r="AA71" s="2150"/>
      <c r="AB71" s="2150"/>
      <c r="AC71" s="2150"/>
    </row>
    <row r="72" spans="1:29" s="1324" customFormat="1" ht="15.75" thickTop="1">
      <c r="A72" s="667"/>
      <c r="B72" s="653">
        <f>B13</f>
        <v>0</v>
      </c>
      <c r="C72" s="668">
        <v>111</v>
      </c>
      <c r="D72" s="668">
        <v>222</v>
      </c>
      <c r="E72" s="668">
        <v>333</v>
      </c>
      <c r="F72" s="668">
        <v>444</v>
      </c>
      <c r="G72" s="668"/>
      <c r="H72" s="669"/>
      <c r="I72" s="669"/>
      <c r="J72" s="669"/>
      <c r="K72" s="669"/>
      <c r="L72" s="670"/>
      <c r="M72" s="671"/>
      <c r="N72" s="2147"/>
      <c r="O72" s="2147"/>
      <c r="P72" s="2151"/>
      <c r="Q72" s="2152"/>
      <c r="R72" s="2150"/>
      <c r="S72" s="2150"/>
      <c r="T72" s="2150"/>
      <c r="U72" s="2150"/>
      <c r="V72" s="2150"/>
      <c r="W72" s="2150"/>
      <c r="X72" s="2150"/>
      <c r="Y72" s="2150"/>
      <c r="Z72" s="2150"/>
      <c r="AA72" s="2150"/>
      <c r="AB72" s="2150"/>
      <c r="AC72" s="2150"/>
    </row>
    <row r="73" spans="1:29" s="1324" customFormat="1" ht="15.75" thickBot="1">
      <c r="A73" s="667"/>
      <c r="B73" s="658"/>
      <c r="C73" s="672">
        <v>100</v>
      </c>
      <c r="D73" s="651">
        <v>99</v>
      </c>
      <c r="E73" s="651">
        <v>98</v>
      </c>
      <c r="F73" s="651">
        <v>97</v>
      </c>
      <c r="G73" s="672"/>
      <c r="H73" s="673"/>
      <c r="I73" s="673"/>
      <c r="J73" s="673"/>
      <c r="K73" s="673"/>
      <c r="L73" s="673"/>
      <c r="M73" s="674"/>
      <c r="N73" s="2147"/>
      <c r="O73" s="2147"/>
      <c r="P73" s="2148"/>
      <c r="Q73" s="2149"/>
      <c r="R73" s="2150"/>
      <c r="S73" s="2150"/>
      <c r="T73" s="2150"/>
      <c r="U73" s="2150"/>
      <c r="V73" s="2150"/>
      <c r="W73" s="2150"/>
      <c r="X73" s="2150"/>
      <c r="Y73" s="2150"/>
      <c r="Z73" s="2150"/>
      <c r="AA73" s="2150"/>
      <c r="AB73" s="2150"/>
      <c r="AC73" s="2150"/>
    </row>
    <row r="74" spans="1:29" s="1324" customFormat="1" ht="15.75" thickTop="1">
      <c r="A74" s="667"/>
      <c r="B74" s="661">
        <f>B14</f>
        <v>0</v>
      </c>
      <c r="C74" s="668">
        <v>111</v>
      </c>
      <c r="D74" s="668">
        <v>222</v>
      </c>
      <c r="E74" s="668">
        <v>333</v>
      </c>
      <c r="F74" s="668">
        <v>444</v>
      </c>
      <c r="G74" s="641"/>
      <c r="H74" s="675"/>
      <c r="I74" s="675"/>
      <c r="J74" s="675"/>
      <c r="K74" s="675"/>
      <c r="L74" s="676"/>
      <c r="M74" s="677"/>
      <c r="N74" s="2147"/>
      <c r="O74" s="2147"/>
      <c r="P74" s="2153"/>
      <c r="Q74" s="2149"/>
      <c r="R74" s="2150"/>
      <c r="S74" s="2150"/>
      <c r="T74" s="2150"/>
      <c r="U74" s="2150"/>
      <c r="V74" s="2150"/>
      <c r="W74" s="2150"/>
      <c r="X74" s="2150"/>
      <c r="Y74" s="2150"/>
      <c r="Z74" s="2150"/>
      <c r="AA74" s="2150"/>
      <c r="AB74" s="2150"/>
      <c r="AC74" s="2150"/>
    </row>
    <row r="75" spans="1:29" s="1324" customFormat="1" ht="15.75" thickBot="1">
      <c r="A75" s="678"/>
      <c r="B75" s="679"/>
      <c r="C75" s="680">
        <v>100</v>
      </c>
      <c r="D75" s="680">
        <v>98</v>
      </c>
      <c r="E75" s="680">
        <v>96</v>
      </c>
      <c r="F75" s="680">
        <v>94</v>
      </c>
      <c r="G75" s="680"/>
      <c r="H75" s="681"/>
      <c r="I75" s="681"/>
      <c r="J75" s="681"/>
      <c r="K75" s="681"/>
      <c r="L75" s="681"/>
      <c r="M75" s="682"/>
      <c r="N75" s="2147"/>
      <c r="O75" s="2147"/>
      <c r="P75" s="2148"/>
      <c r="Q75" s="2149"/>
      <c r="R75" s="2150"/>
      <c r="S75" s="2150"/>
      <c r="T75" s="2150"/>
      <c r="U75" s="2150"/>
      <c r="V75" s="2150"/>
      <c r="W75" s="2150"/>
      <c r="X75" s="2150"/>
      <c r="Y75" s="2150"/>
      <c r="Z75" s="2150"/>
      <c r="AA75" s="2150"/>
      <c r="AB75" s="2150"/>
      <c r="AC75" s="2150"/>
    </row>
    <row r="76" spans="1:29">
      <c r="A76" s="644" t="s">
        <v>528</v>
      </c>
      <c r="B76" s="645" t="s">
        <v>575</v>
      </c>
      <c r="C76" s="683" t="s">
        <v>576</v>
      </c>
      <c r="D76" s="683" t="s">
        <v>577</v>
      </c>
      <c r="E76" s="683" t="s">
        <v>578</v>
      </c>
      <c r="F76" s="683" t="s">
        <v>579</v>
      </c>
      <c r="G76" s="683" t="s">
        <v>580</v>
      </c>
      <c r="H76" s="684"/>
      <c r="I76" s="684"/>
      <c r="J76" s="684"/>
      <c r="K76" s="685"/>
      <c r="L76" s="686"/>
      <c r="M76" s="687"/>
      <c r="N76" s="2144"/>
      <c r="O76" s="2144"/>
      <c r="P76" s="2154"/>
      <c r="Q76" s="2138"/>
      <c r="R76" s="2125"/>
      <c r="S76" s="2125"/>
      <c r="T76" s="2125"/>
      <c r="U76" s="2125"/>
      <c r="V76" s="2125"/>
      <c r="W76" s="2125"/>
      <c r="X76" s="2125"/>
      <c r="Y76" s="2125"/>
      <c r="Z76" s="2125"/>
      <c r="AA76" s="2125"/>
      <c r="AB76" s="2125"/>
      <c r="AC76" s="2125"/>
    </row>
    <row r="77" spans="1:29" ht="15.75" thickBot="1">
      <c r="A77" s="649"/>
      <c r="B77" s="658"/>
      <c r="C77" s="659">
        <v>100</v>
      </c>
      <c r="D77" s="659">
        <f>C77-$K15</f>
        <v>95</v>
      </c>
      <c r="E77" s="659">
        <f>D77-$K15</f>
        <v>90</v>
      </c>
      <c r="F77" s="659">
        <f>E77-$K15</f>
        <v>85</v>
      </c>
      <c r="G77" s="659">
        <f>F77-$K15</f>
        <v>80</v>
      </c>
      <c r="H77" s="659"/>
      <c r="I77" s="659"/>
      <c r="J77" s="659"/>
      <c r="K77" s="659"/>
      <c r="L77" s="659"/>
      <c r="M77" s="660"/>
      <c r="N77" s="2146"/>
      <c r="O77" s="2146"/>
      <c r="P77" s="2145"/>
      <c r="Q77" s="2138"/>
      <c r="R77" s="2125"/>
      <c r="S77" s="2125"/>
      <c r="T77" s="2125"/>
      <c r="U77" s="2125"/>
      <c r="V77" s="2125"/>
      <c r="W77" s="2125"/>
      <c r="X77" s="2125"/>
      <c r="Y77" s="2125"/>
      <c r="Z77" s="2125"/>
      <c r="AA77" s="2125"/>
      <c r="AB77" s="2125"/>
      <c r="AC77" s="2125"/>
    </row>
    <row r="78" spans="1:29" ht="15.75" thickTop="1">
      <c r="A78" s="649"/>
      <c r="B78" s="653" t="s">
        <v>583</v>
      </c>
      <c r="C78" s="688" t="s">
        <v>576</v>
      </c>
      <c r="D78" s="688" t="s">
        <v>577</v>
      </c>
      <c r="E78" s="688" t="s">
        <v>578</v>
      </c>
      <c r="F78" s="688" t="s">
        <v>579</v>
      </c>
      <c r="G78" s="688" t="s">
        <v>580</v>
      </c>
      <c r="H78" s="654"/>
      <c r="I78" s="654"/>
      <c r="J78" s="654"/>
      <c r="K78" s="655"/>
      <c r="L78" s="656"/>
      <c r="M78" s="657"/>
      <c r="N78" s="2144"/>
      <c r="O78" s="2144"/>
      <c r="P78" s="2145"/>
      <c r="Q78" s="2138"/>
      <c r="R78" s="2125"/>
      <c r="S78" s="2125"/>
      <c r="T78" s="2125"/>
      <c r="U78" s="2125"/>
      <c r="V78" s="2125"/>
      <c r="W78" s="2125"/>
      <c r="X78" s="2125"/>
      <c r="Y78" s="2125"/>
      <c r="Z78" s="2125"/>
      <c r="AA78" s="2125"/>
      <c r="AB78" s="2125"/>
      <c r="AC78" s="2125"/>
    </row>
    <row r="79" spans="1:29" ht="15.75" thickBot="1">
      <c r="A79" s="649"/>
      <c r="B79" s="658"/>
      <c r="C79" s="659">
        <v>100</v>
      </c>
      <c r="D79" s="659">
        <f>C79-$K17</f>
        <v>98</v>
      </c>
      <c r="E79" s="659">
        <f>D79-$K17</f>
        <v>96</v>
      </c>
      <c r="F79" s="659">
        <f>E79-$K17</f>
        <v>94</v>
      </c>
      <c r="G79" s="659">
        <f>F79-$K17</f>
        <v>92</v>
      </c>
      <c r="H79" s="659"/>
      <c r="I79" s="659"/>
      <c r="J79" s="659"/>
      <c r="K79" s="659"/>
      <c r="L79" s="659"/>
      <c r="M79" s="660"/>
      <c r="N79" s="2146"/>
      <c r="O79" s="2146"/>
      <c r="P79" s="2145"/>
      <c r="Q79" s="2138"/>
      <c r="R79" s="2125"/>
      <c r="S79" s="2125"/>
      <c r="T79" s="2125"/>
      <c r="U79" s="2125"/>
      <c r="V79" s="2125"/>
      <c r="W79" s="2125"/>
      <c r="X79" s="2125"/>
      <c r="Y79" s="2125"/>
      <c r="Z79" s="2125"/>
      <c r="AA79" s="2125"/>
      <c r="AB79" s="2125"/>
      <c r="AC79" s="2125"/>
    </row>
    <row r="80" spans="1:29" ht="15.75" thickTop="1">
      <c r="A80" s="649"/>
      <c r="B80" s="1871" t="s">
        <v>2826</v>
      </c>
      <c r="C80" s="688" t="s">
        <v>576</v>
      </c>
      <c r="D80" s="688" t="s">
        <v>577</v>
      </c>
      <c r="E80" s="688" t="s">
        <v>578</v>
      </c>
      <c r="F80" s="688" t="s">
        <v>579</v>
      </c>
      <c r="G80" s="688" t="s">
        <v>580</v>
      </c>
      <c r="H80" s="654"/>
      <c r="I80" s="654"/>
      <c r="J80" s="654"/>
      <c r="K80" s="655"/>
      <c r="L80" s="656"/>
      <c r="M80" s="657"/>
      <c r="N80" s="2144"/>
      <c r="O80" s="2144"/>
      <c r="P80" s="2145"/>
      <c r="Q80" s="2138"/>
      <c r="R80" s="2125"/>
      <c r="S80" s="2125"/>
      <c r="T80" s="2125"/>
      <c r="U80" s="2125"/>
      <c r="V80" s="2125"/>
      <c r="W80" s="2125"/>
      <c r="X80" s="2125"/>
      <c r="Y80" s="2125"/>
      <c r="Z80" s="2125"/>
      <c r="AA80" s="2125"/>
      <c r="AB80" s="2125"/>
      <c r="AC80" s="2125"/>
    </row>
    <row r="81" spans="1:29" ht="15.75" thickBot="1">
      <c r="A81" s="649"/>
      <c r="B81" s="658"/>
      <c r="C81" s="659">
        <v>100</v>
      </c>
      <c r="D81" s="659">
        <f>C81-$K19</f>
        <v>98</v>
      </c>
      <c r="E81" s="659">
        <f>D81-$K19</f>
        <v>96</v>
      </c>
      <c r="F81" s="659">
        <f>E81-$K19</f>
        <v>94</v>
      </c>
      <c r="G81" s="659">
        <f>F81-$K19</f>
        <v>92</v>
      </c>
      <c r="H81" s="659"/>
      <c r="I81" s="659"/>
      <c r="J81" s="659"/>
      <c r="K81" s="659"/>
      <c r="L81" s="659"/>
      <c r="M81" s="660"/>
      <c r="N81" s="2146"/>
      <c r="O81" s="2146"/>
      <c r="P81" s="2145"/>
      <c r="Q81" s="2138"/>
      <c r="R81" s="2125"/>
      <c r="S81" s="2125"/>
      <c r="T81" s="2125"/>
      <c r="U81" s="2125"/>
      <c r="V81" s="2125"/>
      <c r="W81" s="2125"/>
      <c r="X81" s="2125"/>
      <c r="Y81" s="2125"/>
      <c r="Z81" s="2125"/>
      <c r="AA81" s="2125"/>
      <c r="AB81" s="2125"/>
      <c r="AC81" s="2125"/>
    </row>
    <row r="82" spans="1:29" ht="15.75" thickTop="1">
      <c r="A82" s="649"/>
      <c r="B82" s="2610" t="s">
        <v>2827</v>
      </c>
      <c r="C82" s="2611" t="s">
        <v>2828</v>
      </c>
      <c r="D82" s="2611" t="s">
        <v>2829</v>
      </c>
      <c r="E82" s="2611" t="s">
        <v>2830</v>
      </c>
      <c r="F82" s="2611" t="s">
        <v>2831</v>
      </c>
      <c r="G82" s="2611" t="s">
        <v>2832</v>
      </c>
      <c r="H82" s="654"/>
      <c r="I82" s="654"/>
      <c r="J82" s="654"/>
      <c r="K82" s="654"/>
      <c r="L82" s="654"/>
      <c r="M82" s="2614"/>
      <c r="N82" s="2146"/>
      <c r="O82" s="2146"/>
      <c r="P82" s="2145"/>
      <c r="Q82" s="2138"/>
      <c r="R82" s="2125"/>
      <c r="S82" s="2125"/>
      <c r="T82" s="2125"/>
      <c r="U82" s="2125"/>
      <c r="V82" s="2125"/>
      <c r="W82" s="2125"/>
      <c r="X82" s="2125"/>
      <c r="Y82" s="2125"/>
      <c r="Z82" s="2125"/>
      <c r="AA82" s="2125"/>
      <c r="AB82" s="2125"/>
      <c r="AC82" s="2125"/>
    </row>
    <row r="83" spans="1:29" ht="15.75" thickBot="1">
      <c r="A83" s="649"/>
      <c r="B83" s="661"/>
      <c r="C83" s="659">
        <v>100</v>
      </c>
      <c r="D83" s="659">
        <f>C83-$K21</f>
        <v>99</v>
      </c>
      <c r="E83" s="659">
        <f>D83-$K21</f>
        <v>98</v>
      </c>
      <c r="F83" s="659">
        <f>E83-$K21</f>
        <v>97</v>
      </c>
      <c r="G83" s="659">
        <f>F83-$K21</f>
        <v>96</v>
      </c>
      <c r="H83" s="914"/>
      <c r="I83" s="914"/>
      <c r="J83" s="914"/>
      <c r="K83" s="914"/>
      <c r="L83" s="914"/>
      <c r="M83" s="539"/>
      <c r="N83" s="2146"/>
      <c r="O83" s="2146"/>
      <c r="P83" s="2145"/>
      <c r="Q83" s="2138"/>
      <c r="R83" s="2125"/>
      <c r="S83" s="2125"/>
      <c r="T83" s="2125"/>
      <c r="U83" s="2125"/>
      <c r="V83" s="2125"/>
      <c r="W83" s="2125"/>
      <c r="X83" s="2125"/>
      <c r="Y83" s="2125"/>
      <c r="Z83" s="2125"/>
      <c r="AA83" s="2125"/>
      <c r="AB83" s="2125"/>
      <c r="AC83" s="2125"/>
    </row>
    <row r="84" spans="1:29" ht="15.75" thickTop="1">
      <c r="A84" s="649"/>
      <c r="B84" s="653" t="s">
        <v>799</v>
      </c>
      <c r="C84" s="688" t="s">
        <v>576</v>
      </c>
      <c r="D84" s="688" t="s">
        <v>577</v>
      </c>
      <c r="E84" s="688" t="s">
        <v>578</v>
      </c>
      <c r="F84" s="688" t="s">
        <v>579</v>
      </c>
      <c r="G84" s="688" t="s">
        <v>580</v>
      </c>
      <c r="H84" s="654"/>
      <c r="I84" s="654"/>
      <c r="J84" s="654"/>
      <c r="K84" s="655"/>
      <c r="L84" s="656"/>
      <c r="M84" s="657"/>
      <c r="N84" s="2144"/>
      <c r="O84" s="2144"/>
      <c r="P84" s="2145"/>
      <c r="Q84" s="2138"/>
      <c r="R84" s="2125"/>
      <c r="S84" s="2125"/>
      <c r="T84" s="2125"/>
      <c r="U84" s="2125"/>
      <c r="V84" s="2125"/>
      <c r="W84" s="2125"/>
      <c r="X84" s="2125"/>
      <c r="Y84" s="2125"/>
      <c r="Z84" s="2125"/>
      <c r="AA84" s="2125"/>
      <c r="AB84" s="2125"/>
      <c r="AC84" s="2125"/>
    </row>
    <row r="85" spans="1:29" ht="15.75" thickBot="1">
      <c r="A85" s="649"/>
      <c r="B85" s="658"/>
      <c r="C85" s="659">
        <v>100</v>
      </c>
      <c r="D85" s="659">
        <f>C85-$K23</f>
        <v>98</v>
      </c>
      <c r="E85" s="659">
        <f>D85-$K23</f>
        <v>96</v>
      </c>
      <c r="F85" s="659">
        <f>E85-$K23</f>
        <v>94</v>
      </c>
      <c r="G85" s="659">
        <f>F85-$K23</f>
        <v>92</v>
      </c>
      <c r="H85" s="659"/>
      <c r="I85" s="659"/>
      <c r="J85" s="659"/>
      <c r="K85" s="659"/>
      <c r="L85" s="659"/>
      <c r="M85" s="660"/>
      <c r="N85" s="2146"/>
      <c r="O85" s="2146"/>
      <c r="P85" s="2145"/>
      <c r="Q85" s="2138"/>
      <c r="R85" s="2125"/>
      <c r="S85" s="2125"/>
      <c r="T85" s="2125"/>
      <c r="U85" s="2125"/>
      <c r="V85" s="2125"/>
      <c r="W85" s="2125"/>
      <c r="X85" s="2125"/>
      <c r="Y85" s="2125"/>
      <c r="Z85" s="2125"/>
      <c r="AA85" s="2125"/>
      <c r="AB85" s="2125"/>
      <c r="AC85" s="2125"/>
    </row>
    <row r="86" spans="1:29" s="1199" customFormat="1" ht="15.75" thickTop="1">
      <c r="A86" s="689"/>
      <c r="B86" s="653" t="s">
        <v>877</v>
      </c>
      <c r="C86" s="668" t="s">
        <v>878</v>
      </c>
      <c r="D86" s="668" t="s">
        <v>879</v>
      </c>
      <c r="E86" s="668" t="s">
        <v>880</v>
      </c>
      <c r="F86" s="668" t="s">
        <v>881</v>
      </c>
      <c r="G86" s="668"/>
      <c r="H86" s="668"/>
      <c r="I86" s="668"/>
      <c r="J86" s="668"/>
      <c r="K86" s="668"/>
      <c r="L86" s="870"/>
      <c r="M86" s="871"/>
      <c r="N86" s="2142"/>
      <c r="O86" s="2142"/>
      <c r="P86" s="2145"/>
      <c r="Q86" s="2138"/>
      <c r="R86" s="1969"/>
      <c r="S86" s="1969"/>
      <c r="T86" s="1969"/>
      <c r="U86" s="1969"/>
      <c r="V86" s="1969"/>
      <c r="W86" s="1969"/>
      <c r="X86" s="1969"/>
      <c r="Y86" s="1969"/>
      <c r="Z86" s="1969"/>
      <c r="AA86" s="1969"/>
      <c r="AB86" s="1969"/>
      <c r="AC86" s="1969"/>
    </row>
    <row r="87" spans="1:29" s="1199" customFormat="1" ht="15.75" thickBot="1">
      <c r="A87" s="689"/>
      <c r="B87" s="658"/>
      <c r="C87" s="692">
        <v>100</v>
      </c>
      <c r="D87" s="659">
        <f t="shared" ref="D87:M87" si="19">C87-$K25</f>
        <v>97</v>
      </c>
      <c r="E87" s="659">
        <f t="shared" si="19"/>
        <v>94</v>
      </c>
      <c r="F87" s="659">
        <f t="shared" si="19"/>
        <v>91</v>
      </c>
      <c r="G87" s="659">
        <f t="shared" si="19"/>
        <v>88</v>
      </c>
      <c r="H87" s="659">
        <f t="shared" si="19"/>
        <v>85</v>
      </c>
      <c r="I87" s="659">
        <f t="shared" si="19"/>
        <v>82</v>
      </c>
      <c r="J87" s="659">
        <f t="shared" si="19"/>
        <v>79</v>
      </c>
      <c r="K87" s="659">
        <f t="shared" si="19"/>
        <v>76</v>
      </c>
      <c r="L87" s="659">
        <f t="shared" si="19"/>
        <v>73</v>
      </c>
      <c r="M87" s="659">
        <f t="shared" si="19"/>
        <v>70</v>
      </c>
      <c r="N87" s="2146"/>
      <c r="O87" s="2146"/>
      <c r="P87" s="2145"/>
      <c r="Q87" s="2138"/>
      <c r="R87" s="1969"/>
      <c r="S87" s="1969"/>
      <c r="T87" s="1969"/>
      <c r="U87" s="1969"/>
      <c r="V87" s="1969"/>
      <c r="W87" s="1969"/>
      <c r="X87" s="1969"/>
      <c r="Y87" s="1969"/>
      <c r="Z87" s="1969"/>
      <c r="AA87" s="1969"/>
      <c r="AB87" s="1969"/>
      <c r="AC87" s="1969"/>
    </row>
    <row r="88" spans="1:29" s="1199" customFormat="1" ht="15.75" thickTop="1">
      <c r="A88" s="689"/>
      <c r="B88" s="653" t="str">
        <f>B26</f>
        <v>平面位置/可视性</v>
      </c>
      <c r="C88" s="668" t="s">
        <v>882</v>
      </c>
      <c r="D88" s="668" t="s">
        <v>883</v>
      </c>
      <c r="E88" s="668" t="s">
        <v>884</v>
      </c>
      <c r="F88" s="872" t="s">
        <v>885</v>
      </c>
      <c r="G88" s="668" t="s">
        <v>886</v>
      </c>
      <c r="H88" s="668"/>
      <c r="I88" s="668"/>
      <c r="J88" s="668"/>
      <c r="K88" s="668"/>
      <c r="L88" s="668"/>
      <c r="M88" s="871"/>
      <c r="N88" s="2142"/>
      <c r="O88" s="2142"/>
      <c r="P88" s="2145"/>
      <c r="Q88" s="2138"/>
      <c r="R88" s="1969"/>
      <c r="S88" s="1969"/>
      <c r="T88" s="1969"/>
      <c r="U88" s="1969"/>
      <c r="V88" s="1969"/>
      <c r="W88" s="1969"/>
      <c r="X88" s="1969"/>
      <c r="Y88" s="1969"/>
      <c r="Z88" s="1969"/>
      <c r="AA88" s="1969"/>
      <c r="AB88" s="1969"/>
      <c r="AC88" s="1969"/>
    </row>
    <row r="89" spans="1:29" s="1199" customFormat="1" ht="15.75" thickBot="1">
      <c r="A89" s="689"/>
      <c r="B89" s="658"/>
      <c r="C89" s="672">
        <v>100</v>
      </c>
      <c r="D89" s="651">
        <v>98</v>
      </c>
      <c r="E89" s="651">
        <v>96</v>
      </c>
      <c r="F89" s="651">
        <v>94</v>
      </c>
      <c r="G89" s="651">
        <v>92</v>
      </c>
      <c r="H89" s="651"/>
      <c r="I89" s="651"/>
      <c r="J89" s="651"/>
      <c r="K89" s="651"/>
      <c r="L89" s="651"/>
      <c r="M89" s="651"/>
      <c r="N89" s="2146"/>
      <c r="O89" s="2146"/>
      <c r="P89" s="2145"/>
      <c r="Q89" s="2138"/>
      <c r="R89" s="1969"/>
      <c r="S89" s="1969"/>
      <c r="T89" s="1969"/>
      <c r="U89" s="1969"/>
      <c r="V89" s="1969"/>
      <c r="W89" s="1969"/>
      <c r="X89" s="1969"/>
      <c r="Y89" s="1969"/>
      <c r="Z89" s="1969"/>
      <c r="AA89" s="1969"/>
      <c r="AB89" s="1969"/>
      <c r="AC89" s="1969"/>
    </row>
    <row r="90" spans="1:29" s="1324" customFormat="1" ht="15.75" thickTop="1">
      <c r="A90" s="667"/>
      <c r="B90" s="653" t="str">
        <f>B27</f>
        <v>人流量</v>
      </c>
      <c r="C90" s="668" t="s">
        <v>887</v>
      </c>
      <c r="D90" s="668" t="s">
        <v>888</v>
      </c>
      <c r="E90" s="668" t="s">
        <v>884</v>
      </c>
      <c r="F90" s="668" t="s">
        <v>889</v>
      </c>
      <c r="G90" s="668" t="s">
        <v>890</v>
      </c>
      <c r="H90" s="669"/>
      <c r="I90" s="669"/>
      <c r="J90" s="669"/>
      <c r="K90" s="669"/>
      <c r="L90" s="670"/>
      <c r="M90" s="671"/>
      <c r="N90" s="2147"/>
      <c r="O90" s="2147"/>
      <c r="P90" s="2148"/>
      <c r="Q90" s="2149"/>
      <c r="R90" s="2150"/>
      <c r="S90" s="2150"/>
      <c r="T90" s="2150"/>
      <c r="U90" s="2150"/>
      <c r="V90" s="2150"/>
      <c r="W90" s="2150"/>
      <c r="X90" s="2150"/>
      <c r="Y90" s="2150"/>
      <c r="Z90" s="2150"/>
      <c r="AA90" s="2150"/>
      <c r="AB90" s="2150"/>
      <c r="AC90" s="2150"/>
    </row>
    <row r="91" spans="1:29" s="1324" customFormat="1" ht="15.75" thickBot="1">
      <c r="A91" s="667"/>
      <c r="B91" s="658"/>
      <c r="C91" s="692">
        <v>100</v>
      </c>
      <c r="D91" s="659">
        <f>C91-$K27</f>
        <v>97</v>
      </c>
      <c r="E91" s="659">
        <f t="shared" ref="E91:M91" si="20">D91-$K27</f>
        <v>94</v>
      </c>
      <c r="F91" s="659">
        <f t="shared" si="20"/>
        <v>91</v>
      </c>
      <c r="G91" s="659">
        <f t="shared" si="20"/>
        <v>88</v>
      </c>
      <c r="H91" s="659">
        <f t="shared" si="20"/>
        <v>85</v>
      </c>
      <c r="I91" s="659">
        <f t="shared" si="20"/>
        <v>82</v>
      </c>
      <c r="J91" s="659">
        <f t="shared" si="20"/>
        <v>79</v>
      </c>
      <c r="K91" s="659">
        <f t="shared" si="20"/>
        <v>76</v>
      </c>
      <c r="L91" s="659">
        <f t="shared" si="20"/>
        <v>73</v>
      </c>
      <c r="M91" s="659">
        <f t="shared" si="20"/>
        <v>70</v>
      </c>
      <c r="N91" s="2147"/>
      <c r="O91" s="2147"/>
      <c r="P91" s="2148"/>
      <c r="Q91" s="2149"/>
      <c r="R91" s="2150"/>
      <c r="S91" s="2150"/>
      <c r="T91" s="2150"/>
      <c r="U91" s="2150"/>
      <c r="V91" s="2150"/>
      <c r="W91" s="2150"/>
      <c r="X91" s="2150"/>
      <c r="Y91" s="2150"/>
      <c r="Z91" s="2150"/>
      <c r="AA91" s="2150"/>
      <c r="AB91" s="2150"/>
      <c r="AC91" s="2150"/>
    </row>
    <row r="92" spans="1:29" ht="15.75" thickTop="1">
      <c r="A92" s="649"/>
      <c r="B92" s="653" t="str">
        <f>B28</f>
        <v>楼层</v>
      </c>
      <c r="C92" s="668" t="s">
        <v>3364</v>
      </c>
      <c r="D92" s="668" t="s">
        <v>3365</v>
      </c>
      <c r="E92" s="668"/>
      <c r="F92" s="668"/>
      <c r="G92" s="668"/>
      <c r="H92" s="668"/>
      <c r="I92" s="668"/>
      <c r="J92" s="668"/>
      <c r="K92" s="668"/>
      <c r="L92" s="870"/>
      <c r="M92" s="871"/>
      <c r="N92" s="2144"/>
      <c r="O92" s="2144"/>
      <c r="P92" s="2145"/>
      <c r="Q92" s="2138"/>
      <c r="R92" s="2125"/>
      <c r="S92" s="2125"/>
      <c r="T92" s="2125"/>
      <c r="U92" s="2125"/>
      <c r="V92" s="2125"/>
      <c r="W92" s="2125"/>
      <c r="X92" s="2125"/>
      <c r="Y92" s="2125"/>
      <c r="Z92" s="2125"/>
      <c r="AA92" s="2125"/>
      <c r="AB92" s="2125"/>
      <c r="AC92" s="2125"/>
    </row>
    <row r="93" spans="1:29" ht="15.75" thickBot="1">
      <c r="A93" s="649"/>
      <c r="B93" s="658"/>
      <c r="C93" s="651">
        <v>100</v>
      </c>
      <c r="D93" s="651">
        <v>85</v>
      </c>
      <c r="E93" s="651"/>
      <c r="F93" s="651"/>
      <c r="G93" s="651"/>
      <c r="H93" s="651"/>
      <c r="I93" s="651"/>
      <c r="J93" s="651"/>
      <c r="K93" s="651"/>
      <c r="L93" s="651"/>
      <c r="M93" s="652"/>
      <c r="N93" s="2146"/>
      <c r="O93" s="2146"/>
      <c r="P93" s="2145"/>
      <c r="Q93" s="2138"/>
      <c r="R93" s="2125"/>
      <c r="S93" s="2125"/>
      <c r="T93" s="2125"/>
      <c r="U93" s="2125"/>
      <c r="V93" s="2125"/>
      <c r="W93" s="2125"/>
      <c r="X93" s="2125"/>
      <c r="Y93" s="2125"/>
      <c r="Z93" s="2125"/>
      <c r="AA93" s="2125"/>
      <c r="AB93" s="2125"/>
      <c r="AC93" s="2125"/>
    </row>
    <row r="94" spans="1:29" ht="15.75" thickTop="1">
      <c r="A94" s="649"/>
      <c r="B94" s="653">
        <f>B29</f>
        <v>0</v>
      </c>
      <c r="C94" s="668">
        <v>111</v>
      </c>
      <c r="D94" s="668">
        <v>222</v>
      </c>
      <c r="E94" s="668">
        <v>333</v>
      </c>
      <c r="F94" s="668">
        <v>444</v>
      </c>
      <c r="G94" s="698"/>
      <c r="H94" s="698"/>
      <c r="I94" s="698"/>
      <c r="J94" s="698"/>
      <c r="K94" s="699"/>
      <c r="L94" s="700"/>
      <c r="M94" s="701"/>
      <c r="N94" s="2144"/>
      <c r="O94" s="2144"/>
      <c r="P94" s="2145"/>
      <c r="Q94" s="2138"/>
      <c r="R94" s="2125"/>
      <c r="S94" s="2125"/>
      <c r="T94" s="2125"/>
      <c r="U94" s="2125"/>
      <c r="V94" s="2125"/>
      <c r="W94" s="2125"/>
      <c r="X94" s="2125"/>
      <c r="Y94" s="2125"/>
      <c r="Z94" s="2125"/>
      <c r="AA94" s="2125"/>
      <c r="AB94" s="2125"/>
      <c r="AC94" s="2125"/>
    </row>
    <row r="95" spans="1:29" ht="15.75" thickBot="1">
      <c r="A95" s="649"/>
      <c r="B95" s="658"/>
      <c r="C95" s="672">
        <v>100</v>
      </c>
      <c r="D95" s="651">
        <v>99</v>
      </c>
      <c r="E95" s="651">
        <v>98</v>
      </c>
      <c r="F95" s="651">
        <v>97</v>
      </c>
      <c r="G95" s="651"/>
      <c r="H95" s="651"/>
      <c r="I95" s="651"/>
      <c r="J95" s="651"/>
      <c r="K95" s="651"/>
      <c r="L95" s="651"/>
      <c r="M95" s="652"/>
      <c r="N95" s="2146"/>
      <c r="O95" s="2146"/>
      <c r="P95" s="2145"/>
      <c r="Q95" s="2138"/>
      <c r="R95" s="2125"/>
      <c r="S95" s="2125"/>
      <c r="T95" s="2125"/>
      <c r="U95" s="2125"/>
      <c r="V95" s="2125"/>
      <c r="W95" s="2125"/>
      <c r="X95" s="2125"/>
      <c r="Y95" s="2125"/>
      <c r="Z95" s="2125"/>
      <c r="AA95" s="2125"/>
      <c r="AB95" s="2125"/>
      <c r="AC95" s="2125"/>
    </row>
    <row r="96" spans="1:29" ht="15.75" thickTop="1">
      <c r="A96" s="649"/>
      <c r="B96" s="653">
        <f>B30</f>
        <v>0</v>
      </c>
      <c r="C96" s="668">
        <v>111</v>
      </c>
      <c r="D96" s="668">
        <v>222</v>
      </c>
      <c r="E96" s="668">
        <v>333</v>
      </c>
      <c r="F96" s="668">
        <v>444</v>
      </c>
      <c r="G96" s="698"/>
      <c r="H96" s="698"/>
      <c r="I96" s="698"/>
      <c r="J96" s="698"/>
      <c r="K96" s="699"/>
      <c r="L96" s="700"/>
      <c r="M96" s="701"/>
      <c r="N96" s="2144"/>
      <c r="O96" s="2144"/>
      <c r="P96" s="2145"/>
      <c r="Q96" s="2138"/>
      <c r="R96" s="2125"/>
      <c r="S96" s="2125"/>
      <c r="T96" s="2125"/>
      <c r="U96" s="2125"/>
      <c r="V96" s="2125"/>
      <c r="W96" s="2125"/>
      <c r="X96" s="2125"/>
      <c r="Y96" s="2125"/>
      <c r="Z96" s="2125"/>
      <c r="AA96" s="2125"/>
      <c r="AB96" s="2125"/>
      <c r="AC96" s="2125"/>
    </row>
    <row r="97" spans="1:29" ht="15.75" thickBot="1">
      <c r="A97" s="649"/>
      <c r="B97" s="658"/>
      <c r="C97" s="672">
        <v>100</v>
      </c>
      <c r="D97" s="651">
        <v>99</v>
      </c>
      <c r="E97" s="651">
        <v>98</v>
      </c>
      <c r="F97" s="651">
        <v>97</v>
      </c>
      <c r="G97" s="651"/>
      <c r="H97" s="651"/>
      <c r="I97" s="651"/>
      <c r="J97" s="651"/>
      <c r="K97" s="651"/>
      <c r="L97" s="651"/>
      <c r="M97" s="652"/>
      <c r="N97" s="2146"/>
      <c r="O97" s="2146"/>
      <c r="P97" s="2145"/>
      <c r="Q97" s="2138"/>
      <c r="R97" s="2125"/>
      <c r="S97" s="2125"/>
      <c r="T97" s="2125"/>
      <c r="U97" s="2125"/>
      <c r="V97" s="2125"/>
      <c r="W97" s="2125"/>
      <c r="X97" s="2125"/>
      <c r="Y97" s="2125"/>
      <c r="Z97" s="2125"/>
      <c r="AA97" s="2125"/>
      <c r="AB97" s="2125"/>
      <c r="AC97" s="2125"/>
    </row>
    <row r="98" spans="1:29" ht="15.75" thickTop="1">
      <c r="A98" s="649"/>
      <c r="B98" s="661">
        <f>B31</f>
        <v>0</v>
      </c>
      <c r="C98" s="668">
        <v>111</v>
      </c>
      <c r="D98" s="668">
        <v>222</v>
      </c>
      <c r="E98" s="668">
        <v>333</v>
      </c>
      <c r="F98" s="668">
        <v>444</v>
      </c>
      <c r="G98" s="702"/>
      <c r="H98" s="702"/>
      <c r="I98" s="702"/>
      <c r="J98" s="702"/>
      <c r="K98" s="703"/>
      <c r="L98" s="704"/>
      <c r="M98" s="705"/>
      <c r="N98" s="2144"/>
      <c r="O98" s="2144"/>
      <c r="P98" s="2145"/>
      <c r="Q98" s="2138"/>
      <c r="R98" s="2125"/>
      <c r="S98" s="2125"/>
      <c r="T98" s="2125"/>
      <c r="U98" s="2125"/>
      <c r="V98" s="2125"/>
      <c r="W98" s="2125"/>
      <c r="X98" s="2125"/>
      <c r="Y98" s="2125"/>
      <c r="Z98" s="2125"/>
      <c r="AA98" s="2125"/>
      <c r="AB98" s="2125"/>
      <c r="AC98" s="2125"/>
    </row>
    <row r="99" spans="1:29" ht="15.75" thickBot="1">
      <c r="A99" s="873"/>
      <c r="B99" s="679"/>
      <c r="C99" s="680">
        <v>100</v>
      </c>
      <c r="D99" s="680">
        <v>98</v>
      </c>
      <c r="E99" s="680">
        <v>96</v>
      </c>
      <c r="F99" s="680">
        <v>94</v>
      </c>
      <c r="G99" s="706"/>
      <c r="H99" s="706"/>
      <c r="I99" s="706"/>
      <c r="J99" s="706"/>
      <c r="K99" s="706"/>
      <c r="L99" s="706"/>
      <c r="M99" s="707"/>
      <c r="N99" s="2146"/>
      <c r="O99" s="2146"/>
      <c r="P99" s="2145"/>
      <c r="Q99" s="2138"/>
      <c r="R99" s="2125"/>
      <c r="S99" s="2125"/>
      <c r="T99" s="2125"/>
      <c r="U99" s="2125"/>
      <c r="V99" s="2125"/>
      <c r="W99" s="2125"/>
      <c r="X99" s="2125"/>
      <c r="Y99" s="2125"/>
      <c r="Z99" s="2125"/>
      <c r="AA99" s="2125"/>
      <c r="AB99" s="2125"/>
      <c r="AC99" s="2125"/>
    </row>
    <row r="100" spans="1:29">
      <c r="A100" s="644" t="s">
        <v>544</v>
      </c>
      <c r="B100" s="645" t="s">
        <v>891</v>
      </c>
      <c r="C100" s="3193" t="s">
        <v>857</v>
      </c>
      <c r="D100" s="3193" t="s">
        <v>856</v>
      </c>
      <c r="E100" s="3192" t="s">
        <v>3354</v>
      </c>
      <c r="F100" s="3192" t="s">
        <v>3366</v>
      </c>
      <c r="G100" s="578"/>
      <c r="H100" s="578"/>
      <c r="I100" s="578"/>
      <c r="J100" s="578"/>
      <c r="K100" s="646"/>
      <c r="L100" s="647"/>
      <c r="M100" s="648"/>
      <c r="N100" s="2144"/>
      <c r="O100" s="2144"/>
      <c r="P100" s="2145"/>
      <c r="Q100" s="2138"/>
      <c r="R100" s="2125"/>
      <c r="S100" s="2125"/>
      <c r="T100" s="2125"/>
      <c r="U100" s="2125"/>
      <c r="V100" s="2125"/>
      <c r="W100" s="2125"/>
      <c r="X100" s="2125"/>
      <c r="Y100" s="2125"/>
      <c r="Z100" s="2125"/>
      <c r="AA100" s="2125"/>
      <c r="AB100" s="2125"/>
      <c r="AC100" s="2125"/>
    </row>
    <row r="101" spans="1:29" ht="15.75" thickBot="1">
      <c r="A101" s="649"/>
      <c r="B101" s="658"/>
      <c r="C101" s="659">
        <v>100</v>
      </c>
      <c r="D101" s="659">
        <f t="shared" ref="D101:M101" si="21">C101-$K32</f>
        <v>96</v>
      </c>
      <c r="E101" s="659">
        <f t="shared" si="21"/>
        <v>92</v>
      </c>
      <c r="F101" s="659">
        <f t="shared" si="21"/>
        <v>88</v>
      </c>
      <c r="G101" s="659">
        <f t="shared" si="21"/>
        <v>84</v>
      </c>
      <c r="H101" s="659">
        <f t="shared" si="21"/>
        <v>80</v>
      </c>
      <c r="I101" s="659">
        <f t="shared" si="21"/>
        <v>76</v>
      </c>
      <c r="J101" s="659">
        <f t="shared" si="21"/>
        <v>72</v>
      </c>
      <c r="K101" s="659">
        <f t="shared" si="21"/>
        <v>68</v>
      </c>
      <c r="L101" s="659">
        <f t="shared" si="21"/>
        <v>64</v>
      </c>
      <c r="M101" s="660">
        <f t="shared" si="21"/>
        <v>60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49"/>
      <c r="B102" s="653" t="s">
        <v>818</v>
      </c>
      <c r="C102" s="688" t="str">
        <f>C103&amp;"(含)"&amp;"-"&amp;D103</f>
        <v>0(含)-100000</v>
      </c>
      <c r="D102" s="688" t="str">
        <f t="shared" ref="D102:L102" si="22">D103&amp;"(含)"&amp;"-"&amp;E103</f>
        <v>100000(含)-200000</v>
      </c>
      <c r="E102" s="688" t="str">
        <f t="shared" si="22"/>
        <v>200000(含)-300000</v>
      </c>
      <c r="F102" s="688" t="str">
        <f t="shared" si="22"/>
        <v>300000(含)-400000</v>
      </c>
      <c r="G102" s="688" t="str">
        <f t="shared" si="22"/>
        <v>400000(含)-500000</v>
      </c>
      <c r="H102" s="688" t="str">
        <f t="shared" si="22"/>
        <v>500000(含)-600000</v>
      </c>
      <c r="I102" s="688" t="str">
        <f t="shared" si="22"/>
        <v>600000(含)-</v>
      </c>
      <c r="J102" s="688" t="str">
        <f t="shared" si="22"/>
        <v>(含)-</v>
      </c>
      <c r="K102" s="688" t="str">
        <f t="shared" si="22"/>
        <v>(含)-</v>
      </c>
      <c r="L102" s="688" t="str">
        <f t="shared" si="22"/>
        <v>(含)-</v>
      </c>
      <c r="M102" s="691"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24" customFormat="1">
      <c r="A103" s="708"/>
      <c r="B103" s="709"/>
      <c r="C103" s="3161">
        <v>0</v>
      </c>
      <c r="D103" s="3161">
        <v>100000</v>
      </c>
      <c r="E103" s="3161">
        <v>200000</v>
      </c>
      <c r="F103" s="3161">
        <v>300000</v>
      </c>
      <c r="G103" s="3161">
        <v>400000</v>
      </c>
      <c r="H103" s="710">
        <v>500000</v>
      </c>
      <c r="I103" s="710">
        <v>600000</v>
      </c>
      <c r="J103" s="711"/>
      <c r="K103" s="711"/>
      <c r="L103" s="712"/>
      <c r="M103" s="713"/>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Bot="1">
      <c r="A104" s="667"/>
      <c r="B104" s="658"/>
      <c r="C104" s="3162">
        <v>100</v>
      </c>
      <c r="D104" s="3163">
        <v>101</v>
      </c>
      <c r="E104" s="3163">
        <v>102</v>
      </c>
      <c r="F104" s="3163">
        <v>103</v>
      </c>
      <c r="G104" s="3163">
        <v>104</v>
      </c>
      <c r="H104" s="651">
        <v>105</v>
      </c>
      <c r="I104" s="651">
        <v>106</v>
      </c>
      <c r="J104" s="651"/>
      <c r="K104" s="651"/>
      <c r="L104" s="651"/>
      <c r="M104" s="652"/>
      <c r="N104" s="2146"/>
      <c r="O104" s="2146"/>
      <c r="P104" s="2148"/>
      <c r="Q104" s="2149"/>
      <c r="R104" s="2150"/>
      <c r="S104" s="2150"/>
      <c r="T104" s="2150"/>
      <c r="U104" s="2150"/>
      <c r="V104" s="2150"/>
      <c r="W104" s="2150"/>
      <c r="X104" s="2150"/>
      <c r="Y104" s="2150"/>
      <c r="Z104" s="2150"/>
      <c r="AA104" s="2150"/>
      <c r="AB104" s="2150"/>
      <c r="AC104" s="2150"/>
    </row>
    <row r="105" spans="1:29" ht="15" thickTop="1">
      <c r="A105" s="715"/>
      <c r="B105" s="653" t="s">
        <v>819</v>
      </c>
      <c r="C105" s="668" t="s">
        <v>820</v>
      </c>
      <c r="D105" s="668" t="s">
        <v>821</v>
      </c>
      <c r="E105" s="698" t="s">
        <v>822</v>
      </c>
      <c r="F105" s="698"/>
      <c r="G105" s="698"/>
      <c r="H105" s="698"/>
      <c r="I105" s="698"/>
      <c r="J105" s="698"/>
      <c r="K105" s="699"/>
      <c r="L105" s="700"/>
      <c r="M105" s="701"/>
      <c r="N105" s="2144"/>
      <c r="O105" s="2144"/>
      <c r="P105" s="2145"/>
      <c r="Q105" s="2138"/>
      <c r="R105" s="2125"/>
      <c r="S105" s="2125"/>
      <c r="T105" s="2125"/>
      <c r="U105" s="2125"/>
      <c r="V105" s="2125"/>
      <c r="W105" s="2125"/>
      <c r="X105" s="2125"/>
      <c r="Y105" s="2125"/>
      <c r="Z105" s="2125"/>
      <c r="AA105" s="2125"/>
      <c r="AB105" s="2125"/>
      <c r="AC105" s="2125"/>
    </row>
    <row r="106" spans="1:29" ht="15.75" thickBot="1">
      <c r="A106" s="649"/>
      <c r="B106" s="658"/>
      <c r="C106" s="659">
        <v>100</v>
      </c>
      <c r="D106" s="659">
        <f t="shared" ref="D106:M106" si="23">C106-$K34</f>
        <v>98</v>
      </c>
      <c r="E106" s="659">
        <f t="shared" si="23"/>
        <v>96</v>
      </c>
      <c r="F106" s="659">
        <f t="shared" si="23"/>
        <v>94</v>
      </c>
      <c r="G106" s="659">
        <f t="shared" si="23"/>
        <v>92</v>
      </c>
      <c r="H106" s="659">
        <f t="shared" si="23"/>
        <v>90</v>
      </c>
      <c r="I106" s="659">
        <f t="shared" si="23"/>
        <v>88</v>
      </c>
      <c r="J106" s="659">
        <f t="shared" si="23"/>
        <v>86</v>
      </c>
      <c r="K106" s="659">
        <f t="shared" si="23"/>
        <v>84</v>
      </c>
      <c r="L106" s="659">
        <f t="shared" si="23"/>
        <v>82</v>
      </c>
      <c r="M106" s="660">
        <f t="shared" si="23"/>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15"/>
      <c r="B107" s="653" t="s">
        <v>826</v>
      </c>
      <c r="C107" s="668" t="s">
        <v>827</v>
      </c>
      <c r="D107" s="668" t="s">
        <v>828</v>
      </c>
      <c r="E107" s="668" t="s">
        <v>829</v>
      </c>
      <c r="F107" s="698" t="s">
        <v>830</v>
      </c>
      <c r="G107" s="698"/>
      <c r="H107" s="698"/>
      <c r="I107" s="698"/>
      <c r="J107" s="698"/>
      <c r="K107" s="699"/>
      <c r="L107" s="700"/>
      <c r="M107" s="701"/>
      <c r="N107" s="2144"/>
      <c r="O107" s="2144"/>
      <c r="P107" s="2145"/>
      <c r="Q107" s="2138"/>
      <c r="R107" s="2125"/>
      <c r="S107" s="2125"/>
      <c r="T107" s="2125"/>
      <c r="U107" s="2125"/>
      <c r="V107" s="2125"/>
      <c r="W107" s="2125"/>
      <c r="X107" s="2125"/>
      <c r="Y107" s="2125"/>
      <c r="Z107" s="2125"/>
      <c r="AA107" s="2125"/>
      <c r="AB107" s="2125"/>
      <c r="AC107" s="2125"/>
    </row>
    <row r="108" spans="1:29" ht="15.75" thickBot="1">
      <c r="A108" s="649"/>
      <c r="B108" s="658"/>
      <c r="C108" s="659">
        <v>100</v>
      </c>
      <c r="D108" s="659">
        <f t="shared" ref="D108:M108" si="24">C108-$K35</f>
        <v>98</v>
      </c>
      <c r="E108" s="659">
        <f t="shared" si="24"/>
        <v>96</v>
      </c>
      <c r="F108" s="659">
        <f t="shared" si="24"/>
        <v>94</v>
      </c>
      <c r="G108" s="659">
        <f t="shared" si="24"/>
        <v>92</v>
      </c>
      <c r="H108" s="659">
        <f t="shared" si="24"/>
        <v>90</v>
      </c>
      <c r="I108" s="659">
        <f t="shared" si="24"/>
        <v>88</v>
      </c>
      <c r="J108" s="659">
        <f t="shared" si="24"/>
        <v>86</v>
      </c>
      <c r="K108" s="659">
        <f t="shared" si="24"/>
        <v>84</v>
      </c>
      <c r="L108" s="659">
        <f t="shared" si="24"/>
        <v>82</v>
      </c>
      <c r="M108" s="660">
        <f t="shared" si="24"/>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15"/>
      <c r="B109" s="653" t="s">
        <v>831</v>
      </c>
      <c r="C109" s="688" t="str">
        <f>C110&amp;"(含)"&amp;"-"&amp;D110</f>
        <v>0.5(含)-0.6</v>
      </c>
      <c r="D109" s="688" t="str">
        <f>D110&amp;"(含)"&amp;"-"&amp;E110</f>
        <v>0.6(含)-0.7</v>
      </c>
      <c r="E109" s="688" t="str">
        <f>E110&amp;"(含)"&amp;"-"&amp;F110</f>
        <v>0.7(含)-0.8</v>
      </c>
      <c r="F109" s="688" t="str">
        <f>F110&amp;"(含)"&amp;"-"&amp;G110</f>
        <v>0.8(含)-0.9</v>
      </c>
      <c r="G109" s="688" t="str">
        <f>G110&amp;"(含)"&amp;"-"&amp;ROUND(H110,0)</f>
        <v>0.9(含)-1</v>
      </c>
      <c r="H109" s="688"/>
      <c r="I109" s="698"/>
      <c r="J109" s="698"/>
      <c r="K109" s="699"/>
      <c r="L109" s="700"/>
      <c r="M109" s="701"/>
      <c r="N109" s="2144"/>
      <c r="O109" s="2144"/>
      <c r="P109" s="2145"/>
      <c r="Q109" s="2138"/>
      <c r="R109" s="2125"/>
      <c r="S109" s="2125"/>
      <c r="T109" s="2125"/>
      <c r="U109" s="2125"/>
      <c r="V109" s="2125"/>
      <c r="W109" s="2125"/>
      <c r="X109" s="2125"/>
      <c r="Y109" s="2125"/>
      <c r="Z109" s="2125"/>
      <c r="AA109" s="2125"/>
      <c r="AB109" s="2125"/>
      <c r="AC109" s="2125"/>
    </row>
    <row r="110" spans="1:29">
      <c r="A110" s="715"/>
      <c r="B110" s="661"/>
      <c r="C110" s="874">
        <v>0.5</v>
      </c>
      <c r="D110" s="874">
        <v>0.6</v>
      </c>
      <c r="E110" s="874">
        <v>0.7</v>
      </c>
      <c r="F110" s="874">
        <v>0.8</v>
      </c>
      <c r="G110" s="874">
        <v>0.9</v>
      </c>
      <c r="H110" s="874">
        <v>1.0001</v>
      </c>
      <c r="I110" s="884"/>
      <c r="J110" s="884"/>
      <c r="K110" s="885"/>
      <c r="L110" s="886"/>
      <c r="M110" s="887"/>
      <c r="N110" s="2144"/>
      <c r="O110" s="2144"/>
      <c r="P110" s="2145"/>
      <c r="Q110" s="2138"/>
      <c r="R110" s="2125"/>
      <c r="S110" s="2125"/>
      <c r="T110" s="2125"/>
      <c r="U110" s="2125"/>
      <c r="V110" s="2125"/>
      <c r="W110" s="2125"/>
      <c r="X110" s="2125"/>
      <c r="Y110" s="2125"/>
      <c r="Z110" s="2125"/>
      <c r="AA110" s="2125"/>
      <c r="AB110" s="2125"/>
      <c r="AC110" s="2125"/>
    </row>
    <row r="111" spans="1:29" ht="15.75" thickBot="1">
      <c r="A111" s="649"/>
      <c r="B111" s="658"/>
      <c r="C111" s="692">
        <v>100</v>
      </c>
      <c r="D111" s="659">
        <f>C111+$K36</f>
        <v>102</v>
      </c>
      <c r="E111" s="659">
        <f t="shared" ref="E111:M111" si="25">D111+$K36</f>
        <v>104</v>
      </c>
      <c r="F111" s="659">
        <f t="shared" si="25"/>
        <v>106</v>
      </c>
      <c r="G111" s="659">
        <f t="shared" si="25"/>
        <v>108</v>
      </c>
      <c r="H111" s="659">
        <f t="shared" si="25"/>
        <v>110</v>
      </c>
      <c r="I111" s="659">
        <f t="shared" si="25"/>
        <v>112</v>
      </c>
      <c r="J111" s="659">
        <f t="shared" si="25"/>
        <v>114</v>
      </c>
      <c r="K111" s="659">
        <f t="shared" si="25"/>
        <v>116</v>
      </c>
      <c r="L111" s="659">
        <f t="shared" si="25"/>
        <v>118</v>
      </c>
      <c r="M111" s="659">
        <f t="shared" si="25"/>
        <v>120</v>
      </c>
      <c r="N111" s="2146"/>
      <c r="O111" s="2146"/>
      <c r="P111" s="2145"/>
      <c r="Q111" s="2138"/>
      <c r="R111" s="2125"/>
      <c r="S111" s="2125"/>
      <c r="T111" s="2125"/>
      <c r="U111" s="2125"/>
      <c r="V111" s="2125"/>
      <c r="W111" s="2125"/>
      <c r="X111" s="2125"/>
      <c r="Y111" s="2125"/>
      <c r="Z111" s="2125"/>
      <c r="AA111" s="2125"/>
      <c r="AB111" s="2125"/>
      <c r="AC111" s="2125"/>
    </row>
    <row r="112" spans="1:29" s="1324" customFormat="1" ht="15" thickTop="1">
      <c r="A112" s="708"/>
      <c r="B112" s="1871" t="s">
        <v>2825</v>
      </c>
      <c r="C112" s="668" t="s">
        <v>608</v>
      </c>
      <c r="D112" s="668" t="s">
        <v>609</v>
      </c>
      <c r="E112" s="668" t="s">
        <v>610</v>
      </c>
      <c r="F112" s="668" t="s">
        <v>611</v>
      </c>
      <c r="G112" s="668" t="s">
        <v>612</v>
      </c>
      <c r="H112" s="698"/>
      <c r="I112" s="698"/>
      <c r="J112" s="698"/>
      <c r="K112" s="699"/>
      <c r="L112" s="700"/>
      <c r="M112" s="701"/>
      <c r="N112" s="2147"/>
      <c r="O112" s="2147"/>
      <c r="P112" s="2148"/>
      <c r="Q112" s="2149"/>
      <c r="R112" s="2150"/>
      <c r="S112" s="2150"/>
      <c r="T112" s="2150"/>
      <c r="U112" s="2150"/>
      <c r="V112" s="2150"/>
      <c r="W112" s="2150"/>
      <c r="X112" s="2150"/>
      <c r="Y112" s="2150"/>
      <c r="Z112" s="2150"/>
      <c r="AA112" s="2150"/>
      <c r="AB112" s="2150"/>
      <c r="AC112" s="2150"/>
    </row>
    <row r="113" spans="1:29" s="1324" customFormat="1" ht="15.75" thickBot="1">
      <c r="A113" s="667"/>
      <c r="B113" s="658"/>
      <c r="C113" s="659">
        <v>100</v>
      </c>
      <c r="D113" s="659">
        <f>C113-$K37</f>
        <v>99</v>
      </c>
      <c r="E113" s="659">
        <f t="shared" ref="E113:M113" si="26">D113-$K37</f>
        <v>98</v>
      </c>
      <c r="F113" s="659">
        <f t="shared" si="26"/>
        <v>97</v>
      </c>
      <c r="G113" s="659">
        <f t="shared" si="26"/>
        <v>96</v>
      </c>
      <c r="H113" s="659">
        <f t="shared" si="26"/>
        <v>95</v>
      </c>
      <c r="I113" s="659">
        <f t="shared" si="26"/>
        <v>94</v>
      </c>
      <c r="J113" s="659">
        <f t="shared" si="26"/>
        <v>93</v>
      </c>
      <c r="K113" s="659">
        <f t="shared" si="26"/>
        <v>92</v>
      </c>
      <c r="L113" s="659">
        <f t="shared" si="26"/>
        <v>91</v>
      </c>
      <c r="M113" s="659">
        <f t="shared" si="26"/>
        <v>90</v>
      </c>
      <c r="N113" s="2147"/>
      <c r="O113" s="2147"/>
      <c r="P113" s="2148"/>
      <c r="Q113" s="2149"/>
      <c r="R113" s="2150"/>
      <c r="S113" s="2150"/>
      <c r="T113" s="2150"/>
      <c r="U113" s="2150"/>
      <c r="V113" s="2150"/>
      <c r="W113" s="2150"/>
      <c r="X113" s="2150"/>
      <c r="Y113" s="2150"/>
      <c r="Z113" s="2150"/>
      <c r="AA113" s="2150"/>
      <c r="AB113" s="2150"/>
      <c r="AC113" s="2150"/>
    </row>
    <row r="114" spans="1:29" ht="15" thickTop="1">
      <c r="A114" s="715"/>
      <c r="B114" s="653" t="s">
        <v>892</v>
      </c>
      <c r="C114" s="668" t="s">
        <v>893</v>
      </c>
      <c r="D114" s="668" t="s">
        <v>894</v>
      </c>
      <c r="E114" s="698"/>
      <c r="F114" s="698"/>
      <c r="G114" s="698"/>
      <c r="H114" s="698"/>
      <c r="I114" s="698"/>
      <c r="J114" s="698"/>
      <c r="K114" s="699"/>
      <c r="L114" s="700"/>
      <c r="M114" s="701"/>
      <c r="N114" s="2144"/>
      <c r="O114" s="2144"/>
      <c r="P114" s="2145"/>
      <c r="Q114" s="2138"/>
      <c r="R114" s="2125"/>
      <c r="S114" s="2125"/>
      <c r="T114" s="2125"/>
      <c r="U114" s="2125"/>
      <c r="V114" s="2125"/>
      <c r="W114" s="2125"/>
      <c r="X114" s="2125"/>
      <c r="Y114" s="2125"/>
      <c r="Z114" s="2125"/>
      <c r="AA114" s="2125"/>
      <c r="AB114" s="2125"/>
      <c r="AC114" s="2125"/>
    </row>
    <row r="115" spans="1:29" ht="15.75" thickBot="1">
      <c r="A115" s="649"/>
      <c r="B115" s="658"/>
      <c r="C115" s="659">
        <v>100</v>
      </c>
      <c r="D115" s="659">
        <f t="shared" ref="D115:M115" si="27">C115-$K38</f>
        <v>97.5</v>
      </c>
      <c r="E115" s="659">
        <f t="shared" si="27"/>
        <v>95</v>
      </c>
      <c r="F115" s="659">
        <f t="shared" si="27"/>
        <v>92.5</v>
      </c>
      <c r="G115" s="659">
        <f t="shared" si="27"/>
        <v>90</v>
      </c>
      <c r="H115" s="659">
        <f t="shared" si="27"/>
        <v>87.5</v>
      </c>
      <c r="I115" s="659">
        <f t="shared" si="27"/>
        <v>85</v>
      </c>
      <c r="J115" s="659">
        <f t="shared" si="27"/>
        <v>82.5</v>
      </c>
      <c r="K115" s="659">
        <f t="shared" si="27"/>
        <v>80</v>
      </c>
      <c r="L115" s="659">
        <f t="shared" si="27"/>
        <v>77.5</v>
      </c>
      <c r="M115" s="660">
        <f t="shared" si="27"/>
        <v>75</v>
      </c>
      <c r="N115" s="2146"/>
      <c r="O115" s="2146"/>
      <c r="P115" s="2145"/>
      <c r="Q115" s="2138"/>
      <c r="R115" s="2125"/>
      <c r="S115" s="2125"/>
      <c r="T115" s="2125"/>
      <c r="U115" s="2125"/>
      <c r="V115" s="2125"/>
      <c r="W115" s="2125"/>
      <c r="X115" s="2125"/>
      <c r="Y115" s="2125"/>
      <c r="Z115" s="2125"/>
      <c r="AA115" s="2125"/>
      <c r="AB115" s="2125"/>
      <c r="AC115" s="2125"/>
    </row>
    <row r="116" spans="1:29" ht="15" thickTop="1">
      <c r="A116" s="715"/>
      <c r="B116" s="653" t="s">
        <v>895</v>
      </c>
      <c r="C116" s="668" t="s">
        <v>896</v>
      </c>
      <c r="D116" s="668" t="s">
        <v>897</v>
      </c>
      <c r="E116" s="668"/>
      <c r="F116" s="668"/>
      <c r="G116" s="668"/>
      <c r="H116" s="698"/>
      <c r="I116" s="698"/>
      <c r="J116" s="698"/>
      <c r="K116" s="699"/>
      <c r="L116" s="700"/>
      <c r="M116" s="701"/>
      <c r="N116" s="2144"/>
      <c r="O116" s="2144"/>
      <c r="P116" s="2145"/>
      <c r="Q116" s="2138"/>
      <c r="R116" s="2125"/>
      <c r="S116" s="2125"/>
      <c r="T116" s="2125"/>
      <c r="U116" s="2125"/>
      <c r="V116" s="2125"/>
      <c r="W116" s="2125"/>
      <c r="X116" s="2125"/>
      <c r="Y116" s="2125"/>
      <c r="Z116" s="2125"/>
      <c r="AA116" s="2125"/>
      <c r="AB116" s="2125"/>
      <c r="AC116" s="2125"/>
    </row>
    <row r="117" spans="1:29" ht="15.75" thickBot="1">
      <c r="A117" s="649"/>
      <c r="B117" s="658"/>
      <c r="C117" s="659">
        <v>100</v>
      </c>
      <c r="D117" s="659">
        <f>C117-$K39</f>
        <v>98</v>
      </c>
      <c r="E117" s="659">
        <f>D117-$K39</f>
        <v>96</v>
      </c>
      <c r="F117" s="659">
        <f>E117-$K39</f>
        <v>94</v>
      </c>
      <c r="G117" s="659">
        <f>F117-$K39</f>
        <v>92</v>
      </c>
      <c r="H117" s="659"/>
      <c r="I117" s="659"/>
      <c r="J117" s="659"/>
      <c r="K117" s="659"/>
      <c r="L117" s="659"/>
      <c r="M117" s="660"/>
      <c r="N117" s="2146"/>
      <c r="O117" s="2146"/>
      <c r="P117" s="2145"/>
      <c r="Q117" s="2138"/>
      <c r="R117" s="2125"/>
      <c r="S117" s="2125"/>
      <c r="T117" s="2125"/>
      <c r="U117" s="2125"/>
      <c r="V117" s="2125"/>
      <c r="W117" s="2125"/>
      <c r="X117" s="2125"/>
      <c r="Y117" s="2125"/>
      <c r="Z117" s="2125"/>
      <c r="AA117" s="2125"/>
      <c r="AB117" s="2125"/>
      <c r="AC117" s="2125"/>
    </row>
    <row r="118" spans="1:29" ht="15" thickTop="1">
      <c r="A118" s="715"/>
      <c r="B118" s="653" t="s">
        <v>898</v>
      </c>
      <c r="C118" s="888" t="s">
        <v>19</v>
      </c>
      <c r="D118" s="888" t="s">
        <v>20</v>
      </c>
      <c r="E118" s="888" t="s">
        <v>21</v>
      </c>
      <c r="F118" s="888" t="s">
        <v>22</v>
      </c>
      <c r="G118" s="888"/>
      <c r="H118" s="669"/>
      <c r="I118" s="669"/>
      <c r="J118" s="669"/>
      <c r="K118" s="669"/>
      <c r="L118" s="670"/>
      <c r="M118" s="671"/>
      <c r="N118" s="2144"/>
      <c r="O118" s="2144"/>
      <c r="P118" s="2145"/>
      <c r="Q118" s="2138"/>
      <c r="R118" s="2125"/>
      <c r="S118" s="2125"/>
      <c r="T118" s="2125"/>
      <c r="U118" s="2125"/>
      <c r="V118" s="2125"/>
      <c r="W118" s="2125"/>
      <c r="X118" s="2125"/>
      <c r="Y118" s="2125"/>
      <c r="Z118" s="2125"/>
      <c r="AA118" s="2125"/>
      <c r="AB118" s="2125"/>
      <c r="AC118" s="2125"/>
    </row>
    <row r="119" spans="1:29" ht="15.75" thickBot="1">
      <c r="A119" s="649"/>
      <c r="B119" s="658"/>
      <c r="C119" s="672">
        <v>100</v>
      </c>
      <c r="D119" s="651">
        <v>102</v>
      </c>
      <c r="E119" s="651">
        <v>105</v>
      </c>
      <c r="F119" s="651">
        <v>102</v>
      </c>
      <c r="G119" s="651"/>
      <c r="H119" s="651"/>
      <c r="I119" s="651"/>
      <c r="J119" s="651"/>
      <c r="K119" s="651"/>
      <c r="L119" s="651"/>
      <c r="M119" s="652"/>
      <c r="N119" s="2146"/>
      <c r="O119" s="2146"/>
      <c r="P119" s="2145"/>
      <c r="Q119" s="2138"/>
      <c r="R119" s="2125"/>
      <c r="S119" s="2125"/>
      <c r="T119" s="2125"/>
      <c r="U119" s="2125"/>
      <c r="V119" s="2125"/>
      <c r="W119" s="2125"/>
      <c r="X119" s="2125"/>
      <c r="Y119" s="2125"/>
      <c r="Z119" s="2125"/>
      <c r="AA119" s="2125"/>
      <c r="AB119" s="2125"/>
      <c r="AC119" s="2125"/>
    </row>
    <row r="120" spans="1:29" s="1324" customFormat="1" ht="15" thickTop="1">
      <c r="A120" s="708"/>
      <c r="B120" s="653" t="s">
        <v>899</v>
      </c>
      <c r="C120" s="698" t="s">
        <v>900</v>
      </c>
      <c r="D120" s="698" t="s">
        <v>901</v>
      </c>
      <c r="E120" s="698" t="s">
        <v>902</v>
      </c>
      <c r="F120" s="698"/>
      <c r="G120" s="669"/>
      <c r="H120" s="669"/>
      <c r="I120" s="669"/>
      <c r="J120" s="669"/>
      <c r="K120" s="669"/>
      <c r="L120" s="670"/>
      <c r="M120" s="671"/>
      <c r="N120" s="2147"/>
      <c r="O120" s="2147"/>
      <c r="P120" s="2148"/>
      <c r="Q120" s="2149"/>
      <c r="R120" s="2150"/>
      <c r="S120" s="2150"/>
      <c r="T120" s="2150"/>
      <c r="U120" s="2150"/>
      <c r="V120" s="2150"/>
      <c r="W120" s="2150"/>
      <c r="X120" s="2150"/>
      <c r="Y120" s="2150"/>
      <c r="Z120" s="2150"/>
      <c r="AA120" s="2150"/>
      <c r="AB120" s="2150"/>
      <c r="AC120" s="2150"/>
    </row>
    <row r="121" spans="1:29" s="1324" customFormat="1" ht="15.75" thickBot="1">
      <c r="A121" s="667"/>
      <c r="B121" s="650"/>
      <c r="C121" s="692">
        <v>100</v>
      </c>
      <c r="D121" s="659">
        <f>C121-$K41</f>
        <v>98</v>
      </c>
      <c r="E121" s="659">
        <f t="shared" ref="E121:M121" si="28">D121-$K41</f>
        <v>96</v>
      </c>
      <c r="F121" s="659">
        <f t="shared" si="28"/>
        <v>94</v>
      </c>
      <c r="G121" s="659">
        <f t="shared" si="28"/>
        <v>92</v>
      </c>
      <c r="H121" s="659">
        <f t="shared" si="28"/>
        <v>90</v>
      </c>
      <c r="I121" s="659">
        <f t="shared" si="28"/>
        <v>88</v>
      </c>
      <c r="J121" s="659">
        <f t="shared" si="28"/>
        <v>86</v>
      </c>
      <c r="K121" s="659">
        <f t="shared" si="28"/>
        <v>84</v>
      </c>
      <c r="L121" s="659">
        <f t="shared" si="28"/>
        <v>82</v>
      </c>
      <c r="M121" s="660">
        <f t="shared" si="28"/>
        <v>80</v>
      </c>
      <c r="N121" s="2147"/>
      <c r="O121" s="2147"/>
      <c r="P121" s="2148"/>
      <c r="Q121" s="2149"/>
      <c r="R121" s="2150"/>
      <c r="S121" s="2150"/>
      <c r="T121" s="2150"/>
      <c r="U121" s="2150"/>
      <c r="V121" s="2150"/>
      <c r="W121" s="2150"/>
      <c r="X121" s="2150"/>
      <c r="Y121" s="2150"/>
      <c r="Z121" s="2150"/>
      <c r="AA121" s="2150"/>
      <c r="AB121" s="2150"/>
      <c r="AC121" s="2150"/>
    </row>
    <row r="122" spans="1:29" ht="15" thickTop="1">
      <c r="A122" s="715"/>
      <c r="B122" s="653" t="s">
        <v>841</v>
      </c>
      <c r="C122" s="668" t="s">
        <v>827</v>
      </c>
      <c r="D122" s="668" t="s">
        <v>828</v>
      </c>
      <c r="E122" s="668" t="s">
        <v>829</v>
      </c>
      <c r="F122" s="698" t="s">
        <v>830</v>
      </c>
      <c r="G122" s="698"/>
      <c r="H122" s="698"/>
      <c r="I122" s="698"/>
      <c r="J122" s="698"/>
      <c r="K122" s="699"/>
      <c r="L122" s="700"/>
      <c r="M122" s="701"/>
      <c r="N122" s="2144"/>
      <c r="O122" s="2144"/>
      <c r="P122" s="2145"/>
      <c r="Q122" s="2138"/>
      <c r="R122" s="2125"/>
      <c r="S122" s="2125"/>
      <c r="T122" s="2125"/>
      <c r="U122" s="2125"/>
      <c r="V122" s="2125"/>
      <c r="W122" s="2125"/>
      <c r="X122" s="2125"/>
      <c r="Y122" s="2125"/>
      <c r="Z122" s="2125"/>
      <c r="AA122" s="2125"/>
      <c r="AB122" s="2125"/>
      <c r="AC122" s="2125"/>
    </row>
    <row r="123" spans="1:29" ht="15.75" thickBot="1">
      <c r="A123" s="649"/>
      <c r="B123" s="658"/>
      <c r="C123" s="659">
        <v>100</v>
      </c>
      <c r="D123" s="659">
        <f t="shared" ref="D123:M123" si="29">C123-$K42</f>
        <v>98</v>
      </c>
      <c r="E123" s="659">
        <f t="shared" si="29"/>
        <v>96</v>
      </c>
      <c r="F123" s="659">
        <f t="shared" si="29"/>
        <v>94</v>
      </c>
      <c r="G123" s="659">
        <f t="shared" si="29"/>
        <v>92</v>
      </c>
      <c r="H123" s="659">
        <f t="shared" si="29"/>
        <v>90</v>
      </c>
      <c r="I123" s="659">
        <f t="shared" si="29"/>
        <v>88</v>
      </c>
      <c r="J123" s="659">
        <f t="shared" si="29"/>
        <v>86</v>
      </c>
      <c r="K123" s="659">
        <f t="shared" si="29"/>
        <v>84</v>
      </c>
      <c r="L123" s="659">
        <f t="shared" si="29"/>
        <v>82</v>
      </c>
      <c r="M123" s="660">
        <f t="shared" si="29"/>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15"/>
      <c r="B124" s="653" t="s">
        <v>842</v>
      </c>
      <c r="C124" s="688" t="s">
        <v>576</v>
      </c>
      <c r="D124" s="688" t="s">
        <v>577</v>
      </c>
      <c r="E124" s="688" t="s">
        <v>578</v>
      </c>
      <c r="F124" s="688" t="s">
        <v>579</v>
      </c>
      <c r="G124" s="688" t="s">
        <v>580</v>
      </c>
      <c r="H124" s="654"/>
      <c r="I124" s="654"/>
      <c r="J124" s="654"/>
      <c r="K124" s="655"/>
      <c r="L124" s="656"/>
      <c r="M124" s="657"/>
      <c r="N124" s="2144"/>
      <c r="O124" s="2144"/>
      <c r="P124" s="2148"/>
      <c r="Q124" s="2138"/>
      <c r="R124" s="2125"/>
      <c r="S124" s="2125"/>
      <c r="T124" s="2125"/>
      <c r="U124" s="2125"/>
      <c r="V124" s="2125"/>
      <c r="W124" s="2125"/>
      <c r="X124" s="2125"/>
      <c r="Y124" s="2125"/>
      <c r="Z124" s="2125"/>
      <c r="AA124" s="2125"/>
      <c r="AB124" s="2125"/>
      <c r="AC124" s="2125"/>
    </row>
    <row r="125" spans="1:29" ht="15.75" thickBot="1">
      <c r="A125" s="649"/>
      <c r="B125" s="658"/>
      <c r="C125" s="659">
        <v>100</v>
      </c>
      <c r="D125" s="659">
        <f>C125-$K43</f>
        <v>98</v>
      </c>
      <c r="E125" s="659">
        <f>D125-$K43</f>
        <v>96</v>
      </c>
      <c r="F125" s="659">
        <f>E125-$K43</f>
        <v>94</v>
      </c>
      <c r="G125" s="659">
        <f>F125-$K43</f>
        <v>92</v>
      </c>
      <c r="H125" s="659"/>
      <c r="I125" s="659"/>
      <c r="J125" s="659"/>
      <c r="K125" s="659"/>
      <c r="L125" s="659"/>
      <c r="M125" s="660"/>
      <c r="N125" s="2146"/>
      <c r="O125" s="2146"/>
      <c r="P125" s="2145"/>
      <c r="Q125" s="2138"/>
      <c r="R125" s="2125"/>
      <c r="S125" s="2125"/>
      <c r="T125" s="2125"/>
      <c r="U125" s="2125"/>
      <c r="V125" s="2125"/>
      <c r="W125" s="2125"/>
      <c r="X125" s="2125"/>
      <c r="Y125" s="2125"/>
      <c r="Z125" s="2125"/>
      <c r="AA125" s="2125"/>
      <c r="AB125" s="2125"/>
      <c r="AC125" s="2125"/>
    </row>
    <row r="126" spans="1:29" s="1324" customFormat="1" ht="15" thickTop="1">
      <c r="A126" s="708"/>
      <c r="B126" s="653">
        <f>B44</f>
        <v>0</v>
      </c>
      <c r="C126" s="668">
        <v>111</v>
      </c>
      <c r="D126" s="668">
        <v>222</v>
      </c>
      <c r="E126" s="668">
        <v>333</v>
      </c>
      <c r="F126" s="668">
        <v>444</v>
      </c>
      <c r="G126" s="668"/>
      <c r="H126" s="669"/>
      <c r="I126" s="669"/>
      <c r="J126" s="669"/>
      <c r="K126" s="669"/>
      <c r="L126" s="670"/>
      <c r="M126" s="671"/>
      <c r="N126" s="2147"/>
      <c r="O126" s="2147"/>
      <c r="P126" s="2148"/>
      <c r="Q126" s="2149"/>
      <c r="R126" s="2150"/>
      <c r="S126" s="2150"/>
      <c r="T126" s="2150"/>
      <c r="U126" s="2150"/>
      <c r="V126" s="2150"/>
      <c r="W126" s="2150"/>
      <c r="X126" s="2150"/>
      <c r="Y126" s="2150"/>
      <c r="Z126" s="2150"/>
      <c r="AA126" s="2150"/>
      <c r="AB126" s="2150"/>
      <c r="AC126" s="2150"/>
    </row>
    <row r="127" spans="1:29" s="1324" customFormat="1" ht="15.75" thickBot="1">
      <c r="A127" s="667"/>
      <c r="B127" s="658"/>
      <c r="C127" s="672">
        <v>100</v>
      </c>
      <c r="D127" s="651">
        <v>99</v>
      </c>
      <c r="E127" s="651">
        <v>98</v>
      </c>
      <c r="F127" s="651">
        <v>97</v>
      </c>
      <c r="G127" s="672"/>
      <c r="H127" s="673"/>
      <c r="I127" s="673"/>
      <c r="J127" s="673"/>
      <c r="K127" s="673"/>
      <c r="L127" s="673"/>
      <c r="M127" s="674"/>
      <c r="N127" s="2147"/>
      <c r="O127" s="2147"/>
      <c r="P127" s="2148"/>
      <c r="Q127" s="2149"/>
      <c r="R127" s="2150"/>
      <c r="S127" s="2150"/>
      <c r="T127" s="2150"/>
      <c r="U127" s="2150"/>
      <c r="V127" s="2150"/>
      <c r="W127" s="2150"/>
      <c r="X127" s="2150"/>
      <c r="Y127" s="2150"/>
      <c r="Z127" s="2150"/>
      <c r="AA127" s="2150"/>
      <c r="AB127" s="2150"/>
      <c r="AC127" s="2150"/>
    </row>
    <row r="128" spans="1:29" ht="15" thickTop="1">
      <c r="A128" s="715"/>
      <c r="B128" s="653">
        <f>B45</f>
        <v>0</v>
      </c>
      <c r="C128" s="668">
        <v>111</v>
      </c>
      <c r="D128" s="668">
        <v>222</v>
      </c>
      <c r="E128" s="668">
        <v>333</v>
      </c>
      <c r="F128" s="668">
        <v>444</v>
      </c>
      <c r="G128" s="698"/>
      <c r="H128" s="698"/>
      <c r="I128" s="698"/>
      <c r="J128" s="698"/>
      <c r="K128" s="699"/>
      <c r="L128" s="700"/>
      <c r="M128" s="701"/>
      <c r="N128" s="2144"/>
      <c r="O128" s="2144"/>
      <c r="P128" s="2145"/>
      <c r="Q128" s="2138"/>
      <c r="R128" s="2125"/>
      <c r="S128" s="2125"/>
      <c r="T128" s="2125"/>
      <c r="U128" s="2125"/>
      <c r="V128" s="2125"/>
      <c r="W128" s="2125"/>
      <c r="X128" s="2125"/>
      <c r="Y128" s="2125"/>
      <c r="Z128" s="2125"/>
      <c r="AA128" s="2125"/>
      <c r="AB128" s="2125"/>
      <c r="AC128" s="2125"/>
    </row>
    <row r="129" spans="1:29" ht="15.75" thickBot="1">
      <c r="A129" s="649"/>
      <c r="B129" s="658"/>
      <c r="C129" s="672">
        <v>100</v>
      </c>
      <c r="D129" s="651">
        <v>98</v>
      </c>
      <c r="E129" s="651">
        <v>97</v>
      </c>
      <c r="F129" s="651">
        <v>96</v>
      </c>
      <c r="G129" s="651"/>
      <c r="H129" s="651"/>
      <c r="I129" s="651"/>
      <c r="J129" s="651"/>
      <c r="K129" s="651"/>
      <c r="L129" s="651"/>
      <c r="M129" s="652"/>
      <c r="N129" s="2146"/>
      <c r="O129" s="2146"/>
      <c r="P129" s="2145"/>
      <c r="Q129" s="2138"/>
      <c r="R129" s="2125"/>
      <c r="S129" s="2125"/>
      <c r="T129" s="2125"/>
      <c r="U129" s="2125"/>
      <c r="V129" s="2125"/>
      <c r="W129" s="2125"/>
      <c r="X129" s="2125"/>
      <c r="Y129" s="2125"/>
      <c r="Z129" s="2125"/>
      <c r="AA129" s="2125"/>
      <c r="AB129" s="2125"/>
      <c r="AC129" s="2125"/>
    </row>
    <row r="130" spans="1:29" ht="15" thickTop="1">
      <c r="A130" s="715"/>
      <c r="B130" s="661">
        <f>B46</f>
        <v>0</v>
      </c>
      <c r="C130" s="668">
        <v>111</v>
      </c>
      <c r="D130" s="668">
        <v>222</v>
      </c>
      <c r="E130" s="668">
        <v>333</v>
      </c>
      <c r="F130" s="668">
        <v>444</v>
      </c>
      <c r="G130" s="702"/>
      <c r="H130" s="702"/>
      <c r="I130" s="702"/>
      <c r="J130" s="702"/>
      <c r="K130" s="641"/>
      <c r="L130" s="642"/>
      <c r="M130" s="705"/>
      <c r="N130" s="2144"/>
      <c r="O130" s="2144"/>
      <c r="P130" s="2145"/>
      <c r="Q130" s="2138"/>
      <c r="R130" s="2125"/>
      <c r="S130" s="2125"/>
      <c r="T130" s="2125"/>
      <c r="U130" s="2125"/>
      <c r="V130" s="2125"/>
      <c r="W130" s="2125"/>
      <c r="X130" s="2125"/>
      <c r="Y130" s="2125"/>
      <c r="Z130" s="2125"/>
      <c r="AA130" s="2125"/>
      <c r="AB130" s="2125"/>
      <c r="AC130" s="2125"/>
    </row>
    <row r="131" spans="1:29" ht="15.75" thickBot="1">
      <c r="A131" s="873"/>
      <c r="B131" s="679"/>
      <c r="C131" s="680">
        <v>100</v>
      </c>
      <c r="D131" s="680">
        <v>97</v>
      </c>
      <c r="E131" s="680">
        <v>94</v>
      </c>
      <c r="F131" s="680">
        <v>91</v>
      </c>
      <c r="G131" s="706"/>
      <c r="H131" s="706"/>
      <c r="I131" s="706"/>
      <c r="J131" s="706"/>
      <c r="K131" s="706"/>
      <c r="L131" s="706"/>
      <c r="M131" s="707"/>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P19" sqref="P19"/>
    </sheetView>
  </sheetViews>
  <sheetFormatPr defaultRowHeight="12.75"/>
  <cols>
    <col min="1" max="1" width="11.5" style="1235" customWidth="1"/>
    <col min="2" max="2" width="9.25" style="1197" customWidth="1"/>
    <col min="3" max="3" width="5" style="1197" customWidth="1"/>
    <col min="4" max="4" width="9" style="1197"/>
    <col min="5" max="5" width="5" style="1197" customWidth="1"/>
    <col min="6" max="6" width="9" style="1197"/>
    <col min="7" max="7" width="5" style="1197" customWidth="1"/>
    <col min="8" max="8" width="9" style="1197"/>
    <col min="9" max="9" width="5" style="1197" customWidth="1"/>
    <col min="10" max="10" width="9" style="1197"/>
    <col min="11" max="11" width="5" style="1197" customWidth="1"/>
    <col min="12" max="12" width="9" style="1197"/>
    <col min="13" max="13" width="5" style="1197" customWidth="1"/>
    <col min="14" max="14" width="9" style="1197"/>
    <col min="15" max="15" width="5" style="1197" customWidth="1"/>
    <col min="16" max="16" width="9" style="1197"/>
    <col min="17" max="17" width="5" style="1197" customWidth="1"/>
    <col min="18" max="18" width="9" style="1597"/>
    <col min="19" max="19" width="9" style="1235"/>
    <col min="20" max="35" width="9" style="234"/>
    <col min="36" max="16384" width="9" style="1235"/>
  </cols>
  <sheetData>
    <row r="1" spans="1:45" s="234" customFormat="1" ht="14.25" customHeight="1" thickBot="1">
      <c r="A1" s="345"/>
      <c r="B1" s="2214" t="s">
        <v>2532</v>
      </c>
      <c r="C1" s="3520" t="s">
        <v>2533</v>
      </c>
      <c r="D1" s="3521"/>
      <c r="E1" s="3521"/>
      <c r="F1" s="3521"/>
      <c r="G1" s="3521"/>
      <c r="H1" s="3521"/>
      <c r="I1" s="3521"/>
      <c r="J1" s="3521"/>
      <c r="K1" s="3521"/>
      <c r="L1" s="3521"/>
      <c r="M1" s="3521"/>
      <c r="N1" s="3521"/>
      <c r="O1" s="3521"/>
      <c r="P1" s="3521"/>
      <c r="Q1" s="3521"/>
      <c r="R1" s="3521"/>
      <c r="S1" s="3522"/>
      <c r="T1" s="2214" t="s">
        <v>2534</v>
      </c>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row>
    <row r="2" spans="1:45" s="1946" customFormat="1" ht="38.25">
      <c r="A2" s="2215"/>
      <c r="B2" s="928" t="s">
        <v>2535</v>
      </c>
      <c r="C2" s="929" t="str">
        <f t="shared" ref="C2:L2" si="0">C3&amp;"(含)"&amp;"-"&amp;D3</f>
        <v>0(含)-100</v>
      </c>
      <c r="D2" s="930" t="str">
        <f t="shared" si="0"/>
        <v>100(含)-300</v>
      </c>
      <c r="E2" s="930" t="str">
        <f t="shared" si="0"/>
        <v>300(含)-500</v>
      </c>
      <c r="F2" s="930" t="str">
        <f t="shared" si="0"/>
        <v>500(含)-800</v>
      </c>
      <c r="G2" s="930" t="str">
        <f t="shared" si="0"/>
        <v>800(含)-1000</v>
      </c>
      <c r="H2" s="930" t="str">
        <f t="shared" si="0"/>
        <v>1000(含)-</v>
      </c>
      <c r="I2" s="930" t="str">
        <f t="shared" si="0"/>
        <v>(含)-</v>
      </c>
      <c r="J2" s="930" t="str">
        <f t="shared" si="0"/>
        <v>(含)-</v>
      </c>
      <c r="K2" s="930" t="str">
        <f t="shared" si="0"/>
        <v>(含)-</v>
      </c>
      <c r="L2" s="930" t="str">
        <f t="shared" si="0"/>
        <v>(含)-</v>
      </c>
      <c r="M2" s="930" t="str">
        <f t="shared" ref="M2" si="1">M3&amp;"(含)"&amp;"-"&amp;N3</f>
        <v>(含)-</v>
      </c>
      <c r="N2" s="930" t="str">
        <f t="shared" ref="N2" si="2">N3&amp;"(含)"&amp;"-"&amp;O3</f>
        <v>(含)-</v>
      </c>
      <c r="O2" s="930" t="str">
        <f t="shared" ref="O2" si="3">O3&amp;"(含)"&amp;"-"&amp;P3</f>
        <v>(含)-</v>
      </c>
      <c r="P2" s="930" t="str">
        <f t="shared" ref="P2" si="4">P3&amp;"(含)"&amp;"-"&amp;Q3</f>
        <v>(含)-</v>
      </c>
      <c r="Q2" s="930" t="str">
        <f t="shared" ref="Q2" si="5">Q3&amp;"(含)"&amp;"-"&amp;R3</f>
        <v>(含)-</v>
      </c>
      <c r="R2" s="930" t="str">
        <f t="shared" ref="R2" si="6">R3&amp;"(含)"&amp;"-"&amp;S3</f>
        <v>(含)-</v>
      </c>
      <c r="S2" s="2216" t="str">
        <f>S3&amp;"(含)"&amp;"-"</f>
        <v>(含)-</v>
      </c>
      <c r="T2" s="931"/>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47" customFormat="1">
      <c r="A3" s="2218"/>
      <c r="B3" s="932"/>
      <c r="C3" s="933">
        <v>0</v>
      </c>
      <c r="D3" s="934">
        <v>100</v>
      </c>
      <c r="E3" s="934">
        <v>300</v>
      </c>
      <c r="F3" s="934">
        <v>500</v>
      </c>
      <c r="G3" s="934">
        <v>800</v>
      </c>
      <c r="H3" s="934">
        <v>1000</v>
      </c>
      <c r="I3" s="934"/>
      <c r="J3" s="935"/>
      <c r="K3" s="935"/>
      <c r="L3" s="936"/>
      <c r="M3" s="2219"/>
      <c r="N3" s="2220"/>
      <c r="O3" s="934"/>
      <c r="P3" s="934"/>
      <c r="Q3" s="934"/>
      <c r="R3" s="934"/>
      <c r="S3" s="2221"/>
      <c r="T3" s="937"/>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47" customFormat="1" ht="13.5" thickBot="1">
      <c r="A4" s="2223"/>
      <c r="B4" s="2224"/>
      <c r="C4" s="2225">
        <v>100</v>
      </c>
      <c r="D4" s="2226">
        <v>102</v>
      </c>
      <c r="E4" s="2226">
        <v>104</v>
      </c>
      <c r="F4" s="2226">
        <v>106</v>
      </c>
      <c r="G4" s="2226">
        <v>108</v>
      </c>
      <c r="H4" s="2226">
        <v>110</v>
      </c>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48" customFormat="1" ht="27.75" thickTop="1">
      <c r="A5" s="2231"/>
      <c r="B5" s="3200" t="str">
        <f>'不动产比较法-商业'!B38</f>
        <v>业态</v>
      </c>
      <c r="C5" s="668" t="s">
        <v>3367</v>
      </c>
      <c r="D5" s="668" t="s">
        <v>3368</v>
      </c>
      <c r="E5" s="2234"/>
      <c r="F5" s="2234"/>
      <c r="G5" s="2234"/>
      <c r="H5" s="2234"/>
      <c r="I5" s="2234"/>
      <c r="J5" s="2234"/>
      <c r="K5" s="2234"/>
      <c r="L5" s="2235"/>
      <c r="M5" s="2236"/>
      <c r="N5" s="2236"/>
      <c r="O5" s="2234"/>
      <c r="P5" s="2234"/>
      <c r="Q5" s="2234"/>
      <c r="R5" s="2234"/>
      <c r="S5" s="2237"/>
      <c r="T5" s="2238">
        <f>'不动产比较法-商业'!K38</f>
        <v>2.5</v>
      </c>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48" customFormat="1" ht="13.5" thickBot="1">
      <c r="A6" s="2231"/>
      <c r="B6" s="1940"/>
      <c r="C6" s="1944">
        <v>100</v>
      </c>
      <c r="D6" s="1945">
        <f>C6-$T5</f>
        <v>97.5</v>
      </c>
      <c r="E6" s="1945">
        <f t="shared" ref="E6:S6" si="7">D6-$T5</f>
        <v>95</v>
      </c>
      <c r="F6" s="1945">
        <f t="shared" si="7"/>
        <v>92.5</v>
      </c>
      <c r="G6" s="1945">
        <f t="shared" si="7"/>
        <v>90</v>
      </c>
      <c r="H6" s="1945">
        <f t="shared" si="7"/>
        <v>87.5</v>
      </c>
      <c r="I6" s="1945">
        <f t="shared" si="7"/>
        <v>85</v>
      </c>
      <c r="J6" s="1945">
        <f t="shared" si="7"/>
        <v>82.5</v>
      </c>
      <c r="K6" s="1945">
        <f t="shared" si="7"/>
        <v>80</v>
      </c>
      <c r="L6" s="1945">
        <f t="shared" si="7"/>
        <v>77.5</v>
      </c>
      <c r="M6" s="1945">
        <f t="shared" si="7"/>
        <v>75</v>
      </c>
      <c r="N6" s="1945">
        <f t="shared" si="7"/>
        <v>72.5</v>
      </c>
      <c r="O6" s="1945">
        <f t="shared" si="7"/>
        <v>70</v>
      </c>
      <c r="P6" s="1945">
        <f t="shared" si="7"/>
        <v>67.5</v>
      </c>
      <c r="Q6" s="1945">
        <f t="shared" si="7"/>
        <v>65</v>
      </c>
      <c r="R6" s="1945">
        <f t="shared" si="7"/>
        <v>62.5</v>
      </c>
      <c r="S6" s="1945">
        <f t="shared" si="7"/>
        <v>60</v>
      </c>
      <c r="T6" s="1943"/>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48" customFormat="1" ht="40.5">
      <c r="A7" s="2231"/>
      <c r="B7" s="3199" t="s">
        <v>3369</v>
      </c>
      <c r="C7" s="3193" t="s">
        <v>857</v>
      </c>
      <c r="D7" s="3193" t="s">
        <v>856</v>
      </c>
      <c r="E7" s="3192" t="s">
        <v>3354</v>
      </c>
      <c r="F7" s="3192" t="s">
        <v>3366</v>
      </c>
      <c r="G7" s="1938"/>
      <c r="H7" s="1938"/>
      <c r="I7" s="1938"/>
      <c r="J7" s="1938"/>
      <c r="K7" s="1938"/>
      <c r="L7" s="1938"/>
      <c r="M7" s="2240"/>
      <c r="N7" s="2241"/>
      <c r="O7" s="2242"/>
      <c r="P7" s="2243"/>
      <c r="Q7" s="2244"/>
      <c r="R7" s="2245"/>
      <c r="S7" s="2246"/>
      <c r="T7" s="938">
        <f>'不动产比较法-商业'!K32</f>
        <v>4</v>
      </c>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48" customFormat="1" ht="13.5" thickBot="1">
      <c r="A8" s="2231"/>
      <c r="B8" s="1940"/>
      <c r="C8" s="1944">
        <v>100</v>
      </c>
      <c r="D8" s="1945">
        <f>C8-$T7</f>
        <v>96</v>
      </c>
      <c r="E8" s="1945">
        <f t="shared" ref="E8:S8" si="8">D8-$T7</f>
        <v>92</v>
      </c>
      <c r="F8" s="1945">
        <f t="shared" si="8"/>
        <v>88</v>
      </c>
      <c r="G8" s="1945">
        <f t="shared" si="8"/>
        <v>84</v>
      </c>
      <c r="H8" s="1945">
        <f t="shared" si="8"/>
        <v>80</v>
      </c>
      <c r="I8" s="1945">
        <f t="shared" si="8"/>
        <v>76</v>
      </c>
      <c r="J8" s="1945">
        <f t="shared" si="8"/>
        <v>72</v>
      </c>
      <c r="K8" s="1945">
        <f t="shared" si="8"/>
        <v>68</v>
      </c>
      <c r="L8" s="1945">
        <f t="shared" si="8"/>
        <v>64</v>
      </c>
      <c r="M8" s="1945">
        <f t="shared" si="8"/>
        <v>60</v>
      </c>
      <c r="N8" s="1945">
        <f t="shared" si="8"/>
        <v>56</v>
      </c>
      <c r="O8" s="1945">
        <f t="shared" si="8"/>
        <v>52</v>
      </c>
      <c r="P8" s="1945">
        <f t="shared" si="8"/>
        <v>48</v>
      </c>
      <c r="Q8" s="1945">
        <f t="shared" si="8"/>
        <v>44</v>
      </c>
      <c r="R8" s="1945">
        <f t="shared" si="8"/>
        <v>40</v>
      </c>
      <c r="S8" s="1945">
        <f t="shared" si="8"/>
        <v>36</v>
      </c>
      <c r="T8" s="1943"/>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48" customFormat="1">
      <c r="A9" s="2231"/>
      <c r="B9" s="1936" t="s">
        <v>2536</v>
      </c>
      <c r="C9" s="1937">
        <v>311</v>
      </c>
      <c r="D9" s="1938">
        <v>312</v>
      </c>
      <c r="E9" s="1938">
        <v>313</v>
      </c>
      <c r="F9" s="1938">
        <v>314</v>
      </c>
      <c r="G9" s="1938">
        <v>315</v>
      </c>
      <c r="H9" s="1938"/>
      <c r="I9" s="1938"/>
      <c r="J9" s="1938"/>
      <c r="K9" s="1938"/>
      <c r="L9" s="1939"/>
      <c r="M9" s="2240"/>
      <c r="N9" s="2241"/>
      <c r="O9" s="2242"/>
      <c r="P9" s="2243"/>
      <c r="Q9" s="2244"/>
      <c r="R9" s="2245"/>
      <c r="S9" s="2246"/>
      <c r="T9" s="938">
        <v>1.5</v>
      </c>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48" customFormat="1" ht="13.5" thickBot="1">
      <c r="A10" s="2231"/>
      <c r="B10" s="2224"/>
      <c r="C10" s="2247">
        <v>100</v>
      </c>
      <c r="D10" s="2248">
        <f>C10-$T9</f>
        <v>98.5</v>
      </c>
      <c r="E10" s="2248">
        <f t="shared" ref="E10:S10" si="9">D10-$T9</f>
        <v>97</v>
      </c>
      <c r="F10" s="2248">
        <f t="shared" si="9"/>
        <v>95.5</v>
      </c>
      <c r="G10" s="2248">
        <f t="shared" si="9"/>
        <v>94</v>
      </c>
      <c r="H10" s="2248">
        <f t="shared" si="9"/>
        <v>92.5</v>
      </c>
      <c r="I10" s="2248">
        <f t="shared" si="9"/>
        <v>91</v>
      </c>
      <c r="J10" s="2248">
        <f t="shared" si="9"/>
        <v>89.5</v>
      </c>
      <c r="K10" s="2248">
        <f t="shared" si="9"/>
        <v>88</v>
      </c>
      <c r="L10" s="2248">
        <f t="shared" si="9"/>
        <v>86.5</v>
      </c>
      <c r="M10" s="2248">
        <f t="shared" si="9"/>
        <v>85</v>
      </c>
      <c r="N10" s="2248">
        <f t="shared" si="9"/>
        <v>83.5</v>
      </c>
      <c r="O10" s="2248">
        <f t="shared" si="9"/>
        <v>82</v>
      </c>
      <c r="P10" s="2248">
        <f t="shared" si="9"/>
        <v>80.5</v>
      </c>
      <c r="Q10" s="2248">
        <f t="shared" si="9"/>
        <v>79</v>
      </c>
      <c r="R10" s="2248">
        <f t="shared" si="9"/>
        <v>77.5</v>
      </c>
      <c r="S10" s="2248">
        <f t="shared" si="9"/>
        <v>76</v>
      </c>
      <c r="T10" s="2230"/>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48" customFormat="1">
      <c r="A11" s="2231"/>
      <c r="B11" s="2232" t="s">
        <v>2537</v>
      </c>
      <c r="C11" s="2233">
        <v>411</v>
      </c>
      <c r="D11" s="2234">
        <v>412</v>
      </c>
      <c r="E11" s="2234">
        <v>413</v>
      </c>
      <c r="F11" s="2234">
        <v>414</v>
      </c>
      <c r="G11" s="2234">
        <v>415</v>
      </c>
      <c r="H11" s="2234"/>
      <c r="I11" s="2234"/>
      <c r="J11" s="2234"/>
      <c r="K11" s="2234"/>
      <c r="L11" s="2234"/>
      <c r="M11" s="2236"/>
      <c r="N11" s="2249"/>
      <c r="O11" s="2250"/>
      <c r="P11" s="2251"/>
      <c r="Q11" s="2252"/>
      <c r="R11" s="2253"/>
      <c r="S11" s="2254"/>
      <c r="T11" s="2238">
        <v>0.5</v>
      </c>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48" customFormat="1" ht="13.5" thickBot="1">
      <c r="A12" s="2231"/>
      <c r="B12" s="1940"/>
      <c r="C12" s="1944">
        <v>100</v>
      </c>
      <c r="D12" s="1945">
        <f>C12-$T11</f>
        <v>99.5</v>
      </c>
      <c r="E12" s="1945">
        <f t="shared" ref="E12:S12" si="10">D12-$T11</f>
        <v>99</v>
      </c>
      <c r="F12" s="1945">
        <f t="shared" si="10"/>
        <v>98.5</v>
      </c>
      <c r="G12" s="1945">
        <f t="shared" si="10"/>
        <v>98</v>
      </c>
      <c r="H12" s="1945">
        <f t="shared" si="10"/>
        <v>97.5</v>
      </c>
      <c r="I12" s="1945">
        <f t="shared" si="10"/>
        <v>97</v>
      </c>
      <c r="J12" s="1945">
        <f t="shared" si="10"/>
        <v>96.5</v>
      </c>
      <c r="K12" s="1945">
        <f t="shared" si="10"/>
        <v>96</v>
      </c>
      <c r="L12" s="1945">
        <f t="shared" si="10"/>
        <v>95.5</v>
      </c>
      <c r="M12" s="1945">
        <f t="shared" si="10"/>
        <v>95</v>
      </c>
      <c r="N12" s="1945">
        <f t="shared" si="10"/>
        <v>94.5</v>
      </c>
      <c r="O12" s="1945">
        <f t="shared" si="10"/>
        <v>94</v>
      </c>
      <c r="P12" s="1945">
        <f t="shared" si="10"/>
        <v>93.5</v>
      </c>
      <c r="Q12" s="1945">
        <f t="shared" si="10"/>
        <v>93</v>
      </c>
      <c r="R12" s="1945">
        <f t="shared" si="10"/>
        <v>92.5</v>
      </c>
      <c r="S12" s="1945">
        <f t="shared" si="10"/>
        <v>92</v>
      </c>
      <c r="T12" s="1943"/>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48" customFormat="1">
      <c r="A13" s="2231"/>
      <c r="B13" s="2232" t="s">
        <v>2538</v>
      </c>
      <c r="C13" s="2233">
        <v>611</v>
      </c>
      <c r="D13" s="2234">
        <v>612</v>
      </c>
      <c r="E13" s="2234">
        <v>613</v>
      </c>
      <c r="F13" s="2234">
        <v>614</v>
      </c>
      <c r="G13" s="2234">
        <v>615</v>
      </c>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48" customFormat="1" ht="13.5" thickBot="1">
      <c r="A14" s="2231"/>
      <c r="B14" s="1940"/>
      <c r="C14" s="1941"/>
      <c r="D14" s="1942"/>
      <c r="E14" s="1942"/>
      <c r="F14" s="1942"/>
      <c r="G14" s="1942"/>
      <c r="H14" s="1942"/>
      <c r="I14" s="1942"/>
      <c r="J14" s="1942"/>
      <c r="K14" s="1942"/>
      <c r="L14" s="1942"/>
      <c r="M14" s="2256"/>
      <c r="N14" s="2256"/>
      <c r="O14" s="1942"/>
      <c r="P14" s="1942"/>
      <c r="Q14" s="1942"/>
      <c r="R14" s="1942"/>
      <c r="S14" s="2257"/>
      <c r="T14" s="1943"/>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48" customFormat="1">
      <c r="A15" s="2231"/>
      <c r="B15" s="2232" t="s">
        <v>2539</v>
      </c>
      <c r="C15" s="2233">
        <v>711</v>
      </c>
      <c r="D15" s="2234">
        <v>712</v>
      </c>
      <c r="E15" s="2234">
        <v>713</v>
      </c>
      <c r="F15" s="2234">
        <v>714</v>
      </c>
      <c r="G15" s="2234">
        <v>715</v>
      </c>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48"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46" customFormat="1">
      <c r="A17" s="2258" t="s">
        <v>2540</v>
      </c>
      <c r="B17" s="2259" t="s">
        <v>2541</v>
      </c>
      <c r="C17" s="2233">
        <v>1</v>
      </c>
      <c r="D17" s="2233">
        <v>2</v>
      </c>
      <c r="E17" s="2233"/>
      <c r="F17" s="2233">
        <v>-1</v>
      </c>
      <c r="G17" s="2234">
        <v>-2</v>
      </c>
      <c r="H17" s="2261">
        <v>-3</v>
      </c>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7"/>
      <c r="AS17" s="2217"/>
    </row>
    <row r="18" spans="1:45" s="1946" customFormat="1" ht="13.5" thickBot="1">
      <c r="A18" s="2270"/>
      <c r="B18" s="2271"/>
      <c r="C18" s="1941">
        <v>100</v>
      </c>
      <c r="D18" s="1942">
        <v>70</v>
      </c>
      <c r="E18" s="1942"/>
      <c r="F18" s="1942">
        <v>40</v>
      </c>
      <c r="G18" s="1942">
        <v>30</v>
      </c>
      <c r="H18" s="2273">
        <v>20</v>
      </c>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7"/>
      <c r="AS18" s="2217"/>
    </row>
    <row r="19" spans="1:45">
      <c r="A19" s="291"/>
      <c r="B19" s="927"/>
      <c r="C19" s="1966"/>
      <c r="D19" s="1966"/>
      <c r="E19" s="1966"/>
      <c r="F19" s="1966"/>
      <c r="G19" s="1966"/>
      <c r="H19" s="1966"/>
      <c r="I19" s="1966"/>
      <c r="J19" s="1966"/>
      <c r="K19" s="1966"/>
      <c r="L19" s="1966"/>
      <c r="M19" s="1966"/>
      <c r="N19" s="1966"/>
      <c r="O19" s="1966"/>
      <c r="P19" s="1966"/>
      <c r="Q19" s="1966"/>
      <c r="R19" s="2205"/>
      <c r="S19" s="2004"/>
    </row>
    <row r="20" spans="1:45" ht="15.75">
      <c r="A20" s="939" t="s">
        <v>1017</v>
      </c>
      <c r="B20" s="755">
        <f>S22</f>
        <v>319097</v>
      </c>
      <c r="C20" s="1966"/>
      <c r="D20" s="1966"/>
      <c r="E20" s="1966"/>
      <c r="F20" s="1966"/>
      <c r="G20" s="1966"/>
      <c r="H20" s="1966"/>
      <c r="I20" s="1966"/>
      <c r="J20" s="1966"/>
      <c r="K20" s="1966"/>
      <c r="L20" s="1966"/>
      <c r="M20" s="1966"/>
      <c r="N20" s="1966"/>
      <c r="O20" s="1966"/>
      <c r="P20" s="1966"/>
      <c r="Q20" s="1966"/>
      <c r="R20" s="2205"/>
      <c r="S20" s="2004"/>
    </row>
    <row r="21" spans="1:45" ht="15.75">
      <c r="A21" s="939" t="s">
        <v>1018</v>
      </c>
      <c r="B21" s="755">
        <f>R22</f>
        <v>25667</v>
      </c>
      <c r="C21" s="1966"/>
      <c r="D21" s="1966"/>
      <c r="E21" s="1966"/>
      <c r="F21" s="1966"/>
      <c r="G21" s="1966"/>
      <c r="H21" s="1966"/>
      <c r="I21" s="1966"/>
      <c r="J21" s="1966"/>
      <c r="K21" s="1966"/>
      <c r="L21" s="1966"/>
      <c r="M21" s="1966"/>
      <c r="N21" s="1966"/>
      <c r="O21" s="1966"/>
      <c r="P21" s="1966"/>
      <c r="Q21" s="1966"/>
      <c r="R21" s="2205"/>
      <c r="S21" s="2004"/>
    </row>
    <row r="22" spans="1:45">
      <c r="A22" s="779" t="s">
        <v>1019</v>
      </c>
      <c r="B22" s="52">
        <f>SUM(B24:B10000)</f>
        <v>124319.97</v>
      </c>
      <c r="C22" s="3523" t="s">
        <v>32</v>
      </c>
      <c r="D22" s="3524"/>
      <c r="E22" s="3524"/>
      <c r="F22" s="3524"/>
      <c r="G22" s="3524"/>
      <c r="H22" s="3524"/>
      <c r="I22" s="3524"/>
      <c r="J22" s="3524"/>
      <c r="K22" s="3524"/>
      <c r="L22" s="3524"/>
      <c r="M22" s="3524"/>
      <c r="N22" s="3524"/>
      <c r="O22" s="3524"/>
      <c r="P22" s="3524"/>
      <c r="Q22" s="3525"/>
      <c r="R22" s="470">
        <f>ROUND(S22*10000/B22,0)</f>
        <v>25667</v>
      </c>
      <c r="S22" s="52">
        <f>SUM(S24:S10000)</f>
        <v>319097</v>
      </c>
    </row>
    <row r="23" spans="1:45" s="1595" customFormat="1" ht="24">
      <c r="A23" s="17" t="s">
        <v>1020</v>
      </c>
      <c r="B23" s="17" t="s">
        <v>1021</v>
      </c>
      <c r="C23" s="17" t="s">
        <v>1022</v>
      </c>
      <c r="D23" s="17" t="str">
        <f>B5</f>
        <v>业态</v>
      </c>
      <c r="E23" s="17" t="s">
        <v>1022</v>
      </c>
      <c r="F23" s="17" t="str">
        <f>B7</f>
        <v>建筑类型</v>
      </c>
      <c r="G23" s="17" t="s">
        <v>1022</v>
      </c>
      <c r="H23" s="17" t="str">
        <f>B9</f>
        <v>修正项4</v>
      </c>
      <c r="I23" s="17" t="s">
        <v>1022</v>
      </c>
      <c r="J23" s="17" t="str">
        <f>B11</f>
        <v>修正项5</v>
      </c>
      <c r="K23" s="17" t="s">
        <v>1022</v>
      </c>
      <c r="L23" s="17" t="str">
        <f>B13</f>
        <v>修正项6</v>
      </c>
      <c r="M23" s="17" t="s">
        <v>1022</v>
      </c>
      <c r="N23" s="17" t="str">
        <f>B15</f>
        <v>修正项7</v>
      </c>
      <c r="O23" s="17" t="s">
        <v>1022</v>
      </c>
      <c r="P23" s="17" t="str">
        <f>B17</f>
        <v>楼层</v>
      </c>
      <c r="Q23" s="17" t="s">
        <v>1022</v>
      </c>
      <c r="R23" s="471" t="s">
        <v>1023</v>
      </c>
      <c r="S23" s="17" t="s">
        <v>1024</v>
      </c>
      <c r="T23" s="18"/>
      <c r="U23" s="18"/>
      <c r="V23" s="18"/>
      <c r="W23" s="18"/>
      <c r="X23" s="18"/>
      <c r="Y23" s="18"/>
      <c r="Z23" s="18"/>
      <c r="AA23" s="18"/>
      <c r="AB23" s="18"/>
      <c r="AC23" s="18"/>
      <c r="AD23" s="18"/>
      <c r="AE23" s="18"/>
      <c r="AF23" s="18"/>
      <c r="AG23" s="18"/>
      <c r="AH23" s="18"/>
      <c r="AI23" s="18"/>
    </row>
    <row r="24" spans="1:45" s="1596" customFormat="1">
      <c r="A24" s="940" t="str">
        <f>'数据-取费表'!A8</f>
        <v>底商1层</v>
      </c>
      <c r="B24" s="940">
        <f>'数据-汇总表'!F21</f>
        <v>20628.919999999998</v>
      </c>
      <c r="C24" s="941">
        <v>1</v>
      </c>
      <c r="D24" s="942" t="s">
        <v>3343</v>
      </c>
      <c r="E24" s="941">
        <v>1</v>
      </c>
      <c r="F24" s="942" t="s">
        <v>3366</v>
      </c>
      <c r="G24" s="941">
        <v>1</v>
      </c>
      <c r="H24" s="942"/>
      <c r="I24" s="941">
        <v>1</v>
      </c>
      <c r="J24" s="942"/>
      <c r="K24" s="941">
        <v>1</v>
      </c>
      <c r="L24" s="942"/>
      <c r="M24" s="941">
        <v>1</v>
      </c>
      <c r="N24" s="942"/>
      <c r="O24" s="941">
        <v>1</v>
      </c>
      <c r="P24" s="942">
        <v>1</v>
      </c>
      <c r="Q24" s="941">
        <v>1</v>
      </c>
      <c r="R24" s="943">
        <f>'不动产比较法-商业'!C48</f>
        <v>51912</v>
      </c>
      <c r="S24" s="941">
        <f t="shared" ref="S24:S54" si="11">ROUND(R24*B24/10000,0)</f>
        <v>107089</v>
      </c>
      <c r="T24" s="1949"/>
      <c r="U24" s="1949"/>
      <c r="V24" s="1949"/>
      <c r="W24" s="1949"/>
      <c r="X24" s="1949"/>
      <c r="Y24" s="1949"/>
      <c r="Z24" s="1949"/>
      <c r="AA24" s="1949"/>
      <c r="AB24" s="1949"/>
      <c r="AC24" s="1949"/>
      <c r="AD24" s="1949"/>
      <c r="AE24" s="1949"/>
      <c r="AF24" s="1949"/>
      <c r="AG24" s="1949"/>
      <c r="AH24" s="1949"/>
      <c r="AI24" s="1949"/>
    </row>
    <row r="25" spans="1:45">
      <c r="A25" s="940" t="str">
        <f>'数据-取费表'!A9</f>
        <v>底商2层</v>
      </c>
      <c r="B25" s="940">
        <f>'数据-汇总表'!F22</f>
        <v>20628.910000000003</v>
      </c>
      <c r="C25" s="52">
        <f>IF(B25="",1,(LOOKUP(B25,$3:$3,$4:$4)-LOOKUP($B$24,$3:$3,$4:$4)+100)/100)</f>
        <v>1</v>
      </c>
      <c r="D25" s="942" t="s">
        <v>3343</v>
      </c>
      <c r="E25" s="52">
        <f>(SUMIF($5:$5,D25,$6:$6)-SUMIF($5:$5,$D$24,$6:$6)+100)/100</f>
        <v>1</v>
      </c>
      <c r="F25" s="942" t="s">
        <v>3366</v>
      </c>
      <c r="G25" s="52">
        <f>(SUMIF($7:$7,F25,$8:$8)-SUMIF($7:$7,$F$24,$8:$8)+100)/100</f>
        <v>1</v>
      </c>
      <c r="H25" s="942"/>
      <c r="I25" s="52">
        <f>(SUMIF($9:$9,H25,$10:$10)-SUMIF($9:$9,$H$24,$10:$10)+100)/100</f>
        <v>1</v>
      </c>
      <c r="J25" s="942"/>
      <c r="K25" s="52">
        <f>(SUMIF($11:$11,J25,$12:$12)-SUMIF($11:$11,$J$24,$12:$12)+100)/100</f>
        <v>1</v>
      </c>
      <c r="L25" s="942"/>
      <c r="M25" s="52">
        <f>(SUMIF($13:$13,L25,$14:$14)-SUMIF($13:$13,$L$24,$14:$14)+100)/100</f>
        <v>1</v>
      </c>
      <c r="N25" s="942"/>
      <c r="O25" s="52">
        <f>(SUMIF($15:$15,N25,$16:$16)-SUMIF($15:$15,$N$24,$16:$16)+100)/100</f>
        <v>1</v>
      </c>
      <c r="P25" s="942">
        <v>2</v>
      </c>
      <c r="Q25" s="52">
        <f>(SUMIF($17:$17,P25,$18:$18)-SUMIF($17:$17,$P$24,$18:$18)+100)/100</f>
        <v>0.7</v>
      </c>
      <c r="R25" s="470">
        <f>IF(B25="",0,ROUND($R$24*C25*E25*G25*I25*K25*M25*O25*Q25,0))</f>
        <v>36338</v>
      </c>
      <c r="S25" s="779">
        <f t="shared" si="11"/>
        <v>74961</v>
      </c>
    </row>
    <row r="26" spans="1:45">
      <c r="A26" s="940" t="str">
        <f>'数据-取费表'!A10</f>
        <v>地下商业1层</v>
      </c>
      <c r="B26" s="940">
        <f>'数据-汇总表'!G23</f>
        <v>27687.38</v>
      </c>
      <c r="C26" s="52">
        <f t="shared" ref="C26:C89" si="12">IF(B26="",1,(LOOKUP(B26,$3:$3,$4:$4)-LOOKUP($B$24,$3:$3,$4:$4)+100)/100)</f>
        <v>1</v>
      </c>
      <c r="D26" s="942" t="s">
        <v>3343</v>
      </c>
      <c r="E26" s="52">
        <f t="shared" ref="E26:E89" si="13">(SUMIF($5:$5,D26,$6:$6)-SUMIF($5:$5,$D$24,$6:$6)+100)/100</f>
        <v>1</v>
      </c>
      <c r="F26" s="942" t="s">
        <v>3366</v>
      </c>
      <c r="G26" s="52">
        <f t="shared" ref="G26:G89" si="14">(SUMIF($7:$7,F26,$8:$8)-SUMIF($7:$7,$F$24,$8:$8)+100)/100</f>
        <v>1</v>
      </c>
      <c r="H26" s="942"/>
      <c r="I26" s="52">
        <f t="shared" ref="I26:I89" si="15">(SUMIF($9:$9,H26,$10:$10)-SUMIF($9:$9,$H$24,$10:$10)+100)/100</f>
        <v>1</v>
      </c>
      <c r="J26" s="942"/>
      <c r="K26" s="52">
        <f t="shared" ref="K26:K89" si="16">(SUMIF($11:$11,J26,$12:$12)-SUMIF($11:$11,$J$24,$12:$12)+100)/100</f>
        <v>1</v>
      </c>
      <c r="L26" s="942"/>
      <c r="M26" s="52">
        <f t="shared" ref="M26:M89" si="17">(SUMIF($13:$13,L26,$14:$14)-SUMIF($13:$13,$L$24,$14:$14)+100)/100</f>
        <v>1</v>
      </c>
      <c r="N26" s="942"/>
      <c r="O26" s="52">
        <f t="shared" ref="O26:O89" si="18">(SUMIF($15:$15,N26,$16:$16)-SUMIF($15:$15,$N$24,$16:$16)+100)/100</f>
        <v>1</v>
      </c>
      <c r="P26" s="942">
        <v>-1</v>
      </c>
      <c r="Q26" s="52">
        <f t="shared" ref="Q26:Q89" si="19">(SUMIF($17:$17,P26,$18:$18)-SUMIF($17:$17,$P$24,$18:$18)+100)/100</f>
        <v>0.4</v>
      </c>
      <c r="R26" s="470">
        <f t="shared" ref="R26:R89" si="20">IF(B26="",0,ROUND($R$24*C26*E26*G26*I26*K26*M26*O26*Q26,0))</f>
        <v>20765</v>
      </c>
      <c r="S26" s="779">
        <f t="shared" si="11"/>
        <v>57493</v>
      </c>
    </row>
    <row r="27" spans="1:45">
      <c r="A27" s="940" t="str">
        <f>'数据-取费表'!A11</f>
        <v>地下商业2层</v>
      </c>
      <c r="B27" s="940">
        <f>'数据-汇总表'!G24</f>
        <v>27687.38</v>
      </c>
      <c r="C27" s="52">
        <f t="shared" si="12"/>
        <v>1</v>
      </c>
      <c r="D27" s="942" t="s">
        <v>3370</v>
      </c>
      <c r="E27" s="52">
        <f t="shared" si="13"/>
        <v>1.0249999999999999</v>
      </c>
      <c r="F27" s="942" t="s">
        <v>3371</v>
      </c>
      <c r="G27" s="52">
        <f t="shared" si="14"/>
        <v>1.08</v>
      </c>
      <c r="H27" s="942"/>
      <c r="I27" s="52">
        <f t="shared" si="15"/>
        <v>1</v>
      </c>
      <c r="J27" s="942"/>
      <c r="K27" s="52">
        <f t="shared" si="16"/>
        <v>1</v>
      </c>
      <c r="L27" s="942"/>
      <c r="M27" s="52">
        <f t="shared" si="17"/>
        <v>1</v>
      </c>
      <c r="N27" s="942"/>
      <c r="O27" s="52">
        <f t="shared" si="18"/>
        <v>1</v>
      </c>
      <c r="P27" s="942">
        <v>-2</v>
      </c>
      <c r="Q27" s="52">
        <f t="shared" si="19"/>
        <v>0.3</v>
      </c>
      <c r="R27" s="470">
        <f t="shared" si="20"/>
        <v>17240</v>
      </c>
      <c r="S27" s="779">
        <f t="shared" si="11"/>
        <v>47733</v>
      </c>
    </row>
    <row r="28" spans="1:45">
      <c r="A28" s="940" t="str">
        <f>'数据-取费表'!A12</f>
        <v>地下商业3层</v>
      </c>
      <c r="B28" s="940">
        <f>'数据-汇总表'!G25</f>
        <v>27687.379999999994</v>
      </c>
      <c r="C28" s="52">
        <f t="shared" si="12"/>
        <v>1</v>
      </c>
      <c r="D28" s="942" t="s">
        <v>3370</v>
      </c>
      <c r="E28" s="52">
        <f t="shared" si="13"/>
        <v>1.0249999999999999</v>
      </c>
      <c r="F28" s="942" t="s">
        <v>3371</v>
      </c>
      <c r="G28" s="52">
        <f t="shared" si="14"/>
        <v>1.08</v>
      </c>
      <c r="H28" s="942"/>
      <c r="I28" s="52">
        <f t="shared" si="15"/>
        <v>1</v>
      </c>
      <c r="J28" s="942"/>
      <c r="K28" s="52">
        <f t="shared" si="16"/>
        <v>1</v>
      </c>
      <c r="L28" s="942"/>
      <c r="M28" s="52">
        <f t="shared" si="17"/>
        <v>1</v>
      </c>
      <c r="N28" s="942"/>
      <c r="O28" s="52">
        <f t="shared" si="18"/>
        <v>1</v>
      </c>
      <c r="P28" s="942">
        <v>-3</v>
      </c>
      <c r="Q28" s="52">
        <f t="shared" si="19"/>
        <v>0.2</v>
      </c>
      <c r="R28" s="470">
        <f t="shared" si="20"/>
        <v>11493</v>
      </c>
      <c r="S28" s="779">
        <f t="shared" si="11"/>
        <v>31821</v>
      </c>
    </row>
    <row r="29" spans="1:45">
      <c r="A29" s="944"/>
      <c r="B29" s="131"/>
      <c r="C29" s="52">
        <f t="shared" si="12"/>
        <v>1</v>
      </c>
      <c r="D29" s="942"/>
      <c r="E29" s="52">
        <f t="shared" si="13"/>
        <v>2.5000000000000001E-2</v>
      </c>
      <c r="F29" s="942"/>
      <c r="G29" s="52">
        <f t="shared" si="14"/>
        <v>0.12</v>
      </c>
      <c r="H29" s="942"/>
      <c r="I29" s="52">
        <f t="shared" si="15"/>
        <v>1</v>
      </c>
      <c r="J29" s="942"/>
      <c r="K29" s="52">
        <f t="shared" si="16"/>
        <v>1</v>
      </c>
      <c r="L29" s="942"/>
      <c r="M29" s="52">
        <f t="shared" si="17"/>
        <v>1</v>
      </c>
      <c r="N29" s="942"/>
      <c r="O29" s="52">
        <f t="shared" si="18"/>
        <v>1</v>
      </c>
      <c r="P29" s="942"/>
      <c r="Q29" s="52">
        <f t="shared" si="19"/>
        <v>0</v>
      </c>
      <c r="R29" s="470">
        <f t="shared" si="20"/>
        <v>0</v>
      </c>
      <c r="S29" s="779">
        <f t="shared" si="11"/>
        <v>0</v>
      </c>
    </row>
    <row r="30" spans="1:45">
      <c r="A30" s="944"/>
      <c r="B30" s="131"/>
      <c r="C30" s="52">
        <f t="shared" si="12"/>
        <v>1</v>
      </c>
      <c r="D30" s="942"/>
      <c r="E30" s="52">
        <f t="shared" si="13"/>
        <v>2.5000000000000001E-2</v>
      </c>
      <c r="F30" s="942"/>
      <c r="G30" s="52">
        <f t="shared" si="14"/>
        <v>0.12</v>
      </c>
      <c r="H30" s="942"/>
      <c r="I30" s="52">
        <f t="shared" si="15"/>
        <v>1</v>
      </c>
      <c r="J30" s="942"/>
      <c r="K30" s="52">
        <f t="shared" si="16"/>
        <v>1</v>
      </c>
      <c r="L30" s="942"/>
      <c r="M30" s="52">
        <f t="shared" si="17"/>
        <v>1</v>
      </c>
      <c r="N30" s="942"/>
      <c r="O30" s="52">
        <f t="shared" si="18"/>
        <v>1</v>
      </c>
      <c r="P30" s="942"/>
      <c r="Q30" s="52">
        <f t="shared" si="19"/>
        <v>0</v>
      </c>
      <c r="R30" s="470">
        <f t="shared" si="20"/>
        <v>0</v>
      </c>
      <c r="S30" s="779">
        <f t="shared" si="11"/>
        <v>0</v>
      </c>
    </row>
    <row r="31" spans="1:45">
      <c r="A31" s="944"/>
      <c r="B31" s="131"/>
      <c r="C31" s="52">
        <f t="shared" si="12"/>
        <v>1</v>
      </c>
      <c r="D31" s="942"/>
      <c r="E31" s="52">
        <f t="shared" si="13"/>
        <v>2.5000000000000001E-2</v>
      </c>
      <c r="F31" s="942"/>
      <c r="G31" s="52">
        <f t="shared" si="14"/>
        <v>0.12</v>
      </c>
      <c r="H31" s="942"/>
      <c r="I31" s="52">
        <f t="shared" si="15"/>
        <v>1</v>
      </c>
      <c r="J31" s="942"/>
      <c r="K31" s="52">
        <f t="shared" si="16"/>
        <v>1</v>
      </c>
      <c r="L31" s="942"/>
      <c r="M31" s="52">
        <f t="shared" si="17"/>
        <v>1</v>
      </c>
      <c r="N31" s="942"/>
      <c r="O31" s="52">
        <f t="shared" si="18"/>
        <v>1</v>
      </c>
      <c r="P31" s="942"/>
      <c r="Q31" s="52">
        <f t="shared" si="19"/>
        <v>0</v>
      </c>
      <c r="R31" s="470">
        <f t="shared" si="20"/>
        <v>0</v>
      </c>
      <c r="S31" s="779">
        <f t="shared" si="11"/>
        <v>0</v>
      </c>
    </row>
    <row r="32" spans="1:45">
      <c r="A32" s="944"/>
      <c r="B32" s="131"/>
      <c r="C32" s="52">
        <f t="shared" si="12"/>
        <v>1</v>
      </c>
      <c r="D32" s="942"/>
      <c r="E32" s="52">
        <f t="shared" si="13"/>
        <v>2.5000000000000001E-2</v>
      </c>
      <c r="F32" s="942"/>
      <c r="G32" s="52">
        <f t="shared" si="14"/>
        <v>0.12</v>
      </c>
      <c r="H32" s="942"/>
      <c r="I32" s="52">
        <f t="shared" si="15"/>
        <v>1</v>
      </c>
      <c r="J32" s="942"/>
      <c r="K32" s="52">
        <f t="shared" si="16"/>
        <v>1</v>
      </c>
      <c r="L32" s="942"/>
      <c r="M32" s="52">
        <f t="shared" si="17"/>
        <v>1</v>
      </c>
      <c r="N32" s="942"/>
      <c r="O32" s="52">
        <f t="shared" si="18"/>
        <v>1</v>
      </c>
      <c r="P32" s="942"/>
      <c r="Q32" s="52">
        <f t="shared" si="19"/>
        <v>0</v>
      </c>
      <c r="R32" s="470">
        <f t="shared" si="20"/>
        <v>0</v>
      </c>
      <c r="S32" s="779">
        <f t="shared" si="11"/>
        <v>0</v>
      </c>
    </row>
    <row r="33" spans="1:19">
      <c r="A33" s="944"/>
      <c r="B33" s="131"/>
      <c r="C33" s="52">
        <f t="shared" si="12"/>
        <v>1</v>
      </c>
      <c r="D33" s="942"/>
      <c r="E33" s="52">
        <f t="shared" si="13"/>
        <v>2.5000000000000001E-2</v>
      </c>
      <c r="F33" s="942"/>
      <c r="G33" s="52">
        <f t="shared" si="14"/>
        <v>0.12</v>
      </c>
      <c r="H33" s="942"/>
      <c r="I33" s="52">
        <f t="shared" si="15"/>
        <v>1</v>
      </c>
      <c r="J33" s="942"/>
      <c r="K33" s="52">
        <f t="shared" si="16"/>
        <v>1</v>
      </c>
      <c r="L33" s="942"/>
      <c r="M33" s="52">
        <f t="shared" si="17"/>
        <v>1</v>
      </c>
      <c r="N33" s="942"/>
      <c r="O33" s="52">
        <f t="shared" si="18"/>
        <v>1</v>
      </c>
      <c r="P33" s="942"/>
      <c r="Q33" s="52">
        <f t="shared" si="19"/>
        <v>0</v>
      </c>
      <c r="R33" s="470">
        <f t="shared" si="20"/>
        <v>0</v>
      </c>
      <c r="S33" s="779">
        <f t="shared" si="11"/>
        <v>0</v>
      </c>
    </row>
    <row r="34" spans="1:19">
      <c r="A34" s="944"/>
      <c r="B34" s="131"/>
      <c r="C34" s="52">
        <f t="shared" si="12"/>
        <v>1</v>
      </c>
      <c r="D34" s="942"/>
      <c r="E34" s="52">
        <f t="shared" si="13"/>
        <v>2.5000000000000001E-2</v>
      </c>
      <c r="F34" s="942"/>
      <c r="G34" s="52">
        <f t="shared" si="14"/>
        <v>0.12</v>
      </c>
      <c r="H34" s="942"/>
      <c r="I34" s="52">
        <f t="shared" si="15"/>
        <v>1</v>
      </c>
      <c r="J34" s="942"/>
      <c r="K34" s="52">
        <f t="shared" si="16"/>
        <v>1</v>
      </c>
      <c r="L34" s="942"/>
      <c r="M34" s="52">
        <f t="shared" si="17"/>
        <v>1</v>
      </c>
      <c r="N34" s="942"/>
      <c r="O34" s="52">
        <f t="shared" si="18"/>
        <v>1</v>
      </c>
      <c r="P34" s="942"/>
      <c r="Q34" s="52">
        <f t="shared" si="19"/>
        <v>0</v>
      </c>
      <c r="R34" s="470">
        <f t="shared" si="20"/>
        <v>0</v>
      </c>
      <c r="S34" s="779">
        <f t="shared" si="11"/>
        <v>0</v>
      </c>
    </row>
    <row r="35" spans="1:19">
      <c r="A35" s="944"/>
      <c r="B35" s="131"/>
      <c r="C35" s="52">
        <f t="shared" si="12"/>
        <v>1</v>
      </c>
      <c r="D35" s="942"/>
      <c r="E35" s="52">
        <f t="shared" si="13"/>
        <v>2.5000000000000001E-2</v>
      </c>
      <c r="F35" s="942"/>
      <c r="G35" s="52">
        <f t="shared" si="14"/>
        <v>0.12</v>
      </c>
      <c r="H35" s="942"/>
      <c r="I35" s="52">
        <f t="shared" si="15"/>
        <v>1</v>
      </c>
      <c r="J35" s="942"/>
      <c r="K35" s="52">
        <f t="shared" si="16"/>
        <v>1</v>
      </c>
      <c r="L35" s="942"/>
      <c r="M35" s="52">
        <f t="shared" si="17"/>
        <v>1</v>
      </c>
      <c r="N35" s="942"/>
      <c r="O35" s="52">
        <f t="shared" si="18"/>
        <v>1</v>
      </c>
      <c r="P35" s="942"/>
      <c r="Q35" s="52">
        <f t="shared" si="19"/>
        <v>0</v>
      </c>
      <c r="R35" s="470">
        <f t="shared" si="20"/>
        <v>0</v>
      </c>
      <c r="S35" s="779">
        <f t="shared" si="11"/>
        <v>0</v>
      </c>
    </row>
    <row r="36" spans="1:19">
      <c r="A36" s="944"/>
      <c r="B36" s="131"/>
      <c r="C36" s="52">
        <f t="shared" si="12"/>
        <v>1</v>
      </c>
      <c r="D36" s="942"/>
      <c r="E36" s="52">
        <f t="shared" si="13"/>
        <v>2.5000000000000001E-2</v>
      </c>
      <c r="F36" s="942"/>
      <c r="G36" s="52">
        <f t="shared" si="14"/>
        <v>0.12</v>
      </c>
      <c r="H36" s="942"/>
      <c r="I36" s="52">
        <f t="shared" si="15"/>
        <v>1</v>
      </c>
      <c r="J36" s="942"/>
      <c r="K36" s="52">
        <f t="shared" si="16"/>
        <v>1</v>
      </c>
      <c r="L36" s="942"/>
      <c r="M36" s="52">
        <f t="shared" si="17"/>
        <v>1</v>
      </c>
      <c r="N36" s="942"/>
      <c r="O36" s="52">
        <f t="shared" si="18"/>
        <v>1</v>
      </c>
      <c r="P36" s="942"/>
      <c r="Q36" s="52">
        <f t="shared" si="19"/>
        <v>0</v>
      </c>
      <c r="R36" s="470">
        <f t="shared" si="20"/>
        <v>0</v>
      </c>
      <c r="S36" s="779">
        <f t="shared" si="11"/>
        <v>0</v>
      </c>
    </row>
    <row r="37" spans="1:19">
      <c r="A37" s="944"/>
      <c r="B37" s="131"/>
      <c r="C37" s="52">
        <f t="shared" si="12"/>
        <v>1</v>
      </c>
      <c r="D37" s="942"/>
      <c r="E37" s="52">
        <f t="shared" si="13"/>
        <v>2.5000000000000001E-2</v>
      </c>
      <c r="F37" s="942"/>
      <c r="G37" s="52">
        <f t="shared" si="14"/>
        <v>0.12</v>
      </c>
      <c r="H37" s="942"/>
      <c r="I37" s="52">
        <f t="shared" si="15"/>
        <v>1</v>
      </c>
      <c r="J37" s="942"/>
      <c r="K37" s="52">
        <f t="shared" si="16"/>
        <v>1</v>
      </c>
      <c r="L37" s="942"/>
      <c r="M37" s="52">
        <f t="shared" si="17"/>
        <v>1</v>
      </c>
      <c r="N37" s="942"/>
      <c r="O37" s="52">
        <f t="shared" si="18"/>
        <v>1</v>
      </c>
      <c r="P37" s="942"/>
      <c r="Q37" s="52">
        <f t="shared" si="19"/>
        <v>0</v>
      </c>
      <c r="R37" s="470">
        <f t="shared" si="20"/>
        <v>0</v>
      </c>
      <c r="S37" s="779">
        <f t="shared" si="11"/>
        <v>0</v>
      </c>
    </row>
    <row r="38" spans="1:19">
      <c r="A38" s="944"/>
      <c r="B38" s="131"/>
      <c r="C38" s="52">
        <f t="shared" si="12"/>
        <v>1</v>
      </c>
      <c r="D38" s="942"/>
      <c r="E38" s="52">
        <f t="shared" si="13"/>
        <v>2.5000000000000001E-2</v>
      </c>
      <c r="F38" s="942"/>
      <c r="G38" s="52">
        <f t="shared" si="14"/>
        <v>0.12</v>
      </c>
      <c r="H38" s="942"/>
      <c r="I38" s="52">
        <f t="shared" si="15"/>
        <v>1</v>
      </c>
      <c r="J38" s="942"/>
      <c r="K38" s="52">
        <f t="shared" si="16"/>
        <v>1</v>
      </c>
      <c r="L38" s="942"/>
      <c r="M38" s="52">
        <f t="shared" si="17"/>
        <v>1</v>
      </c>
      <c r="N38" s="942"/>
      <c r="O38" s="52">
        <f t="shared" si="18"/>
        <v>1</v>
      </c>
      <c r="P38" s="942"/>
      <c r="Q38" s="52">
        <f t="shared" si="19"/>
        <v>0</v>
      </c>
      <c r="R38" s="470">
        <f t="shared" si="20"/>
        <v>0</v>
      </c>
      <c r="S38" s="779">
        <f t="shared" si="11"/>
        <v>0</v>
      </c>
    </row>
    <row r="39" spans="1:19">
      <c r="A39" s="944"/>
      <c r="B39" s="131"/>
      <c r="C39" s="52">
        <f t="shared" si="12"/>
        <v>1</v>
      </c>
      <c r="D39" s="942"/>
      <c r="E39" s="52">
        <f t="shared" si="13"/>
        <v>2.5000000000000001E-2</v>
      </c>
      <c r="F39" s="942"/>
      <c r="G39" s="52">
        <f t="shared" si="14"/>
        <v>0.12</v>
      </c>
      <c r="H39" s="942"/>
      <c r="I39" s="52">
        <f t="shared" si="15"/>
        <v>1</v>
      </c>
      <c r="J39" s="942"/>
      <c r="K39" s="52">
        <f t="shared" si="16"/>
        <v>1</v>
      </c>
      <c r="L39" s="942"/>
      <c r="M39" s="52">
        <f t="shared" si="17"/>
        <v>1</v>
      </c>
      <c r="N39" s="942"/>
      <c r="O39" s="52">
        <f t="shared" si="18"/>
        <v>1</v>
      </c>
      <c r="P39" s="942"/>
      <c r="Q39" s="52">
        <f t="shared" si="19"/>
        <v>0</v>
      </c>
      <c r="R39" s="470">
        <f t="shared" si="20"/>
        <v>0</v>
      </c>
      <c r="S39" s="779">
        <f t="shared" si="11"/>
        <v>0</v>
      </c>
    </row>
    <row r="40" spans="1:19">
      <c r="A40" s="944"/>
      <c r="B40" s="131"/>
      <c r="C40" s="52">
        <f t="shared" si="12"/>
        <v>1</v>
      </c>
      <c r="D40" s="942"/>
      <c r="E40" s="52">
        <f t="shared" si="13"/>
        <v>2.5000000000000001E-2</v>
      </c>
      <c r="F40" s="942"/>
      <c r="G40" s="52">
        <f t="shared" si="14"/>
        <v>0.12</v>
      </c>
      <c r="H40" s="942"/>
      <c r="I40" s="52">
        <f t="shared" si="15"/>
        <v>1</v>
      </c>
      <c r="J40" s="942"/>
      <c r="K40" s="52">
        <f t="shared" si="16"/>
        <v>1</v>
      </c>
      <c r="L40" s="942"/>
      <c r="M40" s="52">
        <f t="shared" si="17"/>
        <v>1</v>
      </c>
      <c r="N40" s="942"/>
      <c r="O40" s="52">
        <f t="shared" si="18"/>
        <v>1</v>
      </c>
      <c r="P40" s="942"/>
      <c r="Q40" s="52">
        <f t="shared" si="19"/>
        <v>0</v>
      </c>
      <c r="R40" s="470">
        <f t="shared" si="20"/>
        <v>0</v>
      </c>
      <c r="S40" s="779">
        <f t="shared" si="11"/>
        <v>0</v>
      </c>
    </row>
    <row r="41" spans="1:19">
      <c r="A41" s="944"/>
      <c r="B41" s="131"/>
      <c r="C41" s="52">
        <f t="shared" si="12"/>
        <v>1</v>
      </c>
      <c r="D41" s="942"/>
      <c r="E41" s="52">
        <f t="shared" si="13"/>
        <v>2.5000000000000001E-2</v>
      </c>
      <c r="F41" s="942"/>
      <c r="G41" s="52">
        <f t="shared" si="14"/>
        <v>0.12</v>
      </c>
      <c r="H41" s="942"/>
      <c r="I41" s="52">
        <f t="shared" si="15"/>
        <v>1</v>
      </c>
      <c r="J41" s="942"/>
      <c r="K41" s="52">
        <f t="shared" si="16"/>
        <v>1</v>
      </c>
      <c r="L41" s="942"/>
      <c r="M41" s="52">
        <f t="shared" si="17"/>
        <v>1</v>
      </c>
      <c r="N41" s="942"/>
      <c r="O41" s="52">
        <f t="shared" si="18"/>
        <v>1</v>
      </c>
      <c r="P41" s="942"/>
      <c r="Q41" s="52">
        <f t="shared" si="19"/>
        <v>0</v>
      </c>
      <c r="R41" s="470">
        <f t="shared" si="20"/>
        <v>0</v>
      </c>
      <c r="S41" s="779">
        <f t="shared" si="11"/>
        <v>0</v>
      </c>
    </row>
    <row r="42" spans="1:19">
      <c r="A42" s="944"/>
      <c r="B42" s="131"/>
      <c r="C42" s="52">
        <f t="shared" si="12"/>
        <v>1</v>
      </c>
      <c r="D42" s="942"/>
      <c r="E42" s="52">
        <f t="shared" si="13"/>
        <v>2.5000000000000001E-2</v>
      </c>
      <c r="F42" s="942"/>
      <c r="G42" s="52">
        <f t="shared" si="14"/>
        <v>0.12</v>
      </c>
      <c r="H42" s="942"/>
      <c r="I42" s="52">
        <f t="shared" si="15"/>
        <v>1</v>
      </c>
      <c r="J42" s="942"/>
      <c r="K42" s="52">
        <f t="shared" si="16"/>
        <v>1</v>
      </c>
      <c r="L42" s="942"/>
      <c r="M42" s="52">
        <f t="shared" si="17"/>
        <v>1</v>
      </c>
      <c r="N42" s="942"/>
      <c r="O42" s="52">
        <f t="shared" si="18"/>
        <v>1</v>
      </c>
      <c r="P42" s="942"/>
      <c r="Q42" s="52">
        <f t="shared" si="19"/>
        <v>0</v>
      </c>
      <c r="R42" s="470">
        <f t="shared" si="20"/>
        <v>0</v>
      </c>
      <c r="S42" s="779">
        <f t="shared" si="11"/>
        <v>0</v>
      </c>
    </row>
    <row r="43" spans="1:19">
      <c r="A43" s="944"/>
      <c r="B43" s="131"/>
      <c r="C43" s="52">
        <f t="shared" si="12"/>
        <v>1</v>
      </c>
      <c r="D43" s="942"/>
      <c r="E43" s="52">
        <f t="shared" si="13"/>
        <v>2.5000000000000001E-2</v>
      </c>
      <c r="F43" s="942"/>
      <c r="G43" s="52">
        <f t="shared" si="14"/>
        <v>0.12</v>
      </c>
      <c r="H43" s="942"/>
      <c r="I43" s="52">
        <f t="shared" si="15"/>
        <v>1</v>
      </c>
      <c r="J43" s="942"/>
      <c r="K43" s="52">
        <f t="shared" si="16"/>
        <v>1</v>
      </c>
      <c r="L43" s="942"/>
      <c r="M43" s="52">
        <f t="shared" si="17"/>
        <v>1</v>
      </c>
      <c r="N43" s="942"/>
      <c r="O43" s="52">
        <f t="shared" si="18"/>
        <v>1</v>
      </c>
      <c r="P43" s="942"/>
      <c r="Q43" s="52">
        <f t="shared" si="19"/>
        <v>0</v>
      </c>
      <c r="R43" s="470">
        <f t="shared" si="20"/>
        <v>0</v>
      </c>
      <c r="S43" s="779">
        <f t="shared" si="11"/>
        <v>0</v>
      </c>
    </row>
    <row r="44" spans="1:19">
      <c r="A44" s="944"/>
      <c r="B44" s="131"/>
      <c r="C44" s="52">
        <f t="shared" si="12"/>
        <v>1</v>
      </c>
      <c r="D44" s="942"/>
      <c r="E44" s="52">
        <f t="shared" si="13"/>
        <v>2.5000000000000001E-2</v>
      </c>
      <c r="F44" s="942"/>
      <c r="G44" s="52">
        <f t="shared" si="14"/>
        <v>0.12</v>
      </c>
      <c r="H44" s="942"/>
      <c r="I44" s="52">
        <f t="shared" si="15"/>
        <v>1</v>
      </c>
      <c r="J44" s="942"/>
      <c r="K44" s="52">
        <f t="shared" si="16"/>
        <v>1</v>
      </c>
      <c r="L44" s="942"/>
      <c r="M44" s="52">
        <f t="shared" si="17"/>
        <v>1</v>
      </c>
      <c r="N44" s="942"/>
      <c r="O44" s="52">
        <f t="shared" si="18"/>
        <v>1</v>
      </c>
      <c r="P44" s="942"/>
      <c r="Q44" s="52">
        <f t="shared" si="19"/>
        <v>0</v>
      </c>
      <c r="R44" s="470">
        <f t="shared" si="20"/>
        <v>0</v>
      </c>
      <c r="S44" s="779">
        <f t="shared" si="11"/>
        <v>0</v>
      </c>
    </row>
    <row r="45" spans="1:19">
      <c r="A45" s="944"/>
      <c r="B45" s="131"/>
      <c r="C45" s="52">
        <f t="shared" si="12"/>
        <v>1</v>
      </c>
      <c r="D45" s="942"/>
      <c r="E45" s="52">
        <f t="shared" si="13"/>
        <v>2.5000000000000001E-2</v>
      </c>
      <c r="F45" s="942"/>
      <c r="G45" s="52">
        <f t="shared" si="14"/>
        <v>0.12</v>
      </c>
      <c r="H45" s="942"/>
      <c r="I45" s="52">
        <f t="shared" si="15"/>
        <v>1</v>
      </c>
      <c r="J45" s="942"/>
      <c r="K45" s="52">
        <f t="shared" si="16"/>
        <v>1</v>
      </c>
      <c r="L45" s="942"/>
      <c r="M45" s="52">
        <f t="shared" si="17"/>
        <v>1</v>
      </c>
      <c r="N45" s="942"/>
      <c r="O45" s="52">
        <f t="shared" si="18"/>
        <v>1</v>
      </c>
      <c r="P45" s="942"/>
      <c r="Q45" s="52">
        <f t="shared" si="19"/>
        <v>0</v>
      </c>
      <c r="R45" s="470">
        <f t="shared" si="20"/>
        <v>0</v>
      </c>
      <c r="S45" s="779">
        <f t="shared" si="11"/>
        <v>0</v>
      </c>
    </row>
    <row r="46" spans="1:19">
      <c r="A46" s="944"/>
      <c r="B46" s="131"/>
      <c r="C46" s="52">
        <f t="shared" si="12"/>
        <v>1</v>
      </c>
      <c r="D46" s="942"/>
      <c r="E46" s="52">
        <f t="shared" si="13"/>
        <v>2.5000000000000001E-2</v>
      </c>
      <c r="F46" s="942"/>
      <c r="G46" s="52">
        <f t="shared" si="14"/>
        <v>0.12</v>
      </c>
      <c r="H46" s="942"/>
      <c r="I46" s="52">
        <f t="shared" si="15"/>
        <v>1</v>
      </c>
      <c r="J46" s="942"/>
      <c r="K46" s="52">
        <f t="shared" si="16"/>
        <v>1</v>
      </c>
      <c r="L46" s="942"/>
      <c r="M46" s="52">
        <f t="shared" si="17"/>
        <v>1</v>
      </c>
      <c r="N46" s="942"/>
      <c r="O46" s="52">
        <f t="shared" si="18"/>
        <v>1</v>
      </c>
      <c r="P46" s="942"/>
      <c r="Q46" s="52">
        <f t="shared" si="19"/>
        <v>0</v>
      </c>
      <c r="R46" s="470">
        <f t="shared" si="20"/>
        <v>0</v>
      </c>
      <c r="S46" s="779">
        <f t="shared" si="11"/>
        <v>0</v>
      </c>
    </row>
    <row r="47" spans="1:19">
      <c r="A47" s="944"/>
      <c r="B47" s="131"/>
      <c r="C47" s="52">
        <f t="shared" si="12"/>
        <v>1</v>
      </c>
      <c r="D47" s="942"/>
      <c r="E47" s="52">
        <f t="shared" si="13"/>
        <v>2.5000000000000001E-2</v>
      </c>
      <c r="F47" s="942"/>
      <c r="G47" s="52">
        <f t="shared" si="14"/>
        <v>0.12</v>
      </c>
      <c r="H47" s="942"/>
      <c r="I47" s="52">
        <f t="shared" si="15"/>
        <v>1</v>
      </c>
      <c r="J47" s="942"/>
      <c r="K47" s="52">
        <f t="shared" si="16"/>
        <v>1</v>
      </c>
      <c r="L47" s="942"/>
      <c r="M47" s="52">
        <f t="shared" si="17"/>
        <v>1</v>
      </c>
      <c r="N47" s="942"/>
      <c r="O47" s="52">
        <f t="shared" si="18"/>
        <v>1</v>
      </c>
      <c r="P47" s="942"/>
      <c r="Q47" s="52">
        <f t="shared" si="19"/>
        <v>0</v>
      </c>
      <c r="R47" s="470">
        <f t="shared" si="20"/>
        <v>0</v>
      </c>
      <c r="S47" s="779">
        <f t="shared" si="11"/>
        <v>0</v>
      </c>
    </row>
    <row r="48" spans="1:19">
      <c r="A48" s="944"/>
      <c r="B48" s="131"/>
      <c r="C48" s="52">
        <f t="shared" si="12"/>
        <v>1</v>
      </c>
      <c r="D48" s="942"/>
      <c r="E48" s="52">
        <f t="shared" si="13"/>
        <v>2.5000000000000001E-2</v>
      </c>
      <c r="F48" s="942"/>
      <c r="G48" s="52">
        <f t="shared" si="14"/>
        <v>0.12</v>
      </c>
      <c r="H48" s="942"/>
      <c r="I48" s="52">
        <f t="shared" si="15"/>
        <v>1</v>
      </c>
      <c r="J48" s="942"/>
      <c r="K48" s="52">
        <f t="shared" si="16"/>
        <v>1</v>
      </c>
      <c r="L48" s="942"/>
      <c r="M48" s="52">
        <f t="shared" si="17"/>
        <v>1</v>
      </c>
      <c r="N48" s="942"/>
      <c r="O48" s="52">
        <f t="shared" si="18"/>
        <v>1</v>
      </c>
      <c r="P48" s="942"/>
      <c r="Q48" s="52">
        <f t="shared" si="19"/>
        <v>0</v>
      </c>
      <c r="R48" s="470">
        <f t="shared" si="20"/>
        <v>0</v>
      </c>
      <c r="S48" s="779">
        <f t="shared" si="11"/>
        <v>0</v>
      </c>
    </row>
    <row r="49" spans="1:19">
      <c r="A49" s="944"/>
      <c r="B49" s="131"/>
      <c r="C49" s="52">
        <f t="shared" si="12"/>
        <v>1</v>
      </c>
      <c r="D49" s="942"/>
      <c r="E49" s="52">
        <f t="shared" si="13"/>
        <v>2.5000000000000001E-2</v>
      </c>
      <c r="F49" s="942"/>
      <c r="G49" s="52">
        <f t="shared" si="14"/>
        <v>0.12</v>
      </c>
      <c r="H49" s="942"/>
      <c r="I49" s="52">
        <f t="shared" si="15"/>
        <v>1</v>
      </c>
      <c r="J49" s="942"/>
      <c r="K49" s="52">
        <f t="shared" si="16"/>
        <v>1</v>
      </c>
      <c r="L49" s="942"/>
      <c r="M49" s="52">
        <f t="shared" si="17"/>
        <v>1</v>
      </c>
      <c r="N49" s="942"/>
      <c r="O49" s="52">
        <f t="shared" si="18"/>
        <v>1</v>
      </c>
      <c r="P49" s="942"/>
      <c r="Q49" s="52">
        <f t="shared" si="19"/>
        <v>0</v>
      </c>
      <c r="R49" s="470">
        <f t="shared" si="20"/>
        <v>0</v>
      </c>
      <c r="S49" s="779">
        <f t="shared" si="11"/>
        <v>0</v>
      </c>
    </row>
    <row r="50" spans="1:19">
      <c r="A50" s="944"/>
      <c r="B50" s="131"/>
      <c r="C50" s="52">
        <f t="shared" si="12"/>
        <v>1</v>
      </c>
      <c r="D50" s="942"/>
      <c r="E50" s="52">
        <f t="shared" si="13"/>
        <v>2.5000000000000001E-2</v>
      </c>
      <c r="F50" s="942"/>
      <c r="G50" s="52">
        <f t="shared" si="14"/>
        <v>0.12</v>
      </c>
      <c r="H50" s="942"/>
      <c r="I50" s="52">
        <f t="shared" si="15"/>
        <v>1</v>
      </c>
      <c r="J50" s="942"/>
      <c r="K50" s="52">
        <f t="shared" si="16"/>
        <v>1</v>
      </c>
      <c r="L50" s="942"/>
      <c r="M50" s="52">
        <f t="shared" si="17"/>
        <v>1</v>
      </c>
      <c r="N50" s="942"/>
      <c r="O50" s="52">
        <f t="shared" si="18"/>
        <v>1</v>
      </c>
      <c r="P50" s="942"/>
      <c r="Q50" s="52">
        <f t="shared" si="19"/>
        <v>0</v>
      </c>
      <c r="R50" s="470">
        <f t="shared" si="20"/>
        <v>0</v>
      </c>
      <c r="S50" s="779">
        <f t="shared" si="11"/>
        <v>0</v>
      </c>
    </row>
    <row r="51" spans="1:19">
      <c r="A51" s="944"/>
      <c r="B51" s="131"/>
      <c r="C51" s="52">
        <f t="shared" si="12"/>
        <v>1</v>
      </c>
      <c r="D51" s="942"/>
      <c r="E51" s="52">
        <f t="shared" si="13"/>
        <v>2.5000000000000001E-2</v>
      </c>
      <c r="F51" s="942"/>
      <c r="G51" s="52">
        <f t="shared" si="14"/>
        <v>0.12</v>
      </c>
      <c r="H51" s="942"/>
      <c r="I51" s="52">
        <f t="shared" si="15"/>
        <v>1</v>
      </c>
      <c r="J51" s="942"/>
      <c r="K51" s="52">
        <f t="shared" si="16"/>
        <v>1</v>
      </c>
      <c r="L51" s="942"/>
      <c r="M51" s="52">
        <f t="shared" si="17"/>
        <v>1</v>
      </c>
      <c r="N51" s="942"/>
      <c r="O51" s="52">
        <f t="shared" si="18"/>
        <v>1</v>
      </c>
      <c r="P51" s="942"/>
      <c r="Q51" s="52">
        <f t="shared" si="19"/>
        <v>0</v>
      </c>
      <c r="R51" s="470">
        <f t="shared" si="20"/>
        <v>0</v>
      </c>
      <c r="S51" s="779">
        <f t="shared" si="11"/>
        <v>0</v>
      </c>
    </row>
    <row r="52" spans="1:19">
      <c r="A52" s="944"/>
      <c r="B52" s="131"/>
      <c r="C52" s="52">
        <f t="shared" si="12"/>
        <v>1</v>
      </c>
      <c r="D52" s="942"/>
      <c r="E52" s="52">
        <f t="shared" si="13"/>
        <v>2.5000000000000001E-2</v>
      </c>
      <c r="F52" s="942"/>
      <c r="G52" s="52">
        <f t="shared" si="14"/>
        <v>0.12</v>
      </c>
      <c r="H52" s="942"/>
      <c r="I52" s="52">
        <f t="shared" si="15"/>
        <v>1</v>
      </c>
      <c r="J52" s="942"/>
      <c r="K52" s="52">
        <f t="shared" si="16"/>
        <v>1</v>
      </c>
      <c r="L52" s="942"/>
      <c r="M52" s="52">
        <f t="shared" si="17"/>
        <v>1</v>
      </c>
      <c r="N52" s="942"/>
      <c r="O52" s="52">
        <f t="shared" si="18"/>
        <v>1</v>
      </c>
      <c r="P52" s="942"/>
      <c r="Q52" s="52">
        <f t="shared" si="19"/>
        <v>0</v>
      </c>
      <c r="R52" s="470">
        <f t="shared" si="20"/>
        <v>0</v>
      </c>
      <c r="S52" s="779">
        <f t="shared" si="11"/>
        <v>0</v>
      </c>
    </row>
    <row r="53" spans="1:19">
      <c r="A53" s="944"/>
      <c r="B53" s="131"/>
      <c r="C53" s="52">
        <f t="shared" si="12"/>
        <v>1</v>
      </c>
      <c r="D53" s="942"/>
      <c r="E53" s="52">
        <f t="shared" si="13"/>
        <v>2.5000000000000001E-2</v>
      </c>
      <c r="F53" s="942"/>
      <c r="G53" s="52">
        <f t="shared" si="14"/>
        <v>0.12</v>
      </c>
      <c r="H53" s="942"/>
      <c r="I53" s="52">
        <f t="shared" si="15"/>
        <v>1</v>
      </c>
      <c r="J53" s="942"/>
      <c r="K53" s="52">
        <f t="shared" si="16"/>
        <v>1</v>
      </c>
      <c r="L53" s="942"/>
      <c r="M53" s="52">
        <f t="shared" si="17"/>
        <v>1</v>
      </c>
      <c r="N53" s="942"/>
      <c r="O53" s="52">
        <f t="shared" si="18"/>
        <v>1</v>
      </c>
      <c r="P53" s="942"/>
      <c r="Q53" s="52">
        <f t="shared" si="19"/>
        <v>0</v>
      </c>
      <c r="R53" s="470">
        <f t="shared" si="20"/>
        <v>0</v>
      </c>
      <c r="S53" s="779">
        <f t="shared" si="11"/>
        <v>0</v>
      </c>
    </row>
    <row r="54" spans="1:19">
      <c r="A54" s="944"/>
      <c r="B54" s="131"/>
      <c r="C54" s="52">
        <f t="shared" si="12"/>
        <v>1</v>
      </c>
      <c r="D54" s="942"/>
      <c r="E54" s="52">
        <f t="shared" si="13"/>
        <v>2.5000000000000001E-2</v>
      </c>
      <c r="F54" s="942"/>
      <c r="G54" s="52">
        <f t="shared" si="14"/>
        <v>0.12</v>
      </c>
      <c r="H54" s="942"/>
      <c r="I54" s="52">
        <f t="shared" si="15"/>
        <v>1</v>
      </c>
      <c r="J54" s="942"/>
      <c r="K54" s="52">
        <f t="shared" si="16"/>
        <v>1</v>
      </c>
      <c r="L54" s="942"/>
      <c r="M54" s="52">
        <f t="shared" si="17"/>
        <v>1</v>
      </c>
      <c r="N54" s="942"/>
      <c r="O54" s="52">
        <f t="shared" si="18"/>
        <v>1</v>
      </c>
      <c r="P54" s="942"/>
      <c r="Q54" s="52">
        <f t="shared" si="19"/>
        <v>0</v>
      </c>
      <c r="R54" s="470">
        <f t="shared" si="20"/>
        <v>0</v>
      </c>
      <c r="S54" s="779">
        <f t="shared" si="11"/>
        <v>0</v>
      </c>
    </row>
    <row r="55" spans="1:19">
      <c r="A55" s="944"/>
      <c r="B55" s="131"/>
      <c r="C55" s="52">
        <f t="shared" si="12"/>
        <v>1</v>
      </c>
      <c r="D55" s="942"/>
      <c r="E55" s="52">
        <f t="shared" si="13"/>
        <v>2.5000000000000001E-2</v>
      </c>
      <c r="F55" s="942"/>
      <c r="G55" s="52">
        <f t="shared" si="14"/>
        <v>0.12</v>
      </c>
      <c r="H55" s="942"/>
      <c r="I55" s="52">
        <f t="shared" si="15"/>
        <v>1</v>
      </c>
      <c r="J55" s="942"/>
      <c r="K55" s="52">
        <f t="shared" si="16"/>
        <v>1</v>
      </c>
      <c r="L55" s="942"/>
      <c r="M55" s="52">
        <f t="shared" si="17"/>
        <v>1</v>
      </c>
      <c r="N55" s="942"/>
      <c r="O55" s="52">
        <f t="shared" si="18"/>
        <v>1</v>
      </c>
      <c r="P55" s="942"/>
      <c r="Q55" s="52">
        <f t="shared" si="19"/>
        <v>0</v>
      </c>
      <c r="R55" s="470">
        <f t="shared" si="20"/>
        <v>0</v>
      </c>
      <c r="S55" s="779">
        <f t="shared" ref="S55:S77" si="21">ROUND(R55*B55/10000,0)</f>
        <v>0</v>
      </c>
    </row>
    <row r="56" spans="1:19">
      <c r="A56" s="944"/>
      <c r="B56" s="131"/>
      <c r="C56" s="52">
        <f t="shared" si="12"/>
        <v>1</v>
      </c>
      <c r="D56" s="942"/>
      <c r="E56" s="52">
        <f t="shared" si="13"/>
        <v>2.5000000000000001E-2</v>
      </c>
      <c r="F56" s="942"/>
      <c r="G56" s="52">
        <f t="shared" si="14"/>
        <v>0.12</v>
      </c>
      <c r="H56" s="942"/>
      <c r="I56" s="52">
        <f t="shared" si="15"/>
        <v>1</v>
      </c>
      <c r="J56" s="942"/>
      <c r="K56" s="52">
        <f t="shared" si="16"/>
        <v>1</v>
      </c>
      <c r="L56" s="942"/>
      <c r="M56" s="52">
        <f t="shared" si="17"/>
        <v>1</v>
      </c>
      <c r="N56" s="942"/>
      <c r="O56" s="52">
        <f t="shared" si="18"/>
        <v>1</v>
      </c>
      <c r="P56" s="942"/>
      <c r="Q56" s="52">
        <f t="shared" si="19"/>
        <v>0</v>
      </c>
      <c r="R56" s="470">
        <f t="shared" si="20"/>
        <v>0</v>
      </c>
      <c r="S56" s="779">
        <f t="shared" si="21"/>
        <v>0</v>
      </c>
    </row>
    <row r="57" spans="1:19">
      <c r="A57" s="944"/>
      <c r="B57" s="131"/>
      <c r="C57" s="52">
        <f t="shared" si="12"/>
        <v>1</v>
      </c>
      <c r="D57" s="942"/>
      <c r="E57" s="52">
        <f t="shared" si="13"/>
        <v>2.5000000000000001E-2</v>
      </c>
      <c r="F57" s="942"/>
      <c r="G57" s="52">
        <f t="shared" si="14"/>
        <v>0.12</v>
      </c>
      <c r="H57" s="942"/>
      <c r="I57" s="52">
        <f t="shared" si="15"/>
        <v>1</v>
      </c>
      <c r="J57" s="942"/>
      <c r="K57" s="52">
        <f t="shared" si="16"/>
        <v>1</v>
      </c>
      <c r="L57" s="942"/>
      <c r="M57" s="52">
        <f t="shared" si="17"/>
        <v>1</v>
      </c>
      <c r="N57" s="942"/>
      <c r="O57" s="52">
        <f t="shared" si="18"/>
        <v>1</v>
      </c>
      <c r="P57" s="942"/>
      <c r="Q57" s="52">
        <f t="shared" si="19"/>
        <v>0</v>
      </c>
      <c r="R57" s="470">
        <f t="shared" si="20"/>
        <v>0</v>
      </c>
      <c r="S57" s="779">
        <f t="shared" si="21"/>
        <v>0</v>
      </c>
    </row>
    <row r="58" spans="1:19">
      <c r="A58" s="944"/>
      <c r="B58" s="131"/>
      <c r="C58" s="52">
        <f t="shared" si="12"/>
        <v>1</v>
      </c>
      <c r="D58" s="942"/>
      <c r="E58" s="52">
        <f t="shared" si="13"/>
        <v>2.5000000000000001E-2</v>
      </c>
      <c r="F58" s="942"/>
      <c r="G58" s="52">
        <f t="shared" si="14"/>
        <v>0.12</v>
      </c>
      <c r="H58" s="942"/>
      <c r="I58" s="52">
        <f t="shared" si="15"/>
        <v>1</v>
      </c>
      <c r="J58" s="942"/>
      <c r="K58" s="52">
        <f t="shared" si="16"/>
        <v>1</v>
      </c>
      <c r="L58" s="942"/>
      <c r="M58" s="52">
        <f t="shared" si="17"/>
        <v>1</v>
      </c>
      <c r="N58" s="942"/>
      <c r="O58" s="52">
        <f t="shared" si="18"/>
        <v>1</v>
      </c>
      <c r="P58" s="942"/>
      <c r="Q58" s="52">
        <f t="shared" si="19"/>
        <v>0</v>
      </c>
      <c r="R58" s="470">
        <f t="shared" si="20"/>
        <v>0</v>
      </c>
      <c r="S58" s="779">
        <f t="shared" si="21"/>
        <v>0</v>
      </c>
    </row>
    <row r="59" spans="1:19">
      <c r="A59" s="944"/>
      <c r="B59" s="131"/>
      <c r="C59" s="52">
        <f t="shared" si="12"/>
        <v>1</v>
      </c>
      <c r="D59" s="942"/>
      <c r="E59" s="52">
        <f t="shared" si="13"/>
        <v>2.5000000000000001E-2</v>
      </c>
      <c r="F59" s="942"/>
      <c r="G59" s="52">
        <f t="shared" si="14"/>
        <v>0.12</v>
      </c>
      <c r="H59" s="942"/>
      <c r="I59" s="52">
        <f t="shared" si="15"/>
        <v>1</v>
      </c>
      <c r="J59" s="942"/>
      <c r="K59" s="52">
        <f t="shared" si="16"/>
        <v>1</v>
      </c>
      <c r="L59" s="942"/>
      <c r="M59" s="52">
        <f t="shared" si="17"/>
        <v>1</v>
      </c>
      <c r="N59" s="942"/>
      <c r="O59" s="52">
        <f t="shared" si="18"/>
        <v>1</v>
      </c>
      <c r="P59" s="942"/>
      <c r="Q59" s="52">
        <f t="shared" si="19"/>
        <v>0</v>
      </c>
      <c r="R59" s="470">
        <f t="shared" si="20"/>
        <v>0</v>
      </c>
      <c r="S59" s="779">
        <f t="shared" si="21"/>
        <v>0</v>
      </c>
    </row>
    <row r="60" spans="1:19">
      <c r="A60" s="944"/>
      <c r="B60" s="131"/>
      <c r="C60" s="52">
        <f t="shared" si="12"/>
        <v>1</v>
      </c>
      <c r="D60" s="942"/>
      <c r="E60" s="52">
        <f t="shared" si="13"/>
        <v>2.5000000000000001E-2</v>
      </c>
      <c r="F60" s="942"/>
      <c r="G60" s="52">
        <f t="shared" si="14"/>
        <v>0.12</v>
      </c>
      <c r="H60" s="942"/>
      <c r="I60" s="52">
        <f t="shared" si="15"/>
        <v>1</v>
      </c>
      <c r="J60" s="942"/>
      <c r="K60" s="52">
        <f t="shared" si="16"/>
        <v>1</v>
      </c>
      <c r="L60" s="942"/>
      <c r="M60" s="52">
        <f t="shared" si="17"/>
        <v>1</v>
      </c>
      <c r="N60" s="942"/>
      <c r="O60" s="52">
        <f t="shared" si="18"/>
        <v>1</v>
      </c>
      <c r="P60" s="942"/>
      <c r="Q60" s="52">
        <f t="shared" si="19"/>
        <v>0</v>
      </c>
      <c r="R60" s="470">
        <f t="shared" si="20"/>
        <v>0</v>
      </c>
      <c r="S60" s="779">
        <f t="shared" si="21"/>
        <v>0</v>
      </c>
    </row>
    <row r="61" spans="1:19">
      <c r="A61" s="944"/>
      <c r="B61" s="131"/>
      <c r="C61" s="52">
        <f t="shared" si="12"/>
        <v>1</v>
      </c>
      <c r="D61" s="942"/>
      <c r="E61" s="52">
        <f t="shared" si="13"/>
        <v>2.5000000000000001E-2</v>
      </c>
      <c r="F61" s="942"/>
      <c r="G61" s="52">
        <f t="shared" si="14"/>
        <v>0.12</v>
      </c>
      <c r="H61" s="942"/>
      <c r="I61" s="52">
        <f t="shared" si="15"/>
        <v>1</v>
      </c>
      <c r="J61" s="942"/>
      <c r="K61" s="52">
        <f t="shared" si="16"/>
        <v>1</v>
      </c>
      <c r="L61" s="942"/>
      <c r="M61" s="52">
        <f t="shared" si="17"/>
        <v>1</v>
      </c>
      <c r="N61" s="942"/>
      <c r="O61" s="52">
        <f t="shared" si="18"/>
        <v>1</v>
      </c>
      <c r="P61" s="942"/>
      <c r="Q61" s="52">
        <f t="shared" si="19"/>
        <v>0</v>
      </c>
      <c r="R61" s="470">
        <f t="shared" si="20"/>
        <v>0</v>
      </c>
      <c r="S61" s="779">
        <f t="shared" si="21"/>
        <v>0</v>
      </c>
    </row>
    <row r="62" spans="1:19">
      <c r="A62" s="944"/>
      <c r="B62" s="131"/>
      <c r="C62" s="52">
        <f t="shared" si="12"/>
        <v>1</v>
      </c>
      <c r="D62" s="942"/>
      <c r="E62" s="52">
        <f t="shared" si="13"/>
        <v>2.5000000000000001E-2</v>
      </c>
      <c r="F62" s="942"/>
      <c r="G62" s="52">
        <f t="shared" si="14"/>
        <v>0.12</v>
      </c>
      <c r="H62" s="942"/>
      <c r="I62" s="52">
        <f t="shared" si="15"/>
        <v>1</v>
      </c>
      <c r="J62" s="942"/>
      <c r="K62" s="52">
        <f t="shared" si="16"/>
        <v>1</v>
      </c>
      <c r="L62" s="942"/>
      <c r="M62" s="52">
        <f t="shared" si="17"/>
        <v>1</v>
      </c>
      <c r="N62" s="942"/>
      <c r="O62" s="52">
        <f t="shared" si="18"/>
        <v>1</v>
      </c>
      <c r="P62" s="942"/>
      <c r="Q62" s="52">
        <f t="shared" si="19"/>
        <v>0</v>
      </c>
      <c r="R62" s="470">
        <f t="shared" si="20"/>
        <v>0</v>
      </c>
      <c r="S62" s="779">
        <f t="shared" si="21"/>
        <v>0</v>
      </c>
    </row>
    <row r="63" spans="1:19">
      <c r="A63" s="944"/>
      <c r="B63" s="131"/>
      <c r="C63" s="52">
        <f t="shared" si="12"/>
        <v>1</v>
      </c>
      <c r="D63" s="942"/>
      <c r="E63" s="52">
        <f t="shared" si="13"/>
        <v>2.5000000000000001E-2</v>
      </c>
      <c r="F63" s="942"/>
      <c r="G63" s="52">
        <f t="shared" si="14"/>
        <v>0.12</v>
      </c>
      <c r="H63" s="942"/>
      <c r="I63" s="52">
        <f t="shared" si="15"/>
        <v>1</v>
      </c>
      <c r="J63" s="942"/>
      <c r="K63" s="52">
        <f t="shared" si="16"/>
        <v>1</v>
      </c>
      <c r="L63" s="942"/>
      <c r="M63" s="52">
        <f t="shared" si="17"/>
        <v>1</v>
      </c>
      <c r="N63" s="942"/>
      <c r="O63" s="52">
        <f t="shared" si="18"/>
        <v>1</v>
      </c>
      <c r="P63" s="942"/>
      <c r="Q63" s="52">
        <f t="shared" si="19"/>
        <v>0</v>
      </c>
      <c r="R63" s="470">
        <f t="shared" si="20"/>
        <v>0</v>
      </c>
      <c r="S63" s="779">
        <f t="shared" si="21"/>
        <v>0</v>
      </c>
    </row>
    <row r="64" spans="1:19">
      <c r="A64" s="944"/>
      <c r="B64" s="131"/>
      <c r="C64" s="52">
        <f t="shared" si="12"/>
        <v>1</v>
      </c>
      <c r="D64" s="942"/>
      <c r="E64" s="52">
        <f t="shared" si="13"/>
        <v>2.5000000000000001E-2</v>
      </c>
      <c r="F64" s="942"/>
      <c r="G64" s="52">
        <f t="shared" si="14"/>
        <v>0.12</v>
      </c>
      <c r="H64" s="942"/>
      <c r="I64" s="52">
        <f t="shared" si="15"/>
        <v>1</v>
      </c>
      <c r="J64" s="942"/>
      <c r="K64" s="52">
        <f t="shared" si="16"/>
        <v>1</v>
      </c>
      <c r="L64" s="942"/>
      <c r="M64" s="52">
        <f t="shared" si="17"/>
        <v>1</v>
      </c>
      <c r="N64" s="942"/>
      <c r="O64" s="52">
        <f t="shared" si="18"/>
        <v>1</v>
      </c>
      <c r="P64" s="942"/>
      <c r="Q64" s="52">
        <f t="shared" si="19"/>
        <v>0</v>
      </c>
      <c r="R64" s="470">
        <f t="shared" si="20"/>
        <v>0</v>
      </c>
      <c r="S64" s="779">
        <f t="shared" si="21"/>
        <v>0</v>
      </c>
    </row>
    <row r="65" spans="1:19">
      <c r="A65" s="944"/>
      <c r="B65" s="131"/>
      <c r="C65" s="52">
        <f t="shared" si="12"/>
        <v>1</v>
      </c>
      <c r="D65" s="942"/>
      <c r="E65" s="52">
        <f t="shared" si="13"/>
        <v>2.5000000000000001E-2</v>
      </c>
      <c r="F65" s="942"/>
      <c r="G65" s="52">
        <f t="shared" si="14"/>
        <v>0.12</v>
      </c>
      <c r="H65" s="942"/>
      <c r="I65" s="52">
        <f t="shared" si="15"/>
        <v>1</v>
      </c>
      <c r="J65" s="942"/>
      <c r="K65" s="52">
        <f t="shared" si="16"/>
        <v>1</v>
      </c>
      <c r="L65" s="942"/>
      <c r="M65" s="52">
        <f t="shared" si="17"/>
        <v>1</v>
      </c>
      <c r="N65" s="942"/>
      <c r="O65" s="52">
        <f t="shared" si="18"/>
        <v>1</v>
      </c>
      <c r="P65" s="942"/>
      <c r="Q65" s="52">
        <f t="shared" si="19"/>
        <v>0</v>
      </c>
      <c r="R65" s="470">
        <f t="shared" si="20"/>
        <v>0</v>
      </c>
      <c r="S65" s="779">
        <f t="shared" si="21"/>
        <v>0</v>
      </c>
    </row>
    <row r="66" spans="1:19">
      <c r="A66" s="944"/>
      <c r="B66" s="131"/>
      <c r="C66" s="52">
        <f t="shared" si="12"/>
        <v>1</v>
      </c>
      <c r="D66" s="942"/>
      <c r="E66" s="52">
        <f t="shared" si="13"/>
        <v>2.5000000000000001E-2</v>
      </c>
      <c r="F66" s="942"/>
      <c r="G66" s="52">
        <f t="shared" si="14"/>
        <v>0.12</v>
      </c>
      <c r="H66" s="942"/>
      <c r="I66" s="52">
        <f t="shared" si="15"/>
        <v>1</v>
      </c>
      <c r="J66" s="942"/>
      <c r="K66" s="52">
        <f t="shared" si="16"/>
        <v>1</v>
      </c>
      <c r="L66" s="942"/>
      <c r="M66" s="52">
        <f t="shared" si="17"/>
        <v>1</v>
      </c>
      <c r="N66" s="942"/>
      <c r="O66" s="52">
        <f t="shared" si="18"/>
        <v>1</v>
      </c>
      <c r="P66" s="942"/>
      <c r="Q66" s="52">
        <f t="shared" si="19"/>
        <v>0</v>
      </c>
      <c r="R66" s="470">
        <f t="shared" si="20"/>
        <v>0</v>
      </c>
      <c r="S66" s="779">
        <f t="shared" si="21"/>
        <v>0</v>
      </c>
    </row>
    <row r="67" spans="1:19">
      <c r="A67" s="944"/>
      <c r="B67" s="131"/>
      <c r="C67" s="52">
        <f t="shared" si="12"/>
        <v>1</v>
      </c>
      <c r="D67" s="942"/>
      <c r="E67" s="52">
        <f t="shared" si="13"/>
        <v>2.5000000000000001E-2</v>
      </c>
      <c r="F67" s="942"/>
      <c r="G67" s="52">
        <f t="shared" si="14"/>
        <v>0.12</v>
      </c>
      <c r="H67" s="942"/>
      <c r="I67" s="52">
        <f t="shared" si="15"/>
        <v>1</v>
      </c>
      <c r="J67" s="942"/>
      <c r="K67" s="52">
        <f t="shared" si="16"/>
        <v>1</v>
      </c>
      <c r="L67" s="942"/>
      <c r="M67" s="52">
        <f t="shared" si="17"/>
        <v>1</v>
      </c>
      <c r="N67" s="942"/>
      <c r="O67" s="52">
        <f t="shared" si="18"/>
        <v>1</v>
      </c>
      <c r="P67" s="942"/>
      <c r="Q67" s="52">
        <f t="shared" si="19"/>
        <v>0</v>
      </c>
      <c r="R67" s="470">
        <f t="shared" si="20"/>
        <v>0</v>
      </c>
      <c r="S67" s="779">
        <f t="shared" si="21"/>
        <v>0</v>
      </c>
    </row>
    <row r="68" spans="1:19">
      <c r="A68" s="944"/>
      <c r="B68" s="131"/>
      <c r="C68" s="52">
        <f t="shared" si="12"/>
        <v>1</v>
      </c>
      <c r="D68" s="942"/>
      <c r="E68" s="52">
        <f t="shared" si="13"/>
        <v>2.5000000000000001E-2</v>
      </c>
      <c r="F68" s="942"/>
      <c r="G68" s="52">
        <f t="shared" si="14"/>
        <v>0.12</v>
      </c>
      <c r="H68" s="942"/>
      <c r="I68" s="52">
        <f t="shared" si="15"/>
        <v>1</v>
      </c>
      <c r="J68" s="942"/>
      <c r="K68" s="52">
        <f t="shared" si="16"/>
        <v>1</v>
      </c>
      <c r="L68" s="942"/>
      <c r="M68" s="52">
        <f t="shared" si="17"/>
        <v>1</v>
      </c>
      <c r="N68" s="942"/>
      <c r="O68" s="52">
        <f t="shared" si="18"/>
        <v>1</v>
      </c>
      <c r="P68" s="942"/>
      <c r="Q68" s="52">
        <f t="shared" si="19"/>
        <v>0</v>
      </c>
      <c r="R68" s="470">
        <f t="shared" si="20"/>
        <v>0</v>
      </c>
      <c r="S68" s="779">
        <f t="shared" si="21"/>
        <v>0</v>
      </c>
    </row>
    <row r="69" spans="1:19">
      <c r="A69" s="944"/>
      <c r="B69" s="131"/>
      <c r="C69" s="52">
        <f t="shared" si="12"/>
        <v>1</v>
      </c>
      <c r="D69" s="942"/>
      <c r="E69" s="52">
        <f t="shared" si="13"/>
        <v>2.5000000000000001E-2</v>
      </c>
      <c r="F69" s="942"/>
      <c r="G69" s="52">
        <f t="shared" si="14"/>
        <v>0.12</v>
      </c>
      <c r="H69" s="942"/>
      <c r="I69" s="52">
        <f t="shared" si="15"/>
        <v>1</v>
      </c>
      <c r="J69" s="942"/>
      <c r="K69" s="52">
        <f t="shared" si="16"/>
        <v>1</v>
      </c>
      <c r="L69" s="942"/>
      <c r="M69" s="52">
        <f t="shared" si="17"/>
        <v>1</v>
      </c>
      <c r="N69" s="942"/>
      <c r="O69" s="52">
        <f t="shared" si="18"/>
        <v>1</v>
      </c>
      <c r="P69" s="942"/>
      <c r="Q69" s="52">
        <f t="shared" si="19"/>
        <v>0</v>
      </c>
      <c r="R69" s="470">
        <f t="shared" si="20"/>
        <v>0</v>
      </c>
      <c r="S69" s="779">
        <f t="shared" si="21"/>
        <v>0</v>
      </c>
    </row>
    <row r="70" spans="1:19">
      <c r="A70" s="944"/>
      <c r="B70" s="131"/>
      <c r="C70" s="52">
        <f t="shared" si="12"/>
        <v>1</v>
      </c>
      <c r="D70" s="942"/>
      <c r="E70" s="52">
        <f t="shared" si="13"/>
        <v>2.5000000000000001E-2</v>
      </c>
      <c r="F70" s="942"/>
      <c r="G70" s="52">
        <f t="shared" si="14"/>
        <v>0.12</v>
      </c>
      <c r="H70" s="942"/>
      <c r="I70" s="52">
        <f t="shared" si="15"/>
        <v>1</v>
      </c>
      <c r="J70" s="942"/>
      <c r="K70" s="52">
        <f t="shared" si="16"/>
        <v>1</v>
      </c>
      <c r="L70" s="942"/>
      <c r="M70" s="52">
        <f t="shared" si="17"/>
        <v>1</v>
      </c>
      <c r="N70" s="942"/>
      <c r="O70" s="52">
        <f t="shared" si="18"/>
        <v>1</v>
      </c>
      <c r="P70" s="942"/>
      <c r="Q70" s="52">
        <f t="shared" si="19"/>
        <v>0</v>
      </c>
      <c r="R70" s="470">
        <f t="shared" si="20"/>
        <v>0</v>
      </c>
      <c r="S70" s="779">
        <f t="shared" si="21"/>
        <v>0</v>
      </c>
    </row>
    <row r="71" spans="1:19">
      <c r="A71" s="944"/>
      <c r="B71" s="131"/>
      <c r="C71" s="52">
        <f t="shared" si="12"/>
        <v>1</v>
      </c>
      <c r="D71" s="942"/>
      <c r="E71" s="52">
        <f t="shared" si="13"/>
        <v>2.5000000000000001E-2</v>
      </c>
      <c r="F71" s="942"/>
      <c r="G71" s="52">
        <f t="shared" si="14"/>
        <v>0.12</v>
      </c>
      <c r="H71" s="942"/>
      <c r="I71" s="52">
        <f t="shared" si="15"/>
        <v>1</v>
      </c>
      <c r="J71" s="942"/>
      <c r="K71" s="52">
        <f t="shared" si="16"/>
        <v>1</v>
      </c>
      <c r="L71" s="942"/>
      <c r="M71" s="52">
        <f t="shared" si="17"/>
        <v>1</v>
      </c>
      <c r="N71" s="942"/>
      <c r="O71" s="52">
        <f t="shared" si="18"/>
        <v>1</v>
      </c>
      <c r="P71" s="942"/>
      <c r="Q71" s="52">
        <f t="shared" si="19"/>
        <v>0</v>
      </c>
      <c r="R71" s="470">
        <f t="shared" si="20"/>
        <v>0</v>
      </c>
      <c r="S71" s="779">
        <f t="shared" si="21"/>
        <v>0</v>
      </c>
    </row>
    <row r="72" spans="1:19">
      <c r="A72" s="944"/>
      <c r="B72" s="131"/>
      <c r="C72" s="52">
        <f t="shared" si="12"/>
        <v>1</v>
      </c>
      <c r="D72" s="942"/>
      <c r="E72" s="52">
        <f t="shared" si="13"/>
        <v>2.5000000000000001E-2</v>
      </c>
      <c r="F72" s="942"/>
      <c r="G72" s="52">
        <f t="shared" si="14"/>
        <v>0.12</v>
      </c>
      <c r="H72" s="942"/>
      <c r="I72" s="52">
        <f t="shared" si="15"/>
        <v>1</v>
      </c>
      <c r="J72" s="942"/>
      <c r="K72" s="52">
        <f t="shared" si="16"/>
        <v>1</v>
      </c>
      <c r="L72" s="942"/>
      <c r="M72" s="52">
        <f t="shared" si="17"/>
        <v>1</v>
      </c>
      <c r="N72" s="942"/>
      <c r="O72" s="52">
        <f t="shared" si="18"/>
        <v>1</v>
      </c>
      <c r="P72" s="942"/>
      <c r="Q72" s="52">
        <f t="shared" si="19"/>
        <v>0</v>
      </c>
      <c r="R72" s="470">
        <f t="shared" si="20"/>
        <v>0</v>
      </c>
      <c r="S72" s="779">
        <f t="shared" si="21"/>
        <v>0</v>
      </c>
    </row>
    <row r="73" spans="1:19">
      <c r="A73" s="944"/>
      <c r="B73" s="131"/>
      <c r="C73" s="52">
        <f t="shared" si="12"/>
        <v>1</v>
      </c>
      <c r="D73" s="942"/>
      <c r="E73" s="52">
        <f t="shared" si="13"/>
        <v>2.5000000000000001E-2</v>
      </c>
      <c r="F73" s="942"/>
      <c r="G73" s="52">
        <f t="shared" si="14"/>
        <v>0.12</v>
      </c>
      <c r="H73" s="942"/>
      <c r="I73" s="52">
        <f t="shared" si="15"/>
        <v>1</v>
      </c>
      <c r="J73" s="942"/>
      <c r="K73" s="52">
        <f t="shared" si="16"/>
        <v>1</v>
      </c>
      <c r="L73" s="942"/>
      <c r="M73" s="52">
        <f t="shared" si="17"/>
        <v>1</v>
      </c>
      <c r="N73" s="942"/>
      <c r="O73" s="52">
        <f t="shared" si="18"/>
        <v>1</v>
      </c>
      <c r="P73" s="942"/>
      <c r="Q73" s="52">
        <f t="shared" si="19"/>
        <v>0</v>
      </c>
      <c r="R73" s="470">
        <f t="shared" si="20"/>
        <v>0</v>
      </c>
      <c r="S73" s="779">
        <f t="shared" si="21"/>
        <v>0</v>
      </c>
    </row>
    <row r="74" spans="1:19">
      <c r="A74" s="944"/>
      <c r="B74" s="131"/>
      <c r="C74" s="52">
        <f t="shared" si="12"/>
        <v>1</v>
      </c>
      <c r="D74" s="942"/>
      <c r="E74" s="52">
        <f t="shared" si="13"/>
        <v>2.5000000000000001E-2</v>
      </c>
      <c r="F74" s="942"/>
      <c r="G74" s="52">
        <f t="shared" si="14"/>
        <v>0.12</v>
      </c>
      <c r="H74" s="942"/>
      <c r="I74" s="52">
        <f t="shared" si="15"/>
        <v>1</v>
      </c>
      <c r="J74" s="942"/>
      <c r="K74" s="52">
        <f t="shared" si="16"/>
        <v>1</v>
      </c>
      <c r="L74" s="942"/>
      <c r="M74" s="52">
        <f t="shared" si="17"/>
        <v>1</v>
      </c>
      <c r="N74" s="942"/>
      <c r="O74" s="52">
        <f t="shared" si="18"/>
        <v>1</v>
      </c>
      <c r="P74" s="942"/>
      <c r="Q74" s="52">
        <f t="shared" si="19"/>
        <v>0</v>
      </c>
      <c r="R74" s="470">
        <f t="shared" si="20"/>
        <v>0</v>
      </c>
      <c r="S74" s="779">
        <f t="shared" si="21"/>
        <v>0</v>
      </c>
    </row>
    <row r="75" spans="1:19">
      <c r="A75" s="944"/>
      <c r="B75" s="131"/>
      <c r="C75" s="52">
        <f t="shared" si="12"/>
        <v>1</v>
      </c>
      <c r="D75" s="942"/>
      <c r="E75" s="52">
        <f t="shared" si="13"/>
        <v>2.5000000000000001E-2</v>
      </c>
      <c r="F75" s="942"/>
      <c r="G75" s="52">
        <f t="shared" si="14"/>
        <v>0.12</v>
      </c>
      <c r="H75" s="942"/>
      <c r="I75" s="52">
        <f t="shared" si="15"/>
        <v>1</v>
      </c>
      <c r="J75" s="942"/>
      <c r="K75" s="52">
        <f t="shared" si="16"/>
        <v>1</v>
      </c>
      <c r="L75" s="942"/>
      <c r="M75" s="52">
        <f t="shared" si="17"/>
        <v>1</v>
      </c>
      <c r="N75" s="942"/>
      <c r="O75" s="52">
        <f t="shared" si="18"/>
        <v>1</v>
      </c>
      <c r="P75" s="942"/>
      <c r="Q75" s="52">
        <f t="shared" si="19"/>
        <v>0</v>
      </c>
      <c r="R75" s="470">
        <f t="shared" si="20"/>
        <v>0</v>
      </c>
      <c r="S75" s="779">
        <f t="shared" si="21"/>
        <v>0</v>
      </c>
    </row>
    <row r="76" spans="1:19">
      <c r="A76" s="944"/>
      <c r="B76" s="131"/>
      <c r="C76" s="52">
        <f t="shared" si="12"/>
        <v>1</v>
      </c>
      <c r="D76" s="942"/>
      <c r="E76" s="52">
        <f t="shared" si="13"/>
        <v>2.5000000000000001E-2</v>
      </c>
      <c r="F76" s="942"/>
      <c r="G76" s="52">
        <f t="shared" si="14"/>
        <v>0.12</v>
      </c>
      <c r="H76" s="942"/>
      <c r="I76" s="52">
        <f t="shared" si="15"/>
        <v>1</v>
      </c>
      <c r="J76" s="942"/>
      <c r="K76" s="52">
        <f t="shared" si="16"/>
        <v>1</v>
      </c>
      <c r="L76" s="942"/>
      <c r="M76" s="52">
        <f t="shared" si="17"/>
        <v>1</v>
      </c>
      <c r="N76" s="942"/>
      <c r="O76" s="52">
        <f t="shared" si="18"/>
        <v>1</v>
      </c>
      <c r="P76" s="942"/>
      <c r="Q76" s="52">
        <f t="shared" si="19"/>
        <v>0</v>
      </c>
      <c r="R76" s="470">
        <f t="shared" si="20"/>
        <v>0</v>
      </c>
      <c r="S76" s="779">
        <f t="shared" si="21"/>
        <v>0</v>
      </c>
    </row>
    <row r="77" spans="1:19">
      <c r="A77" s="944"/>
      <c r="B77" s="131"/>
      <c r="C77" s="52">
        <f t="shared" si="12"/>
        <v>1</v>
      </c>
      <c r="D77" s="942"/>
      <c r="E77" s="52">
        <f t="shared" si="13"/>
        <v>2.5000000000000001E-2</v>
      </c>
      <c r="F77" s="942"/>
      <c r="G77" s="52">
        <f t="shared" si="14"/>
        <v>0.12</v>
      </c>
      <c r="H77" s="942"/>
      <c r="I77" s="52">
        <f t="shared" si="15"/>
        <v>1</v>
      </c>
      <c r="J77" s="942"/>
      <c r="K77" s="52">
        <f t="shared" si="16"/>
        <v>1</v>
      </c>
      <c r="L77" s="942"/>
      <c r="M77" s="52">
        <f t="shared" si="17"/>
        <v>1</v>
      </c>
      <c r="N77" s="942"/>
      <c r="O77" s="52">
        <f t="shared" si="18"/>
        <v>1</v>
      </c>
      <c r="P77" s="942"/>
      <c r="Q77" s="52">
        <f t="shared" si="19"/>
        <v>0</v>
      </c>
      <c r="R77" s="470">
        <f t="shared" si="20"/>
        <v>0</v>
      </c>
      <c r="S77" s="779">
        <f t="shared" si="21"/>
        <v>0</v>
      </c>
    </row>
    <row r="78" spans="1:19">
      <c r="A78" s="944"/>
      <c r="B78" s="131"/>
      <c r="C78" s="52">
        <f t="shared" si="12"/>
        <v>1</v>
      </c>
      <c r="D78" s="942"/>
      <c r="E78" s="52">
        <f t="shared" si="13"/>
        <v>2.5000000000000001E-2</v>
      </c>
      <c r="F78" s="942"/>
      <c r="G78" s="52">
        <f t="shared" si="14"/>
        <v>0.12</v>
      </c>
      <c r="H78" s="942"/>
      <c r="I78" s="52">
        <f t="shared" si="15"/>
        <v>1</v>
      </c>
      <c r="J78" s="942"/>
      <c r="K78" s="52">
        <f t="shared" si="16"/>
        <v>1</v>
      </c>
      <c r="L78" s="942"/>
      <c r="M78" s="52">
        <f t="shared" si="17"/>
        <v>1</v>
      </c>
      <c r="N78" s="942"/>
      <c r="O78" s="52">
        <f t="shared" si="18"/>
        <v>1</v>
      </c>
      <c r="P78" s="942"/>
      <c r="Q78" s="52">
        <f t="shared" si="19"/>
        <v>0</v>
      </c>
      <c r="R78" s="470">
        <f t="shared" si="20"/>
        <v>0</v>
      </c>
      <c r="S78" s="779">
        <f t="shared" ref="S78:S122" si="22">ROUND(R78*B78/10000,0)</f>
        <v>0</v>
      </c>
    </row>
    <row r="79" spans="1:19">
      <c r="A79" s="944"/>
      <c r="B79" s="131"/>
      <c r="C79" s="52">
        <f t="shared" si="12"/>
        <v>1</v>
      </c>
      <c r="D79" s="942"/>
      <c r="E79" s="52">
        <f t="shared" si="13"/>
        <v>2.5000000000000001E-2</v>
      </c>
      <c r="F79" s="942"/>
      <c r="G79" s="52">
        <f t="shared" si="14"/>
        <v>0.12</v>
      </c>
      <c r="H79" s="942"/>
      <c r="I79" s="52">
        <f t="shared" si="15"/>
        <v>1</v>
      </c>
      <c r="J79" s="942"/>
      <c r="K79" s="52">
        <f t="shared" si="16"/>
        <v>1</v>
      </c>
      <c r="L79" s="942"/>
      <c r="M79" s="52">
        <f t="shared" si="17"/>
        <v>1</v>
      </c>
      <c r="N79" s="942"/>
      <c r="O79" s="52">
        <f t="shared" si="18"/>
        <v>1</v>
      </c>
      <c r="P79" s="942"/>
      <c r="Q79" s="52">
        <f t="shared" si="19"/>
        <v>0</v>
      </c>
      <c r="R79" s="470">
        <f t="shared" si="20"/>
        <v>0</v>
      </c>
      <c r="S79" s="779">
        <f t="shared" si="22"/>
        <v>0</v>
      </c>
    </row>
    <row r="80" spans="1:19">
      <c r="A80" s="944"/>
      <c r="B80" s="131"/>
      <c r="C80" s="52">
        <f t="shared" si="12"/>
        <v>1</v>
      </c>
      <c r="D80" s="942"/>
      <c r="E80" s="52">
        <f t="shared" si="13"/>
        <v>2.5000000000000001E-2</v>
      </c>
      <c r="F80" s="942"/>
      <c r="G80" s="52">
        <f t="shared" si="14"/>
        <v>0.12</v>
      </c>
      <c r="H80" s="942"/>
      <c r="I80" s="52">
        <f t="shared" si="15"/>
        <v>1</v>
      </c>
      <c r="J80" s="942"/>
      <c r="K80" s="52">
        <f t="shared" si="16"/>
        <v>1</v>
      </c>
      <c r="L80" s="942"/>
      <c r="M80" s="52">
        <f t="shared" si="17"/>
        <v>1</v>
      </c>
      <c r="N80" s="942"/>
      <c r="O80" s="52">
        <f t="shared" si="18"/>
        <v>1</v>
      </c>
      <c r="P80" s="942"/>
      <c r="Q80" s="52">
        <f t="shared" si="19"/>
        <v>0</v>
      </c>
      <c r="R80" s="470">
        <f t="shared" si="20"/>
        <v>0</v>
      </c>
      <c r="S80" s="779">
        <f t="shared" si="22"/>
        <v>0</v>
      </c>
    </row>
    <row r="81" spans="1:19">
      <c r="A81" s="944"/>
      <c r="B81" s="131"/>
      <c r="C81" s="52">
        <f t="shared" si="12"/>
        <v>1</v>
      </c>
      <c r="D81" s="942"/>
      <c r="E81" s="52">
        <f t="shared" si="13"/>
        <v>2.5000000000000001E-2</v>
      </c>
      <c r="F81" s="942"/>
      <c r="G81" s="52">
        <f t="shared" si="14"/>
        <v>0.12</v>
      </c>
      <c r="H81" s="942"/>
      <c r="I81" s="52">
        <f t="shared" si="15"/>
        <v>1</v>
      </c>
      <c r="J81" s="942"/>
      <c r="K81" s="52">
        <f t="shared" si="16"/>
        <v>1</v>
      </c>
      <c r="L81" s="942"/>
      <c r="M81" s="52">
        <f t="shared" si="17"/>
        <v>1</v>
      </c>
      <c r="N81" s="942"/>
      <c r="O81" s="52">
        <f t="shared" si="18"/>
        <v>1</v>
      </c>
      <c r="P81" s="942"/>
      <c r="Q81" s="52">
        <f t="shared" si="19"/>
        <v>0</v>
      </c>
      <c r="R81" s="470">
        <f t="shared" si="20"/>
        <v>0</v>
      </c>
      <c r="S81" s="779">
        <f t="shared" si="22"/>
        <v>0</v>
      </c>
    </row>
    <row r="82" spans="1:19">
      <c r="A82" s="944"/>
      <c r="B82" s="131"/>
      <c r="C82" s="52">
        <f t="shared" si="12"/>
        <v>1</v>
      </c>
      <c r="D82" s="942"/>
      <c r="E82" s="52">
        <f t="shared" si="13"/>
        <v>2.5000000000000001E-2</v>
      </c>
      <c r="F82" s="942"/>
      <c r="G82" s="52">
        <f t="shared" si="14"/>
        <v>0.12</v>
      </c>
      <c r="H82" s="942"/>
      <c r="I82" s="52">
        <f t="shared" si="15"/>
        <v>1</v>
      </c>
      <c r="J82" s="942"/>
      <c r="K82" s="52">
        <f t="shared" si="16"/>
        <v>1</v>
      </c>
      <c r="L82" s="942"/>
      <c r="M82" s="52">
        <f t="shared" si="17"/>
        <v>1</v>
      </c>
      <c r="N82" s="942"/>
      <c r="O82" s="52">
        <f t="shared" si="18"/>
        <v>1</v>
      </c>
      <c r="P82" s="942"/>
      <c r="Q82" s="52">
        <f t="shared" si="19"/>
        <v>0</v>
      </c>
      <c r="R82" s="470">
        <f t="shared" si="20"/>
        <v>0</v>
      </c>
      <c r="S82" s="779">
        <f t="shared" si="22"/>
        <v>0</v>
      </c>
    </row>
    <row r="83" spans="1:19">
      <c r="A83" s="944"/>
      <c r="B83" s="131"/>
      <c r="C83" s="52">
        <f t="shared" si="12"/>
        <v>1</v>
      </c>
      <c r="D83" s="942"/>
      <c r="E83" s="52">
        <f t="shared" si="13"/>
        <v>2.5000000000000001E-2</v>
      </c>
      <c r="F83" s="942"/>
      <c r="G83" s="52">
        <f t="shared" si="14"/>
        <v>0.12</v>
      </c>
      <c r="H83" s="942"/>
      <c r="I83" s="52">
        <f t="shared" si="15"/>
        <v>1</v>
      </c>
      <c r="J83" s="942"/>
      <c r="K83" s="52">
        <f t="shared" si="16"/>
        <v>1</v>
      </c>
      <c r="L83" s="942"/>
      <c r="M83" s="52">
        <f t="shared" si="17"/>
        <v>1</v>
      </c>
      <c r="N83" s="942"/>
      <c r="O83" s="52">
        <f t="shared" si="18"/>
        <v>1</v>
      </c>
      <c r="P83" s="942"/>
      <c r="Q83" s="52">
        <f t="shared" si="19"/>
        <v>0</v>
      </c>
      <c r="R83" s="470">
        <f t="shared" si="20"/>
        <v>0</v>
      </c>
      <c r="S83" s="779">
        <f t="shared" si="22"/>
        <v>0</v>
      </c>
    </row>
    <row r="84" spans="1:19">
      <c r="A84" s="944"/>
      <c r="B84" s="131"/>
      <c r="C84" s="52">
        <f t="shared" si="12"/>
        <v>1</v>
      </c>
      <c r="D84" s="942"/>
      <c r="E84" s="52">
        <f t="shared" si="13"/>
        <v>2.5000000000000001E-2</v>
      </c>
      <c r="F84" s="942"/>
      <c r="G84" s="52">
        <f t="shared" si="14"/>
        <v>0.12</v>
      </c>
      <c r="H84" s="942"/>
      <c r="I84" s="52">
        <f t="shared" si="15"/>
        <v>1</v>
      </c>
      <c r="J84" s="942"/>
      <c r="K84" s="52">
        <f t="shared" si="16"/>
        <v>1</v>
      </c>
      <c r="L84" s="942"/>
      <c r="M84" s="52">
        <f t="shared" si="17"/>
        <v>1</v>
      </c>
      <c r="N84" s="942"/>
      <c r="O84" s="52">
        <f t="shared" si="18"/>
        <v>1</v>
      </c>
      <c r="P84" s="942"/>
      <c r="Q84" s="52">
        <f t="shared" si="19"/>
        <v>0</v>
      </c>
      <c r="R84" s="470">
        <f t="shared" si="20"/>
        <v>0</v>
      </c>
      <c r="S84" s="779">
        <f t="shared" si="22"/>
        <v>0</v>
      </c>
    </row>
    <row r="85" spans="1:19">
      <c r="A85" s="944"/>
      <c r="B85" s="131"/>
      <c r="C85" s="52">
        <f t="shared" si="12"/>
        <v>1</v>
      </c>
      <c r="D85" s="942"/>
      <c r="E85" s="52">
        <f t="shared" si="13"/>
        <v>2.5000000000000001E-2</v>
      </c>
      <c r="F85" s="942"/>
      <c r="G85" s="52">
        <f t="shared" si="14"/>
        <v>0.12</v>
      </c>
      <c r="H85" s="942"/>
      <c r="I85" s="52">
        <f t="shared" si="15"/>
        <v>1</v>
      </c>
      <c r="J85" s="942"/>
      <c r="K85" s="52">
        <f t="shared" si="16"/>
        <v>1</v>
      </c>
      <c r="L85" s="942"/>
      <c r="M85" s="52">
        <f t="shared" si="17"/>
        <v>1</v>
      </c>
      <c r="N85" s="942"/>
      <c r="O85" s="52">
        <f t="shared" si="18"/>
        <v>1</v>
      </c>
      <c r="P85" s="942"/>
      <c r="Q85" s="52">
        <f t="shared" si="19"/>
        <v>0</v>
      </c>
      <c r="R85" s="470">
        <f t="shared" si="20"/>
        <v>0</v>
      </c>
      <c r="S85" s="779">
        <f t="shared" si="22"/>
        <v>0</v>
      </c>
    </row>
    <row r="86" spans="1:19">
      <c r="A86" s="944"/>
      <c r="B86" s="131"/>
      <c r="C86" s="52">
        <f t="shared" si="12"/>
        <v>1</v>
      </c>
      <c r="D86" s="942"/>
      <c r="E86" s="52">
        <f t="shared" si="13"/>
        <v>2.5000000000000001E-2</v>
      </c>
      <c r="F86" s="942"/>
      <c r="G86" s="52">
        <f t="shared" si="14"/>
        <v>0.12</v>
      </c>
      <c r="H86" s="942"/>
      <c r="I86" s="52">
        <f t="shared" si="15"/>
        <v>1</v>
      </c>
      <c r="J86" s="942"/>
      <c r="K86" s="52">
        <f t="shared" si="16"/>
        <v>1</v>
      </c>
      <c r="L86" s="942"/>
      <c r="M86" s="52">
        <f t="shared" si="17"/>
        <v>1</v>
      </c>
      <c r="N86" s="942"/>
      <c r="O86" s="52">
        <f t="shared" si="18"/>
        <v>1</v>
      </c>
      <c r="P86" s="942"/>
      <c r="Q86" s="52">
        <f t="shared" si="19"/>
        <v>0</v>
      </c>
      <c r="R86" s="470">
        <f t="shared" si="20"/>
        <v>0</v>
      </c>
      <c r="S86" s="779">
        <f t="shared" si="22"/>
        <v>0</v>
      </c>
    </row>
    <row r="87" spans="1:19">
      <c r="A87" s="944"/>
      <c r="B87" s="131"/>
      <c r="C87" s="52">
        <f t="shared" si="12"/>
        <v>1</v>
      </c>
      <c r="D87" s="942"/>
      <c r="E87" s="52">
        <f t="shared" si="13"/>
        <v>2.5000000000000001E-2</v>
      </c>
      <c r="F87" s="942"/>
      <c r="G87" s="52">
        <f t="shared" si="14"/>
        <v>0.12</v>
      </c>
      <c r="H87" s="942"/>
      <c r="I87" s="52">
        <f t="shared" si="15"/>
        <v>1</v>
      </c>
      <c r="J87" s="942"/>
      <c r="K87" s="52">
        <f t="shared" si="16"/>
        <v>1</v>
      </c>
      <c r="L87" s="942"/>
      <c r="M87" s="52">
        <f t="shared" si="17"/>
        <v>1</v>
      </c>
      <c r="N87" s="942"/>
      <c r="O87" s="52">
        <f t="shared" si="18"/>
        <v>1</v>
      </c>
      <c r="P87" s="942"/>
      <c r="Q87" s="52">
        <f t="shared" si="19"/>
        <v>0</v>
      </c>
      <c r="R87" s="470">
        <f t="shared" si="20"/>
        <v>0</v>
      </c>
      <c r="S87" s="779">
        <f t="shared" si="22"/>
        <v>0</v>
      </c>
    </row>
    <row r="88" spans="1:19">
      <c r="A88" s="944"/>
      <c r="B88" s="131"/>
      <c r="C88" s="52">
        <f t="shared" si="12"/>
        <v>1</v>
      </c>
      <c r="D88" s="942"/>
      <c r="E88" s="52">
        <f t="shared" si="13"/>
        <v>2.5000000000000001E-2</v>
      </c>
      <c r="F88" s="942"/>
      <c r="G88" s="52">
        <f t="shared" si="14"/>
        <v>0.12</v>
      </c>
      <c r="H88" s="942"/>
      <c r="I88" s="52">
        <f t="shared" si="15"/>
        <v>1</v>
      </c>
      <c r="J88" s="942"/>
      <c r="K88" s="52">
        <f t="shared" si="16"/>
        <v>1</v>
      </c>
      <c r="L88" s="942"/>
      <c r="M88" s="52">
        <f t="shared" si="17"/>
        <v>1</v>
      </c>
      <c r="N88" s="942"/>
      <c r="O88" s="52">
        <f t="shared" si="18"/>
        <v>1</v>
      </c>
      <c r="P88" s="942"/>
      <c r="Q88" s="52">
        <f t="shared" si="19"/>
        <v>0</v>
      </c>
      <c r="R88" s="470">
        <f t="shared" si="20"/>
        <v>0</v>
      </c>
      <c r="S88" s="779">
        <f t="shared" si="22"/>
        <v>0</v>
      </c>
    </row>
    <row r="89" spans="1:19">
      <c r="A89" s="944"/>
      <c r="B89" s="131"/>
      <c r="C89" s="52">
        <f t="shared" si="12"/>
        <v>1</v>
      </c>
      <c r="D89" s="942"/>
      <c r="E89" s="52">
        <f t="shared" si="13"/>
        <v>2.5000000000000001E-2</v>
      </c>
      <c r="F89" s="942"/>
      <c r="G89" s="52">
        <f t="shared" si="14"/>
        <v>0.12</v>
      </c>
      <c r="H89" s="942"/>
      <c r="I89" s="52">
        <f t="shared" si="15"/>
        <v>1</v>
      </c>
      <c r="J89" s="942"/>
      <c r="K89" s="52">
        <f t="shared" si="16"/>
        <v>1</v>
      </c>
      <c r="L89" s="942"/>
      <c r="M89" s="52">
        <f t="shared" si="17"/>
        <v>1</v>
      </c>
      <c r="N89" s="942"/>
      <c r="O89" s="52">
        <f t="shared" si="18"/>
        <v>1</v>
      </c>
      <c r="P89" s="942"/>
      <c r="Q89" s="52">
        <f t="shared" si="19"/>
        <v>0</v>
      </c>
      <c r="R89" s="470">
        <f t="shared" si="20"/>
        <v>0</v>
      </c>
      <c r="S89" s="779">
        <f t="shared" si="22"/>
        <v>0</v>
      </c>
    </row>
    <row r="90" spans="1:19">
      <c r="A90" s="944"/>
      <c r="B90" s="131"/>
      <c r="C90" s="52">
        <f t="shared" ref="C90:C153" si="23">IF(B90="",1,(LOOKUP(B90,$3:$3,$4:$4)-LOOKUP($B$24,$3:$3,$4:$4)+100)/100)</f>
        <v>1</v>
      </c>
      <c r="D90" s="942"/>
      <c r="E90" s="52">
        <f t="shared" ref="E90:E153" si="24">(SUMIF($5:$5,D90,$6:$6)-SUMIF($5:$5,$D$24,$6:$6)+100)/100</f>
        <v>2.5000000000000001E-2</v>
      </c>
      <c r="F90" s="942"/>
      <c r="G90" s="52">
        <f t="shared" ref="G90:G153" si="25">(SUMIF($7:$7,F90,$8:$8)-SUMIF($7:$7,$F$24,$8:$8)+100)/100</f>
        <v>0.12</v>
      </c>
      <c r="H90" s="942"/>
      <c r="I90" s="52">
        <f t="shared" ref="I90:I153" si="26">(SUMIF($9:$9,H90,$10:$10)-SUMIF($9:$9,$H$24,$10:$10)+100)/100</f>
        <v>1</v>
      </c>
      <c r="J90" s="942"/>
      <c r="K90" s="52">
        <f t="shared" ref="K90:K153" si="27">(SUMIF($11:$11,J90,$12:$12)-SUMIF($11:$11,$J$24,$12:$12)+100)/100</f>
        <v>1</v>
      </c>
      <c r="L90" s="942"/>
      <c r="M90" s="52">
        <f t="shared" ref="M90:M153" si="28">(SUMIF($13:$13,L90,$14:$14)-SUMIF($13:$13,$L$24,$14:$14)+100)/100</f>
        <v>1</v>
      </c>
      <c r="N90" s="942"/>
      <c r="O90" s="52">
        <f t="shared" ref="O90:O153" si="29">(SUMIF($15:$15,N90,$16:$16)-SUMIF($15:$15,$N$24,$16:$16)+100)/100</f>
        <v>1</v>
      </c>
      <c r="P90" s="942"/>
      <c r="Q90" s="52">
        <f t="shared" ref="Q90:Q153" si="30">(SUMIF($17:$17,P90,$18:$18)-SUMIF($17:$17,$P$24,$18:$18)+100)/100</f>
        <v>0</v>
      </c>
      <c r="R90" s="470">
        <f t="shared" ref="R90:R153" si="31">IF(B90="",0,ROUND($R$24*C90*E90*G90*I90*K90*M90*O90*Q90,0))</f>
        <v>0</v>
      </c>
      <c r="S90" s="779">
        <f t="shared" si="22"/>
        <v>0</v>
      </c>
    </row>
    <row r="91" spans="1:19">
      <c r="A91" s="944"/>
      <c r="B91" s="131"/>
      <c r="C91" s="52">
        <f t="shared" si="23"/>
        <v>1</v>
      </c>
      <c r="D91" s="942"/>
      <c r="E91" s="52">
        <f t="shared" si="24"/>
        <v>2.5000000000000001E-2</v>
      </c>
      <c r="F91" s="942"/>
      <c r="G91" s="52">
        <f t="shared" si="25"/>
        <v>0.12</v>
      </c>
      <c r="H91" s="942"/>
      <c r="I91" s="52">
        <f t="shared" si="26"/>
        <v>1</v>
      </c>
      <c r="J91" s="942"/>
      <c r="K91" s="52">
        <f t="shared" si="27"/>
        <v>1</v>
      </c>
      <c r="L91" s="942"/>
      <c r="M91" s="52">
        <f t="shared" si="28"/>
        <v>1</v>
      </c>
      <c r="N91" s="942"/>
      <c r="O91" s="52">
        <f t="shared" si="29"/>
        <v>1</v>
      </c>
      <c r="P91" s="942"/>
      <c r="Q91" s="52">
        <f t="shared" si="30"/>
        <v>0</v>
      </c>
      <c r="R91" s="470">
        <f t="shared" si="31"/>
        <v>0</v>
      </c>
      <c r="S91" s="779">
        <f t="shared" si="22"/>
        <v>0</v>
      </c>
    </row>
    <row r="92" spans="1:19">
      <c r="A92" s="944"/>
      <c r="B92" s="131"/>
      <c r="C92" s="52">
        <f t="shared" si="23"/>
        <v>1</v>
      </c>
      <c r="D92" s="942"/>
      <c r="E92" s="52">
        <f t="shared" si="24"/>
        <v>2.5000000000000001E-2</v>
      </c>
      <c r="F92" s="942"/>
      <c r="G92" s="52">
        <f t="shared" si="25"/>
        <v>0.12</v>
      </c>
      <c r="H92" s="942"/>
      <c r="I92" s="52">
        <f t="shared" si="26"/>
        <v>1</v>
      </c>
      <c r="J92" s="942"/>
      <c r="K92" s="52">
        <f t="shared" si="27"/>
        <v>1</v>
      </c>
      <c r="L92" s="942"/>
      <c r="M92" s="52">
        <f t="shared" si="28"/>
        <v>1</v>
      </c>
      <c r="N92" s="942"/>
      <c r="O92" s="52">
        <f t="shared" si="29"/>
        <v>1</v>
      </c>
      <c r="P92" s="942"/>
      <c r="Q92" s="52">
        <f t="shared" si="30"/>
        <v>0</v>
      </c>
      <c r="R92" s="470">
        <f t="shared" si="31"/>
        <v>0</v>
      </c>
      <c r="S92" s="779">
        <f t="shared" si="22"/>
        <v>0</v>
      </c>
    </row>
    <row r="93" spans="1:19">
      <c r="A93" s="944"/>
      <c r="B93" s="131"/>
      <c r="C93" s="52">
        <f t="shared" si="23"/>
        <v>1</v>
      </c>
      <c r="D93" s="942"/>
      <c r="E93" s="52">
        <f t="shared" si="24"/>
        <v>2.5000000000000001E-2</v>
      </c>
      <c r="F93" s="942"/>
      <c r="G93" s="52">
        <f t="shared" si="25"/>
        <v>0.12</v>
      </c>
      <c r="H93" s="942"/>
      <c r="I93" s="52">
        <f t="shared" si="26"/>
        <v>1</v>
      </c>
      <c r="J93" s="942"/>
      <c r="K93" s="52">
        <f t="shared" si="27"/>
        <v>1</v>
      </c>
      <c r="L93" s="942"/>
      <c r="M93" s="52">
        <f t="shared" si="28"/>
        <v>1</v>
      </c>
      <c r="N93" s="942"/>
      <c r="O93" s="52">
        <f t="shared" si="29"/>
        <v>1</v>
      </c>
      <c r="P93" s="942"/>
      <c r="Q93" s="52">
        <f t="shared" si="30"/>
        <v>0</v>
      </c>
      <c r="R93" s="470">
        <f t="shared" si="31"/>
        <v>0</v>
      </c>
      <c r="S93" s="779">
        <f t="shared" si="22"/>
        <v>0</v>
      </c>
    </row>
    <row r="94" spans="1:19">
      <c r="A94" s="944"/>
      <c r="B94" s="131"/>
      <c r="C94" s="52">
        <f t="shared" si="23"/>
        <v>1</v>
      </c>
      <c r="D94" s="942"/>
      <c r="E94" s="52">
        <f t="shared" si="24"/>
        <v>2.5000000000000001E-2</v>
      </c>
      <c r="F94" s="942"/>
      <c r="G94" s="52">
        <f t="shared" si="25"/>
        <v>0.12</v>
      </c>
      <c r="H94" s="942"/>
      <c r="I94" s="52">
        <f t="shared" si="26"/>
        <v>1</v>
      </c>
      <c r="J94" s="942"/>
      <c r="K94" s="52">
        <f t="shared" si="27"/>
        <v>1</v>
      </c>
      <c r="L94" s="942"/>
      <c r="M94" s="52">
        <f t="shared" si="28"/>
        <v>1</v>
      </c>
      <c r="N94" s="942"/>
      <c r="O94" s="52">
        <f t="shared" si="29"/>
        <v>1</v>
      </c>
      <c r="P94" s="942"/>
      <c r="Q94" s="52">
        <f t="shared" si="30"/>
        <v>0</v>
      </c>
      <c r="R94" s="470">
        <f t="shared" si="31"/>
        <v>0</v>
      </c>
      <c r="S94" s="779">
        <f t="shared" si="22"/>
        <v>0</v>
      </c>
    </row>
    <row r="95" spans="1:19">
      <c r="A95" s="944"/>
      <c r="B95" s="131"/>
      <c r="C95" s="52">
        <f t="shared" si="23"/>
        <v>1</v>
      </c>
      <c r="D95" s="942"/>
      <c r="E95" s="52">
        <f t="shared" si="24"/>
        <v>2.5000000000000001E-2</v>
      </c>
      <c r="F95" s="942"/>
      <c r="G95" s="52">
        <f t="shared" si="25"/>
        <v>0.12</v>
      </c>
      <c r="H95" s="942"/>
      <c r="I95" s="52">
        <f t="shared" si="26"/>
        <v>1</v>
      </c>
      <c r="J95" s="942"/>
      <c r="K95" s="52">
        <f t="shared" si="27"/>
        <v>1</v>
      </c>
      <c r="L95" s="942"/>
      <c r="M95" s="52">
        <f t="shared" si="28"/>
        <v>1</v>
      </c>
      <c r="N95" s="942"/>
      <c r="O95" s="52">
        <f t="shared" si="29"/>
        <v>1</v>
      </c>
      <c r="P95" s="942"/>
      <c r="Q95" s="52">
        <f t="shared" si="30"/>
        <v>0</v>
      </c>
      <c r="R95" s="470">
        <f t="shared" si="31"/>
        <v>0</v>
      </c>
      <c r="S95" s="779">
        <f t="shared" si="22"/>
        <v>0</v>
      </c>
    </row>
    <row r="96" spans="1:19">
      <c r="A96" s="944"/>
      <c r="B96" s="131"/>
      <c r="C96" s="52">
        <f t="shared" si="23"/>
        <v>1</v>
      </c>
      <c r="D96" s="942"/>
      <c r="E96" s="52">
        <f t="shared" si="24"/>
        <v>2.5000000000000001E-2</v>
      </c>
      <c r="F96" s="942"/>
      <c r="G96" s="52">
        <f t="shared" si="25"/>
        <v>0.12</v>
      </c>
      <c r="H96" s="942"/>
      <c r="I96" s="52">
        <f t="shared" si="26"/>
        <v>1</v>
      </c>
      <c r="J96" s="942"/>
      <c r="K96" s="52">
        <f t="shared" si="27"/>
        <v>1</v>
      </c>
      <c r="L96" s="942"/>
      <c r="M96" s="52">
        <f t="shared" si="28"/>
        <v>1</v>
      </c>
      <c r="N96" s="942"/>
      <c r="O96" s="52">
        <f t="shared" si="29"/>
        <v>1</v>
      </c>
      <c r="P96" s="942"/>
      <c r="Q96" s="52">
        <f t="shared" si="30"/>
        <v>0</v>
      </c>
      <c r="R96" s="470">
        <f t="shared" si="31"/>
        <v>0</v>
      </c>
      <c r="S96" s="779">
        <f t="shared" si="22"/>
        <v>0</v>
      </c>
    </row>
    <row r="97" spans="1:19">
      <c r="A97" s="944"/>
      <c r="B97" s="131"/>
      <c r="C97" s="52">
        <f t="shared" si="23"/>
        <v>1</v>
      </c>
      <c r="D97" s="942"/>
      <c r="E97" s="52">
        <f t="shared" si="24"/>
        <v>2.5000000000000001E-2</v>
      </c>
      <c r="F97" s="942"/>
      <c r="G97" s="52">
        <f t="shared" si="25"/>
        <v>0.12</v>
      </c>
      <c r="H97" s="942"/>
      <c r="I97" s="52">
        <f t="shared" si="26"/>
        <v>1</v>
      </c>
      <c r="J97" s="942"/>
      <c r="K97" s="52">
        <f t="shared" si="27"/>
        <v>1</v>
      </c>
      <c r="L97" s="942"/>
      <c r="M97" s="52">
        <f t="shared" si="28"/>
        <v>1</v>
      </c>
      <c r="N97" s="942"/>
      <c r="O97" s="52">
        <f t="shared" si="29"/>
        <v>1</v>
      </c>
      <c r="P97" s="942"/>
      <c r="Q97" s="52">
        <f t="shared" si="30"/>
        <v>0</v>
      </c>
      <c r="R97" s="470">
        <f t="shared" si="31"/>
        <v>0</v>
      </c>
      <c r="S97" s="779">
        <f t="shared" si="22"/>
        <v>0</v>
      </c>
    </row>
    <row r="98" spans="1:19">
      <c r="A98" s="944"/>
      <c r="B98" s="131"/>
      <c r="C98" s="52">
        <f t="shared" si="23"/>
        <v>1</v>
      </c>
      <c r="D98" s="942"/>
      <c r="E98" s="52">
        <f t="shared" si="24"/>
        <v>2.5000000000000001E-2</v>
      </c>
      <c r="F98" s="942"/>
      <c r="G98" s="52">
        <f t="shared" si="25"/>
        <v>0.12</v>
      </c>
      <c r="H98" s="942"/>
      <c r="I98" s="52">
        <f t="shared" si="26"/>
        <v>1</v>
      </c>
      <c r="J98" s="942"/>
      <c r="K98" s="52">
        <f t="shared" si="27"/>
        <v>1</v>
      </c>
      <c r="L98" s="942"/>
      <c r="M98" s="52">
        <f t="shared" si="28"/>
        <v>1</v>
      </c>
      <c r="N98" s="942"/>
      <c r="O98" s="52">
        <f t="shared" si="29"/>
        <v>1</v>
      </c>
      <c r="P98" s="942"/>
      <c r="Q98" s="52">
        <f t="shared" si="30"/>
        <v>0</v>
      </c>
      <c r="R98" s="470">
        <f t="shared" si="31"/>
        <v>0</v>
      </c>
      <c r="S98" s="779">
        <f t="shared" si="22"/>
        <v>0</v>
      </c>
    </row>
    <row r="99" spans="1:19">
      <c r="A99" s="944"/>
      <c r="B99" s="131"/>
      <c r="C99" s="52">
        <f t="shared" si="23"/>
        <v>1</v>
      </c>
      <c r="D99" s="942"/>
      <c r="E99" s="52">
        <f t="shared" si="24"/>
        <v>2.5000000000000001E-2</v>
      </c>
      <c r="F99" s="942"/>
      <c r="G99" s="52">
        <f t="shared" si="25"/>
        <v>0.12</v>
      </c>
      <c r="H99" s="942"/>
      <c r="I99" s="52">
        <f t="shared" si="26"/>
        <v>1</v>
      </c>
      <c r="J99" s="942"/>
      <c r="K99" s="52">
        <f t="shared" si="27"/>
        <v>1</v>
      </c>
      <c r="L99" s="942"/>
      <c r="M99" s="52">
        <f t="shared" si="28"/>
        <v>1</v>
      </c>
      <c r="N99" s="942"/>
      <c r="O99" s="52">
        <f t="shared" si="29"/>
        <v>1</v>
      </c>
      <c r="P99" s="942"/>
      <c r="Q99" s="52">
        <f t="shared" si="30"/>
        <v>0</v>
      </c>
      <c r="R99" s="470">
        <f t="shared" si="31"/>
        <v>0</v>
      </c>
      <c r="S99" s="779">
        <f t="shared" si="22"/>
        <v>0</v>
      </c>
    </row>
    <row r="100" spans="1:19">
      <c r="A100" s="944"/>
      <c r="B100" s="131"/>
      <c r="C100" s="52">
        <f t="shared" si="23"/>
        <v>1</v>
      </c>
      <c r="D100" s="942"/>
      <c r="E100" s="52">
        <f t="shared" si="24"/>
        <v>2.5000000000000001E-2</v>
      </c>
      <c r="F100" s="942"/>
      <c r="G100" s="52">
        <f t="shared" si="25"/>
        <v>0.12</v>
      </c>
      <c r="H100" s="942"/>
      <c r="I100" s="52">
        <f t="shared" si="26"/>
        <v>1</v>
      </c>
      <c r="J100" s="942"/>
      <c r="K100" s="52">
        <f t="shared" si="27"/>
        <v>1</v>
      </c>
      <c r="L100" s="942"/>
      <c r="M100" s="52">
        <f t="shared" si="28"/>
        <v>1</v>
      </c>
      <c r="N100" s="942"/>
      <c r="O100" s="52">
        <f t="shared" si="29"/>
        <v>1</v>
      </c>
      <c r="P100" s="942"/>
      <c r="Q100" s="52">
        <f t="shared" si="30"/>
        <v>0</v>
      </c>
      <c r="R100" s="470">
        <f t="shared" si="31"/>
        <v>0</v>
      </c>
      <c r="S100" s="779">
        <f t="shared" si="22"/>
        <v>0</v>
      </c>
    </row>
    <row r="101" spans="1:19">
      <c r="A101" s="944"/>
      <c r="B101" s="131"/>
      <c r="C101" s="52">
        <f t="shared" si="23"/>
        <v>1</v>
      </c>
      <c r="D101" s="942"/>
      <c r="E101" s="52">
        <f t="shared" si="24"/>
        <v>2.5000000000000001E-2</v>
      </c>
      <c r="F101" s="942"/>
      <c r="G101" s="52">
        <f t="shared" si="25"/>
        <v>0.12</v>
      </c>
      <c r="H101" s="942"/>
      <c r="I101" s="52">
        <f t="shared" si="26"/>
        <v>1</v>
      </c>
      <c r="J101" s="942"/>
      <c r="K101" s="52">
        <f t="shared" si="27"/>
        <v>1</v>
      </c>
      <c r="L101" s="942"/>
      <c r="M101" s="52">
        <f t="shared" si="28"/>
        <v>1</v>
      </c>
      <c r="N101" s="942"/>
      <c r="O101" s="52">
        <f t="shared" si="29"/>
        <v>1</v>
      </c>
      <c r="P101" s="942"/>
      <c r="Q101" s="52">
        <f t="shared" si="30"/>
        <v>0</v>
      </c>
      <c r="R101" s="470">
        <f t="shared" si="31"/>
        <v>0</v>
      </c>
      <c r="S101" s="779">
        <f t="shared" si="22"/>
        <v>0</v>
      </c>
    </row>
    <row r="102" spans="1:19">
      <c r="A102" s="944"/>
      <c r="B102" s="131"/>
      <c r="C102" s="52">
        <f t="shared" si="23"/>
        <v>1</v>
      </c>
      <c r="D102" s="942"/>
      <c r="E102" s="52">
        <f t="shared" si="24"/>
        <v>2.5000000000000001E-2</v>
      </c>
      <c r="F102" s="942"/>
      <c r="G102" s="52">
        <f t="shared" si="25"/>
        <v>0.12</v>
      </c>
      <c r="H102" s="942"/>
      <c r="I102" s="52">
        <f t="shared" si="26"/>
        <v>1</v>
      </c>
      <c r="J102" s="942"/>
      <c r="K102" s="52">
        <f t="shared" si="27"/>
        <v>1</v>
      </c>
      <c r="L102" s="942"/>
      <c r="M102" s="52">
        <f t="shared" si="28"/>
        <v>1</v>
      </c>
      <c r="N102" s="942"/>
      <c r="O102" s="52">
        <f t="shared" si="29"/>
        <v>1</v>
      </c>
      <c r="P102" s="942"/>
      <c r="Q102" s="52">
        <f t="shared" si="30"/>
        <v>0</v>
      </c>
      <c r="R102" s="470">
        <f t="shared" si="31"/>
        <v>0</v>
      </c>
      <c r="S102" s="779">
        <f t="shared" si="22"/>
        <v>0</v>
      </c>
    </row>
    <row r="103" spans="1:19">
      <c r="A103" s="944"/>
      <c r="B103" s="131"/>
      <c r="C103" s="52">
        <f t="shared" si="23"/>
        <v>1</v>
      </c>
      <c r="D103" s="942"/>
      <c r="E103" s="52">
        <f t="shared" si="24"/>
        <v>2.5000000000000001E-2</v>
      </c>
      <c r="F103" s="942"/>
      <c r="G103" s="52">
        <f t="shared" si="25"/>
        <v>0.12</v>
      </c>
      <c r="H103" s="942"/>
      <c r="I103" s="52">
        <f t="shared" si="26"/>
        <v>1</v>
      </c>
      <c r="J103" s="942"/>
      <c r="K103" s="52">
        <f t="shared" si="27"/>
        <v>1</v>
      </c>
      <c r="L103" s="942"/>
      <c r="M103" s="52">
        <f t="shared" si="28"/>
        <v>1</v>
      </c>
      <c r="N103" s="942"/>
      <c r="O103" s="52">
        <f t="shared" si="29"/>
        <v>1</v>
      </c>
      <c r="P103" s="942"/>
      <c r="Q103" s="52">
        <f t="shared" si="30"/>
        <v>0</v>
      </c>
      <c r="R103" s="470">
        <f t="shared" si="31"/>
        <v>0</v>
      </c>
      <c r="S103" s="779">
        <f t="shared" si="22"/>
        <v>0</v>
      </c>
    </row>
    <row r="104" spans="1:19">
      <c r="A104" s="944"/>
      <c r="B104" s="131"/>
      <c r="C104" s="52">
        <f t="shared" si="23"/>
        <v>1</v>
      </c>
      <c r="D104" s="942"/>
      <c r="E104" s="52">
        <f t="shared" si="24"/>
        <v>2.5000000000000001E-2</v>
      </c>
      <c r="F104" s="942"/>
      <c r="G104" s="52">
        <f t="shared" si="25"/>
        <v>0.12</v>
      </c>
      <c r="H104" s="942"/>
      <c r="I104" s="52">
        <f t="shared" si="26"/>
        <v>1</v>
      </c>
      <c r="J104" s="942"/>
      <c r="K104" s="52">
        <f t="shared" si="27"/>
        <v>1</v>
      </c>
      <c r="L104" s="942"/>
      <c r="M104" s="52">
        <f t="shared" si="28"/>
        <v>1</v>
      </c>
      <c r="N104" s="942"/>
      <c r="O104" s="52">
        <f t="shared" si="29"/>
        <v>1</v>
      </c>
      <c r="P104" s="942"/>
      <c r="Q104" s="52">
        <f t="shared" si="30"/>
        <v>0</v>
      </c>
      <c r="R104" s="470">
        <f t="shared" si="31"/>
        <v>0</v>
      </c>
      <c r="S104" s="779">
        <f t="shared" si="22"/>
        <v>0</v>
      </c>
    </row>
    <row r="105" spans="1:19">
      <c r="A105" s="944"/>
      <c r="B105" s="131"/>
      <c r="C105" s="52">
        <f t="shared" si="23"/>
        <v>1</v>
      </c>
      <c r="D105" s="942"/>
      <c r="E105" s="52">
        <f t="shared" si="24"/>
        <v>2.5000000000000001E-2</v>
      </c>
      <c r="F105" s="942"/>
      <c r="G105" s="52">
        <f t="shared" si="25"/>
        <v>0.12</v>
      </c>
      <c r="H105" s="942"/>
      <c r="I105" s="52">
        <f t="shared" si="26"/>
        <v>1</v>
      </c>
      <c r="J105" s="942"/>
      <c r="K105" s="52">
        <f t="shared" si="27"/>
        <v>1</v>
      </c>
      <c r="L105" s="942"/>
      <c r="M105" s="52">
        <f t="shared" si="28"/>
        <v>1</v>
      </c>
      <c r="N105" s="942"/>
      <c r="O105" s="52">
        <f t="shared" si="29"/>
        <v>1</v>
      </c>
      <c r="P105" s="942"/>
      <c r="Q105" s="52">
        <f t="shared" si="30"/>
        <v>0</v>
      </c>
      <c r="R105" s="470">
        <f t="shared" si="31"/>
        <v>0</v>
      </c>
      <c r="S105" s="779">
        <f t="shared" si="22"/>
        <v>0</v>
      </c>
    </row>
    <row r="106" spans="1:19">
      <c r="A106" s="944"/>
      <c r="B106" s="131"/>
      <c r="C106" s="52">
        <f t="shared" si="23"/>
        <v>1</v>
      </c>
      <c r="D106" s="942"/>
      <c r="E106" s="52">
        <f t="shared" si="24"/>
        <v>2.5000000000000001E-2</v>
      </c>
      <c r="F106" s="942"/>
      <c r="G106" s="52">
        <f t="shared" si="25"/>
        <v>0.12</v>
      </c>
      <c r="H106" s="942"/>
      <c r="I106" s="52">
        <f t="shared" si="26"/>
        <v>1</v>
      </c>
      <c r="J106" s="942"/>
      <c r="K106" s="52">
        <f t="shared" si="27"/>
        <v>1</v>
      </c>
      <c r="L106" s="942"/>
      <c r="M106" s="52">
        <f t="shared" si="28"/>
        <v>1</v>
      </c>
      <c r="N106" s="942"/>
      <c r="O106" s="52">
        <f t="shared" si="29"/>
        <v>1</v>
      </c>
      <c r="P106" s="942"/>
      <c r="Q106" s="52">
        <f t="shared" si="30"/>
        <v>0</v>
      </c>
      <c r="R106" s="470">
        <f t="shared" si="31"/>
        <v>0</v>
      </c>
      <c r="S106" s="779">
        <f t="shared" si="22"/>
        <v>0</v>
      </c>
    </row>
    <row r="107" spans="1:19">
      <c r="A107" s="944"/>
      <c r="B107" s="131"/>
      <c r="C107" s="52">
        <f t="shared" si="23"/>
        <v>1</v>
      </c>
      <c r="D107" s="942"/>
      <c r="E107" s="52">
        <f t="shared" si="24"/>
        <v>2.5000000000000001E-2</v>
      </c>
      <c r="F107" s="942"/>
      <c r="G107" s="52">
        <f t="shared" si="25"/>
        <v>0.12</v>
      </c>
      <c r="H107" s="942"/>
      <c r="I107" s="52">
        <f t="shared" si="26"/>
        <v>1</v>
      </c>
      <c r="J107" s="942"/>
      <c r="K107" s="52">
        <f t="shared" si="27"/>
        <v>1</v>
      </c>
      <c r="L107" s="942"/>
      <c r="M107" s="52">
        <f t="shared" si="28"/>
        <v>1</v>
      </c>
      <c r="N107" s="942"/>
      <c r="O107" s="52">
        <f t="shared" si="29"/>
        <v>1</v>
      </c>
      <c r="P107" s="942"/>
      <c r="Q107" s="52">
        <f t="shared" si="30"/>
        <v>0</v>
      </c>
      <c r="R107" s="470">
        <f t="shared" si="31"/>
        <v>0</v>
      </c>
      <c r="S107" s="779">
        <f t="shared" si="22"/>
        <v>0</v>
      </c>
    </row>
    <row r="108" spans="1:19">
      <c r="A108" s="944"/>
      <c r="B108" s="131"/>
      <c r="C108" s="52">
        <f t="shared" si="23"/>
        <v>1</v>
      </c>
      <c r="D108" s="942"/>
      <c r="E108" s="52">
        <f t="shared" si="24"/>
        <v>2.5000000000000001E-2</v>
      </c>
      <c r="F108" s="942"/>
      <c r="G108" s="52">
        <f t="shared" si="25"/>
        <v>0.12</v>
      </c>
      <c r="H108" s="942"/>
      <c r="I108" s="52">
        <f t="shared" si="26"/>
        <v>1</v>
      </c>
      <c r="J108" s="942"/>
      <c r="K108" s="52">
        <f t="shared" si="27"/>
        <v>1</v>
      </c>
      <c r="L108" s="942"/>
      <c r="M108" s="52">
        <f t="shared" si="28"/>
        <v>1</v>
      </c>
      <c r="N108" s="942"/>
      <c r="O108" s="52">
        <f t="shared" si="29"/>
        <v>1</v>
      </c>
      <c r="P108" s="942"/>
      <c r="Q108" s="52">
        <f t="shared" si="30"/>
        <v>0</v>
      </c>
      <c r="R108" s="470">
        <f t="shared" si="31"/>
        <v>0</v>
      </c>
      <c r="S108" s="779">
        <f t="shared" si="22"/>
        <v>0</v>
      </c>
    </row>
    <row r="109" spans="1:19">
      <c r="A109" s="944"/>
      <c r="B109" s="131"/>
      <c r="C109" s="52">
        <f t="shared" si="23"/>
        <v>1</v>
      </c>
      <c r="D109" s="942"/>
      <c r="E109" s="52">
        <f t="shared" si="24"/>
        <v>2.5000000000000001E-2</v>
      </c>
      <c r="F109" s="942"/>
      <c r="G109" s="52">
        <f t="shared" si="25"/>
        <v>0.12</v>
      </c>
      <c r="H109" s="942"/>
      <c r="I109" s="52">
        <f t="shared" si="26"/>
        <v>1</v>
      </c>
      <c r="J109" s="942"/>
      <c r="K109" s="52">
        <f t="shared" si="27"/>
        <v>1</v>
      </c>
      <c r="L109" s="942"/>
      <c r="M109" s="52">
        <f t="shared" si="28"/>
        <v>1</v>
      </c>
      <c r="N109" s="942"/>
      <c r="O109" s="52">
        <f t="shared" si="29"/>
        <v>1</v>
      </c>
      <c r="P109" s="942"/>
      <c r="Q109" s="52">
        <f t="shared" si="30"/>
        <v>0</v>
      </c>
      <c r="R109" s="470">
        <f t="shared" si="31"/>
        <v>0</v>
      </c>
      <c r="S109" s="779">
        <f t="shared" si="22"/>
        <v>0</v>
      </c>
    </row>
    <row r="110" spans="1:19">
      <c r="A110" s="944"/>
      <c r="B110" s="131"/>
      <c r="C110" s="52">
        <f t="shared" si="23"/>
        <v>1</v>
      </c>
      <c r="D110" s="942"/>
      <c r="E110" s="52">
        <f t="shared" si="24"/>
        <v>2.5000000000000001E-2</v>
      </c>
      <c r="F110" s="942"/>
      <c r="G110" s="52">
        <f t="shared" si="25"/>
        <v>0.12</v>
      </c>
      <c r="H110" s="942"/>
      <c r="I110" s="52">
        <f t="shared" si="26"/>
        <v>1</v>
      </c>
      <c r="J110" s="942"/>
      <c r="K110" s="52">
        <f t="shared" si="27"/>
        <v>1</v>
      </c>
      <c r="L110" s="942"/>
      <c r="M110" s="52">
        <f t="shared" si="28"/>
        <v>1</v>
      </c>
      <c r="N110" s="942"/>
      <c r="O110" s="52">
        <f t="shared" si="29"/>
        <v>1</v>
      </c>
      <c r="P110" s="942"/>
      <c r="Q110" s="52">
        <f t="shared" si="30"/>
        <v>0</v>
      </c>
      <c r="R110" s="470">
        <f t="shared" si="31"/>
        <v>0</v>
      </c>
      <c r="S110" s="779">
        <f t="shared" si="22"/>
        <v>0</v>
      </c>
    </row>
    <row r="111" spans="1:19">
      <c r="A111" s="944"/>
      <c r="B111" s="131"/>
      <c r="C111" s="52">
        <f t="shared" si="23"/>
        <v>1</v>
      </c>
      <c r="D111" s="942"/>
      <c r="E111" s="52">
        <f t="shared" si="24"/>
        <v>2.5000000000000001E-2</v>
      </c>
      <c r="F111" s="942"/>
      <c r="G111" s="52">
        <f t="shared" si="25"/>
        <v>0.12</v>
      </c>
      <c r="H111" s="942"/>
      <c r="I111" s="52">
        <f t="shared" si="26"/>
        <v>1</v>
      </c>
      <c r="J111" s="942"/>
      <c r="K111" s="52">
        <f t="shared" si="27"/>
        <v>1</v>
      </c>
      <c r="L111" s="942"/>
      <c r="M111" s="52">
        <f t="shared" si="28"/>
        <v>1</v>
      </c>
      <c r="N111" s="942"/>
      <c r="O111" s="52">
        <f t="shared" si="29"/>
        <v>1</v>
      </c>
      <c r="P111" s="942"/>
      <c r="Q111" s="52">
        <f t="shared" si="30"/>
        <v>0</v>
      </c>
      <c r="R111" s="470">
        <f t="shared" si="31"/>
        <v>0</v>
      </c>
      <c r="S111" s="779">
        <f t="shared" si="22"/>
        <v>0</v>
      </c>
    </row>
    <row r="112" spans="1:19">
      <c r="A112" s="944"/>
      <c r="B112" s="131"/>
      <c r="C112" s="52">
        <f t="shared" si="23"/>
        <v>1</v>
      </c>
      <c r="D112" s="942"/>
      <c r="E112" s="52">
        <f t="shared" si="24"/>
        <v>2.5000000000000001E-2</v>
      </c>
      <c r="F112" s="942"/>
      <c r="G112" s="52">
        <f t="shared" si="25"/>
        <v>0.12</v>
      </c>
      <c r="H112" s="942"/>
      <c r="I112" s="52">
        <f t="shared" si="26"/>
        <v>1</v>
      </c>
      <c r="J112" s="942"/>
      <c r="K112" s="52">
        <f t="shared" si="27"/>
        <v>1</v>
      </c>
      <c r="L112" s="942"/>
      <c r="M112" s="52">
        <f t="shared" si="28"/>
        <v>1</v>
      </c>
      <c r="N112" s="942"/>
      <c r="O112" s="52">
        <f t="shared" si="29"/>
        <v>1</v>
      </c>
      <c r="P112" s="942"/>
      <c r="Q112" s="52">
        <f t="shared" si="30"/>
        <v>0</v>
      </c>
      <c r="R112" s="470">
        <f t="shared" si="31"/>
        <v>0</v>
      </c>
      <c r="S112" s="779">
        <f t="shared" si="22"/>
        <v>0</v>
      </c>
    </row>
    <row r="113" spans="1:19">
      <c r="A113" s="944"/>
      <c r="B113" s="131"/>
      <c r="C113" s="52">
        <f t="shared" si="23"/>
        <v>1</v>
      </c>
      <c r="D113" s="942"/>
      <c r="E113" s="52">
        <f t="shared" si="24"/>
        <v>2.5000000000000001E-2</v>
      </c>
      <c r="F113" s="942"/>
      <c r="G113" s="52">
        <f t="shared" si="25"/>
        <v>0.12</v>
      </c>
      <c r="H113" s="942"/>
      <c r="I113" s="52">
        <f t="shared" si="26"/>
        <v>1</v>
      </c>
      <c r="J113" s="942"/>
      <c r="K113" s="52">
        <f t="shared" si="27"/>
        <v>1</v>
      </c>
      <c r="L113" s="942"/>
      <c r="M113" s="52">
        <f t="shared" si="28"/>
        <v>1</v>
      </c>
      <c r="N113" s="942"/>
      <c r="O113" s="52">
        <f t="shared" si="29"/>
        <v>1</v>
      </c>
      <c r="P113" s="942"/>
      <c r="Q113" s="52">
        <f t="shared" si="30"/>
        <v>0</v>
      </c>
      <c r="R113" s="470">
        <f t="shared" si="31"/>
        <v>0</v>
      </c>
      <c r="S113" s="779">
        <f t="shared" si="22"/>
        <v>0</v>
      </c>
    </row>
    <row r="114" spans="1:19">
      <c r="A114" s="944"/>
      <c r="B114" s="131"/>
      <c r="C114" s="52">
        <f t="shared" si="23"/>
        <v>1</v>
      </c>
      <c r="D114" s="942"/>
      <c r="E114" s="52">
        <f t="shared" si="24"/>
        <v>2.5000000000000001E-2</v>
      </c>
      <c r="F114" s="942"/>
      <c r="G114" s="52">
        <f t="shared" si="25"/>
        <v>0.12</v>
      </c>
      <c r="H114" s="942"/>
      <c r="I114" s="52">
        <f t="shared" si="26"/>
        <v>1</v>
      </c>
      <c r="J114" s="942"/>
      <c r="K114" s="52">
        <f t="shared" si="27"/>
        <v>1</v>
      </c>
      <c r="L114" s="942"/>
      <c r="M114" s="52">
        <f t="shared" si="28"/>
        <v>1</v>
      </c>
      <c r="N114" s="942"/>
      <c r="O114" s="52">
        <f t="shared" si="29"/>
        <v>1</v>
      </c>
      <c r="P114" s="942"/>
      <c r="Q114" s="52">
        <f t="shared" si="30"/>
        <v>0</v>
      </c>
      <c r="R114" s="470">
        <f t="shared" si="31"/>
        <v>0</v>
      </c>
      <c r="S114" s="779">
        <f t="shared" si="22"/>
        <v>0</v>
      </c>
    </row>
    <row r="115" spans="1:19">
      <c r="A115" s="944"/>
      <c r="B115" s="131"/>
      <c r="C115" s="52">
        <f t="shared" si="23"/>
        <v>1</v>
      </c>
      <c r="D115" s="942"/>
      <c r="E115" s="52">
        <f t="shared" si="24"/>
        <v>2.5000000000000001E-2</v>
      </c>
      <c r="F115" s="942"/>
      <c r="G115" s="52">
        <f t="shared" si="25"/>
        <v>0.12</v>
      </c>
      <c r="H115" s="942"/>
      <c r="I115" s="52">
        <f t="shared" si="26"/>
        <v>1</v>
      </c>
      <c r="J115" s="942"/>
      <c r="K115" s="52">
        <f t="shared" si="27"/>
        <v>1</v>
      </c>
      <c r="L115" s="942"/>
      <c r="M115" s="52">
        <f t="shared" si="28"/>
        <v>1</v>
      </c>
      <c r="N115" s="942"/>
      <c r="O115" s="52">
        <f t="shared" si="29"/>
        <v>1</v>
      </c>
      <c r="P115" s="942"/>
      <c r="Q115" s="52">
        <f t="shared" si="30"/>
        <v>0</v>
      </c>
      <c r="R115" s="470">
        <f t="shared" si="31"/>
        <v>0</v>
      </c>
      <c r="S115" s="779">
        <f t="shared" si="22"/>
        <v>0</v>
      </c>
    </row>
    <row r="116" spans="1:19">
      <c r="A116" s="944"/>
      <c r="B116" s="131"/>
      <c r="C116" s="52">
        <f t="shared" si="23"/>
        <v>1</v>
      </c>
      <c r="D116" s="942"/>
      <c r="E116" s="52">
        <f t="shared" si="24"/>
        <v>2.5000000000000001E-2</v>
      </c>
      <c r="F116" s="942"/>
      <c r="G116" s="52">
        <f t="shared" si="25"/>
        <v>0.12</v>
      </c>
      <c r="H116" s="942"/>
      <c r="I116" s="52">
        <f t="shared" si="26"/>
        <v>1</v>
      </c>
      <c r="J116" s="942"/>
      <c r="K116" s="52">
        <f t="shared" si="27"/>
        <v>1</v>
      </c>
      <c r="L116" s="942"/>
      <c r="M116" s="52">
        <f t="shared" si="28"/>
        <v>1</v>
      </c>
      <c r="N116" s="942"/>
      <c r="O116" s="52">
        <f t="shared" si="29"/>
        <v>1</v>
      </c>
      <c r="P116" s="942"/>
      <c r="Q116" s="52">
        <f t="shared" si="30"/>
        <v>0</v>
      </c>
      <c r="R116" s="470">
        <f t="shared" si="31"/>
        <v>0</v>
      </c>
      <c r="S116" s="779">
        <f t="shared" si="22"/>
        <v>0</v>
      </c>
    </row>
    <row r="117" spans="1:19">
      <c r="A117" s="944"/>
      <c r="B117" s="131"/>
      <c r="C117" s="52">
        <f t="shared" si="23"/>
        <v>1</v>
      </c>
      <c r="D117" s="942"/>
      <c r="E117" s="52">
        <f t="shared" si="24"/>
        <v>2.5000000000000001E-2</v>
      </c>
      <c r="F117" s="942"/>
      <c r="G117" s="52">
        <f t="shared" si="25"/>
        <v>0.12</v>
      </c>
      <c r="H117" s="942"/>
      <c r="I117" s="52">
        <f t="shared" si="26"/>
        <v>1</v>
      </c>
      <c r="J117" s="942"/>
      <c r="K117" s="52">
        <f t="shared" si="27"/>
        <v>1</v>
      </c>
      <c r="L117" s="942"/>
      <c r="M117" s="52">
        <f t="shared" si="28"/>
        <v>1</v>
      </c>
      <c r="N117" s="942"/>
      <c r="O117" s="52">
        <f t="shared" si="29"/>
        <v>1</v>
      </c>
      <c r="P117" s="942"/>
      <c r="Q117" s="52">
        <f t="shared" si="30"/>
        <v>0</v>
      </c>
      <c r="R117" s="470">
        <f t="shared" si="31"/>
        <v>0</v>
      </c>
      <c r="S117" s="779">
        <f t="shared" si="22"/>
        <v>0</v>
      </c>
    </row>
    <row r="118" spans="1:19">
      <c r="A118" s="944"/>
      <c r="B118" s="131"/>
      <c r="C118" s="52">
        <f t="shared" si="23"/>
        <v>1</v>
      </c>
      <c r="D118" s="942"/>
      <c r="E118" s="52">
        <f t="shared" si="24"/>
        <v>2.5000000000000001E-2</v>
      </c>
      <c r="F118" s="942"/>
      <c r="G118" s="52">
        <f t="shared" si="25"/>
        <v>0.12</v>
      </c>
      <c r="H118" s="942"/>
      <c r="I118" s="52">
        <f t="shared" si="26"/>
        <v>1</v>
      </c>
      <c r="J118" s="942"/>
      <c r="K118" s="52">
        <f t="shared" si="27"/>
        <v>1</v>
      </c>
      <c r="L118" s="942"/>
      <c r="M118" s="52">
        <f t="shared" si="28"/>
        <v>1</v>
      </c>
      <c r="N118" s="942"/>
      <c r="O118" s="52">
        <f t="shared" si="29"/>
        <v>1</v>
      </c>
      <c r="P118" s="942"/>
      <c r="Q118" s="52">
        <f t="shared" si="30"/>
        <v>0</v>
      </c>
      <c r="R118" s="470">
        <f t="shared" si="31"/>
        <v>0</v>
      </c>
      <c r="S118" s="779">
        <f t="shared" si="22"/>
        <v>0</v>
      </c>
    </row>
    <row r="119" spans="1:19">
      <c r="A119" s="944"/>
      <c r="B119" s="131"/>
      <c r="C119" s="52">
        <f t="shared" si="23"/>
        <v>1</v>
      </c>
      <c r="D119" s="942"/>
      <c r="E119" s="52">
        <f t="shared" si="24"/>
        <v>2.5000000000000001E-2</v>
      </c>
      <c r="F119" s="942"/>
      <c r="G119" s="52">
        <f t="shared" si="25"/>
        <v>0.12</v>
      </c>
      <c r="H119" s="942"/>
      <c r="I119" s="52">
        <f t="shared" si="26"/>
        <v>1</v>
      </c>
      <c r="J119" s="942"/>
      <c r="K119" s="52">
        <f t="shared" si="27"/>
        <v>1</v>
      </c>
      <c r="L119" s="942"/>
      <c r="M119" s="52">
        <f t="shared" si="28"/>
        <v>1</v>
      </c>
      <c r="N119" s="942"/>
      <c r="O119" s="52">
        <f t="shared" si="29"/>
        <v>1</v>
      </c>
      <c r="P119" s="942"/>
      <c r="Q119" s="52">
        <f t="shared" si="30"/>
        <v>0</v>
      </c>
      <c r="R119" s="470">
        <f t="shared" si="31"/>
        <v>0</v>
      </c>
      <c r="S119" s="779">
        <f t="shared" si="22"/>
        <v>0</v>
      </c>
    </row>
    <row r="120" spans="1:19">
      <c r="A120" s="944"/>
      <c r="B120" s="131"/>
      <c r="C120" s="52">
        <f t="shared" si="23"/>
        <v>1</v>
      </c>
      <c r="D120" s="942"/>
      <c r="E120" s="52">
        <f t="shared" si="24"/>
        <v>2.5000000000000001E-2</v>
      </c>
      <c r="F120" s="942"/>
      <c r="G120" s="52">
        <f t="shared" si="25"/>
        <v>0.12</v>
      </c>
      <c r="H120" s="942"/>
      <c r="I120" s="52">
        <f t="shared" si="26"/>
        <v>1</v>
      </c>
      <c r="J120" s="942"/>
      <c r="K120" s="52">
        <f t="shared" si="27"/>
        <v>1</v>
      </c>
      <c r="L120" s="942"/>
      <c r="M120" s="52">
        <f t="shared" si="28"/>
        <v>1</v>
      </c>
      <c r="N120" s="942"/>
      <c r="O120" s="52">
        <f t="shared" si="29"/>
        <v>1</v>
      </c>
      <c r="P120" s="942"/>
      <c r="Q120" s="52">
        <f t="shared" si="30"/>
        <v>0</v>
      </c>
      <c r="R120" s="470">
        <f t="shared" si="31"/>
        <v>0</v>
      </c>
      <c r="S120" s="779">
        <f t="shared" si="22"/>
        <v>0</v>
      </c>
    </row>
    <row r="121" spans="1:19">
      <c r="A121" s="944"/>
      <c r="B121" s="131"/>
      <c r="C121" s="52">
        <f t="shared" si="23"/>
        <v>1</v>
      </c>
      <c r="D121" s="942"/>
      <c r="E121" s="52">
        <f t="shared" si="24"/>
        <v>2.5000000000000001E-2</v>
      </c>
      <c r="F121" s="942"/>
      <c r="G121" s="52">
        <f t="shared" si="25"/>
        <v>0.12</v>
      </c>
      <c r="H121" s="942"/>
      <c r="I121" s="52">
        <f t="shared" si="26"/>
        <v>1</v>
      </c>
      <c r="J121" s="942"/>
      <c r="K121" s="52">
        <f t="shared" si="27"/>
        <v>1</v>
      </c>
      <c r="L121" s="942"/>
      <c r="M121" s="52">
        <f t="shared" si="28"/>
        <v>1</v>
      </c>
      <c r="N121" s="942"/>
      <c r="O121" s="52">
        <f t="shared" si="29"/>
        <v>1</v>
      </c>
      <c r="P121" s="942"/>
      <c r="Q121" s="52">
        <f t="shared" si="30"/>
        <v>0</v>
      </c>
      <c r="R121" s="470">
        <f t="shared" si="31"/>
        <v>0</v>
      </c>
      <c r="S121" s="779">
        <f t="shared" si="22"/>
        <v>0</v>
      </c>
    </row>
    <row r="122" spans="1:19">
      <c r="A122" s="944"/>
      <c r="B122" s="131"/>
      <c r="C122" s="52">
        <f t="shared" si="23"/>
        <v>1</v>
      </c>
      <c r="D122" s="942"/>
      <c r="E122" s="52">
        <f t="shared" si="24"/>
        <v>2.5000000000000001E-2</v>
      </c>
      <c r="F122" s="942"/>
      <c r="G122" s="52">
        <f t="shared" si="25"/>
        <v>0.12</v>
      </c>
      <c r="H122" s="942"/>
      <c r="I122" s="52">
        <f t="shared" si="26"/>
        <v>1</v>
      </c>
      <c r="J122" s="942"/>
      <c r="K122" s="52">
        <f t="shared" si="27"/>
        <v>1</v>
      </c>
      <c r="L122" s="942"/>
      <c r="M122" s="52">
        <f t="shared" si="28"/>
        <v>1</v>
      </c>
      <c r="N122" s="942"/>
      <c r="O122" s="52">
        <f t="shared" si="29"/>
        <v>1</v>
      </c>
      <c r="P122" s="942"/>
      <c r="Q122" s="52">
        <f t="shared" si="30"/>
        <v>0</v>
      </c>
      <c r="R122" s="470">
        <f t="shared" si="31"/>
        <v>0</v>
      </c>
      <c r="S122" s="779">
        <f t="shared" si="22"/>
        <v>0</v>
      </c>
    </row>
    <row r="123" spans="1:19">
      <c r="A123" s="944"/>
      <c r="B123" s="131"/>
      <c r="C123" s="52">
        <f t="shared" si="23"/>
        <v>1</v>
      </c>
      <c r="D123" s="942"/>
      <c r="E123" s="52">
        <f t="shared" si="24"/>
        <v>2.5000000000000001E-2</v>
      </c>
      <c r="F123" s="942"/>
      <c r="G123" s="52">
        <f t="shared" si="25"/>
        <v>0.12</v>
      </c>
      <c r="H123" s="942"/>
      <c r="I123" s="52">
        <f t="shared" si="26"/>
        <v>1</v>
      </c>
      <c r="J123" s="942"/>
      <c r="K123" s="52">
        <f t="shared" si="27"/>
        <v>1</v>
      </c>
      <c r="L123" s="942"/>
      <c r="M123" s="52">
        <f t="shared" si="28"/>
        <v>1</v>
      </c>
      <c r="N123" s="942"/>
      <c r="O123" s="52">
        <f t="shared" si="29"/>
        <v>1</v>
      </c>
      <c r="P123" s="942"/>
      <c r="Q123" s="52">
        <f t="shared" si="30"/>
        <v>0</v>
      </c>
      <c r="R123" s="470">
        <f t="shared" si="31"/>
        <v>0</v>
      </c>
      <c r="S123" s="779">
        <f t="shared" ref="S123:S186" si="32">ROUND(R123*B123/10000,0)</f>
        <v>0</v>
      </c>
    </row>
    <row r="124" spans="1:19">
      <c r="A124" s="944"/>
      <c r="B124" s="131"/>
      <c r="C124" s="52">
        <f t="shared" si="23"/>
        <v>1</v>
      </c>
      <c r="D124" s="942"/>
      <c r="E124" s="52">
        <f t="shared" si="24"/>
        <v>2.5000000000000001E-2</v>
      </c>
      <c r="F124" s="942"/>
      <c r="G124" s="52">
        <f t="shared" si="25"/>
        <v>0.12</v>
      </c>
      <c r="H124" s="942"/>
      <c r="I124" s="52">
        <f t="shared" si="26"/>
        <v>1</v>
      </c>
      <c r="J124" s="942"/>
      <c r="K124" s="52">
        <f t="shared" si="27"/>
        <v>1</v>
      </c>
      <c r="L124" s="942"/>
      <c r="M124" s="52">
        <f t="shared" si="28"/>
        <v>1</v>
      </c>
      <c r="N124" s="942"/>
      <c r="O124" s="52">
        <f t="shared" si="29"/>
        <v>1</v>
      </c>
      <c r="P124" s="942"/>
      <c r="Q124" s="52">
        <f t="shared" si="30"/>
        <v>0</v>
      </c>
      <c r="R124" s="470">
        <f t="shared" si="31"/>
        <v>0</v>
      </c>
      <c r="S124" s="779">
        <f t="shared" si="32"/>
        <v>0</v>
      </c>
    </row>
    <row r="125" spans="1:19">
      <c r="A125" s="944"/>
      <c r="B125" s="131"/>
      <c r="C125" s="52">
        <f t="shared" si="23"/>
        <v>1</v>
      </c>
      <c r="D125" s="942"/>
      <c r="E125" s="52">
        <f t="shared" si="24"/>
        <v>2.5000000000000001E-2</v>
      </c>
      <c r="F125" s="942"/>
      <c r="G125" s="52">
        <f t="shared" si="25"/>
        <v>0.12</v>
      </c>
      <c r="H125" s="942"/>
      <c r="I125" s="52">
        <f t="shared" si="26"/>
        <v>1</v>
      </c>
      <c r="J125" s="942"/>
      <c r="K125" s="52">
        <f t="shared" si="27"/>
        <v>1</v>
      </c>
      <c r="L125" s="942"/>
      <c r="M125" s="52">
        <f t="shared" si="28"/>
        <v>1</v>
      </c>
      <c r="N125" s="942"/>
      <c r="O125" s="52">
        <f t="shared" si="29"/>
        <v>1</v>
      </c>
      <c r="P125" s="942"/>
      <c r="Q125" s="52">
        <f t="shared" si="30"/>
        <v>0</v>
      </c>
      <c r="R125" s="470">
        <f t="shared" si="31"/>
        <v>0</v>
      </c>
      <c r="S125" s="779">
        <f t="shared" si="32"/>
        <v>0</v>
      </c>
    </row>
    <row r="126" spans="1:19">
      <c r="A126" s="944"/>
      <c r="B126" s="131"/>
      <c r="C126" s="52">
        <f t="shared" si="23"/>
        <v>1</v>
      </c>
      <c r="D126" s="942"/>
      <c r="E126" s="52">
        <f t="shared" si="24"/>
        <v>2.5000000000000001E-2</v>
      </c>
      <c r="F126" s="942"/>
      <c r="G126" s="52">
        <f t="shared" si="25"/>
        <v>0.12</v>
      </c>
      <c r="H126" s="942"/>
      <c r="I126" s="52">
        <f t="shared" si="26"/>
        <v>1</v>
      </c>
      <c r="J126" s="942"/>
      <c r="K126" s="52">
        <f t="shared" si="27"/>
        <v>1</v>
      </c>
      <c r="L126" s="942"/>
      <c r="M126" s="52">
        <f t="shared" si="28"/>
        <v>1</v>
      </c>
      <c r="N126" s="942"/>
      <c r="O126" s="52">
        <f t="shared" si="29"/>
        <v>1</v>
      </c>
      <c r="P126" s="942"/>
      <c r="Q126" s="52">
        <f t="shared" si="30"/>
        <v>0</v>
      </c>
      <c r="R126" s="470">
        <f t="shared" si="31"/>
        <v>0</v>
      </c>
      <c r="S126" s="779">
        <f t="shared" si="32"/>
        <v>0</v>
      </c>
    </row>
    <row r="127" spans="1:19">
      <c r="A127" s="944"/>
      <c r="B127" s="131"/>
      <c r="C127" s="52">
        <f t="shared" si="23"/>
        <v>1</v>
      </c>
      <c r="D127" s="942"/>
      <c r="E127" s="52">
        <f t="shared" si="24"/>
        <v>2.5000000000000001E-2</v>
      </c>
      <c r="F127" s="942"/>
      <c r="G127" s="52">
        <f t="shared" si="25"/>
        <v>0.12</v>
      </c>
      <c r="H127" s="942"/>
      <c r="I127" s="52">
        <f t="shared" si="26"/>
        <v>1</v>
      </c>
      <c r="J127" s="942"/>
      <c r="K127" s="52">
        <f t="shared" si="27"/>
        <v>1</v>
      </c>
      <c r="L127" s="942"/>
      <c r="M127" s="52">
        <f t="shared" si="28"/>
        <v>1</v>
      </c>
      <c r="N127" s="942"/>
      <c r="O127" s="52">
        <f t="shared" si="29"/>
        <v>1</v>
      </c>
      <c r="P127" s="942"/>
      <c r="Q127" s="52">
        <f t="shared" si="30"/>
        <v>0</v>
      </c>
      <c r="R127" s="470">
        <f t="shared" si="31"/>
        <v>0</v>
      </c>
      <c r="S127" s="779">
        <f t="shared" si="32"/>
        <v>0</v>
      </c>
    </row>
    <row r="128" spans="1:19">
      <c r="A128" s="944"/>
      <c r="B128" s="131"/>
      <c r="C128" s="52">
        <f t="shared" si="23"/>
        <v>1</v>
      </c>
      <c r="D128" s="942"/>
      <c r="E128" s="52">
        <f t="shared" si="24"/>
        <v>2.5000000000000001E-2</v>
      </c>
      <c r="F128" s="942"/>
      <c r="G128" s="52">
        <f t="shared" si="25"/>
        <v>0.12</v>
      </c>
      <c r="H128" s="942"/>
      <c r="I128" s="52">
        <f t="shared" si="26"/>
        <v>1</v>
      </c>
      <c r="J128" s="942"/>
      <c r="K128" s="52">
        <f t="shared" si="27"/>
        <v>1</v>
      </c>
      <c r="L128" s="942"/>
      <c r="M128" s="52">
        <f t="shared" si="28"/>
        <v>1</v>
      </c>
      <c r="N128" s="942"/>
      <c r="O128" s="52">
        <f t="shared" si="29"/>
        <v>1</v>
      </c>
      <c r="P128" s="942"/>
      <c r="Q128" s="52">
        <f t="shared" si="30"/>
        <v>0</v>
      </c>
      <c r="R128" s="470">
        <f t="shared" si="31"/>
        <v>0</v>
      </c>
      <c r="S128" s="779">
        <f t="shared" si="32"/>
        <v>0</v>
      </c>
    </row>
    <row r="129" spans="1:19">
      <c r="A129" s="944"/>
      <c r="B129" s="131"/>
      <c r="C129" s="52">
        <f t="shared" si="23"/>
        <v>1</v>
      </c>
      <c r="D129" s="942"/>
      <c r="E129" s="52">
        <f t="shared" si="24"/>
        <v>2.5000000000000001E-2</v>
      </c>
      <c r="F129" s="942"/>
      <c r="G129" s="52">
        <f t="shared" si="25"/>
        <v>0.12</v>
      </c>
      <c r="H129" s="942"/>
      <c r="I129" s="52">
        <f t="shared" si="26"/>
        <v>1</v>
      </c>
      <c r="J129" s="942"/>
      <c r="K129" s="52">
        <f t="shared" si="27"/>
        <v>1</v>
      </c>
      <c r="L129" s="942"/>
      <c r="M129" s="52">
        <f t="shared" si="28"/>
        <v>1</v>
      </c>
      <c r="N129" s="942"/>
      <c r="O129" s="52">
        <f t="shared" si="29"/>
        <v>1</v>
      </c>
      <c r="P129" s="942"/>
      <c r="Q129" s="52">
        <f t="shared" si="30"/>
        <v>0</v>
      </c>
      <c r="R129" s="470">
        <f t="shared" si="31"/>
        <v>0</v>
      </c>
      <c r="S129" s="779">
        <f t="shared" si="32"/>
        <v>0</v>
      </c>
    </row>
    <row r="130" spans="1:19">
      <c r="A130" s="944"/>
      <c r="B130" s="131"/>
      <c r="C130" s="52">
        <f t="shared" si="23"/>
        <v>1</v>
      </c>
      <c r="D130" s="942"/>
      <c r="E130" s="52">
        <f t="shared" si="24"/>
        <v>2.5000000000000001E-2</v>
      </c>
      <c r="F130" s="942"/>
      <c r="G130" s="52">
        <f t="shared" si="25"/>
        <v>0.12</v>
      </c>
      <c r="H130" s="942"/>
      <c r="I130" s="52">
        <f t="shared" si="26"/>
        <v>1</v>
      </c>
      <c r="J130" s="942"/>
      <c r="K130" s="52">
        <f t="shared" si="27"/>
        <v>1</v>
      </c>
      <c r="L130" s="942"/>
      <c r="M130" s="52">
        <f t="shared" si="28"/>
        <v>1</v>
      </c>
      <c r="N130" s="942"/>
      <c r="O130" s="52">
        <f t="shared" si="29"/>
        <v>1</v>
      </c>
      <c r="P130" s="942"/>
      <c r="Q130" s="52">
        <f t="shared" si="30"/>
        <v>0</v>
      </c>
      <c r="R130" s="470">
        <f t="shared" si="31"/>
        <v>0</v>
      </c>
      <c r="S130" s="779">
        <f t="shared" si="32"/>
        <v>0</v>
      </c>
    </row>
    <row r="131" spans="1:19">
      <c r="A131" s="944"/>
      <c r="B131" s="131"/>
      <c r="C131" s="52">
        <f t="shared" si="23"/>
        <v>1</v>
      </c>
      <c r="D131" s="942"/>
      <c r="E131" s="52">
        <f t="shared" si="24"/>
        <v>2.5000000000000001E-2</v>
      </c>
      <c r="F131" s="942"/>
      <c r="G131" s="52">
        <f t="shared" si="25"/>
        <v>0.12</v>
      </c>
      <c r="H131" s="942"/>
      <c r="I131" s="52">
        <f t="shared" si="26"/>
        <v>1</v>
      </c>
      <c r="J131" s="942"/>
      <c r="K131" s="52">
        <f t="shared" si="27"/>
        <v>1</v>
      </c>
      <c r="L131" s="942"/>
      <c r="M131" s="52">
        <f t="shared" si="28"/>
        <v>1</v>
      </c>
      <c r="N131" s="942"/>
      <c r="O131" s="52">
        <f t="shared" si="29"/>
        <v>1</v>
      </c>
      <c r="P131" s="942"/>
      <c r="Q131" s="52">
        <f t="shared" si="30"/>
        <v>0</v>
      </c>
      <c r="R131" s="470">
        <f t="shared" si="31"/>
        <v>0</v>
      </c>
      <c r="S131" s="779">
        <f t="shared" si="32"/>
        <v>0</v>
      </c>
    </row>
    <row r="132" spans="1:19">
      <c r="A132" s="944"/>
      <c r="B132" s="131"/>
      <c r="C132" s="52">
        <f t="shared" si="23"/>
        <v>1</v>
      </c>
      <c r="D132" s="942"/>
      <c r="E132" s="52">
        <f t="shared" si="24"/>
        <v>2.5000000000000001E-2</v>
      </c>
      <c r="F132" s="942"/>
      <c r="G132" s="52">
        <f t="shared" si="25"/>
        <v>0.12</v>
      </c>
      <c r="H132" s="942"/>
      <c r="I132" s="52">
        <f t="shared" si="26"/>
        <v>1</v>
      </c>
      <c r="J132" s="942"/>
      <c r="K132" s="52">
        <f t="shared" si="27"/>
        <v>1</v>
      </c>
      <c r="L132" s="942"/>
      <c r="M132" s="52">
        <f t="shared" si="28"/>
        <v>1</v>
      </c>
      <c r="N132" s="942"/>
      <c r="O132" s="52">
        <f t="shared" si="29"/>
        <v>1</v>
      </c>
      <c r="P132" s="942"/>
      <c r="Q132" s="52">
        <f t="shared" si="30"/>
        <v>0</v>
      </c>
      <c r="R132" s="470">
        <f t="shared" si="31"/>
        <v>0</v>
      </c>
      <c r="S132" s="779">
        <f t="shared" si="32"/>
        <v>0</v>
      </c>
    </row>
    <row r="133" spans="1:19">
      <c r="A133" s="944"/>
      <c r="B133" s="131"/>
      <c r="C133" s="52">
        <f t="shared" si="23"/>
        <v>1</v>
      </c>
      <c r="D133" s="942"/>
      <c r="E133" s="52">
        <f t="shared" si="24"/>
        <v>2.5000000000000001E-2</v>
      </c>
      <c r="F133" s="942"/>
      <c r="G133" s="52">
        <f t="shared" si="25"/>
        <v>0.12</v>
      </c>
      <c r="H133" s="942"/>
      <c r="I133" s="52">
        <f t="shared" si="26"/>
        <v>1</v>
      </c>
      <c r="J133" s="942"/>
      <c r="K133" s="52">
        <f t="shared" si="27"/>
        <v>1</v>
      </c>
      <c r="L133" s="942"/>
      <c r="M133" s="52">
        <f t="shared" si="28"/>
        <v>1</v>
      </c>
      <c r="N133" s="942"/>
      <c r="O133" s="52">
        <f t="shared" si="29"/>
        <v>1</v>
      </c>
      <c r="P133" s="942"/>
      <c r="Q133" s="52">
        <f t="shared" si="30"/>
        <v>0</v>
      </c>
      <c r="R133" s="470">
        <f t="shared" si="31"/>
        <v>0</v>
      </c>
      <c r="S133" s="779">
        <f t="shared" si="32"/>
        <v>0</v>
      </c>
    </row>
    <row r="134" spans="1:19">
      <c r="A134" s="944"/>
      <c r="B134" s="131"/>
      <c r="C134" s="52">
        <f t="shared" si="23"/>
        <v>1</v>
      </c>
      <c r="D134" s="942"/>
      <c r="E134" s="52">
        <f t="shared" si="24"/>
        <v>2.5000000000000001E-2</v>
      </c>
      <c r="F134" s="942"/>
      <c r="G134" s="52">
        <f t="shared" si="25"/>
        <v>0.12</v>
      </c>
      <c r="H134" s="942"/>
      <c r="I134" s="52">
        <f t="shared" si="26"/>
        <v>1</v>
      </c>
      <c r="J134" s="942"/>
      <c r="K134" s="52">
        <f t="shared" si="27"/>
        <v>1</v>
      </c>
      <c r="L134" s="942"/>
      <c r="M134" s="52">
        <f t="shared" si="28"/>
        <v>1</v>
      </c>
      <c r="N134" s="942"/>
      <c r="O134" s="52">
        <f t="shared" si="29"/>
        <v>1</v>
      </c>
      <c r="P134" s="942"/>
      <c r="Q134" s="52">
        <f t="shared" si="30"/>
        <v>0</v>
      </c>
      <c r="R134" s="470">
        <f t="shared" si="31"/>
        <v>0</v>
      </c>
      <c r="S134" s="779">
        <f t="shared" si="32"/>
        <v>0</v>
      </c>
    </row>
    <row r="135" spans="1:19">
      <c r="A135" s="944"/>
      <c r="B135" s="131"/>
      <c r="C135" s="52">
        <f t="shared" si="23"/>
        <v>1</v>
      </c>
      <c r="D135" s="942"/>
      <c r="E135" s="52">
        <f t="shared" si="24"/>
        <v>2.5000000000000001E-2</v>
      </c>
      <c r="F135" s="942"/>
      <c r="G135" s="52">
        <f t="shared" si="25"/>
        <v>0.12</v>
      </c>
      <c r="H135" s="942"/>
      <c r="I135" s="52">
        <f t="shared" si="26"/>
        <v>1</v>
      </c>
      <c r="J135" s="942"/>
      <c r="K135" s="52">
        <f t="shared" si="27"/>
        <v>1</v>
      </c>
      <c r="L135" s="942"/>
      <c r="M135" s="52">
        <f t="shared" si="28"/>
        <v>1</v>
      </c>
      <c r="N135" s="942"/>
      <c r="O135" s="52">
        <f t="shared" si="29"/>
        <v>1</v>
      </c>
      <c r="P135" s="942"/>
      <c r="Q135" s="52">
        <f t="shared" si="30"/>
        <v>0</v>
      </c>
      <c r="R135" s="470">
        <f t="shared" si="31"/>
        <v>0</v>
      </c>
      <c r="S135" s="779">
        <f t="shared" si="32"/>
        <v>0</v>
      </c>
    </row>
    <row r="136" spans="1:19">
      <c r="A136" s="944"/>
      <c r="B136" s="131"/>
      <c r="C136" s="52">
        <f t="shared" si="23"/>
        <v>1</v>
      </c>
      <c r="D136" s="942"/>
      <c r="E136" s="52">
        <f t="shared" si="24"/>
        <v>2.5000000000000001E-2</v>
      </c>
      <c r="F136" s="942"/>
      <c r="G136" s="52">
        <f t="shared" si="25"/>
        <v>0.12</v>
      </c>
      <c r="H136" s="942"/>
      <c r="I136" s="52">
        <f t="shared" si="26"/>
        <v>1</v>
      </c>
      <c r="J136" s="942"/>
      <c r="K136" s="52">
        <f t="shared" si="27"/>
        <v>1</v>
      </c>
      <c r="L136" s="942"/>
      <c r="M136" s="52">
        <f t="shared" si="28"/>
        <v>1</v>
      </c>
      <c r="N136" s="942"/>
      <c r="O136" s="52">
        <f t="shared" si="29"/>
        <v>1</v>
      </c>
      <c r="P136" s="942"/>
      <c r="Q136" s="52">
        <f t="shared" si="30"/>
        <v>0</v>
      </c>
      <c r="R136" s="470">
        <f t="shared" si="31"/>
        <v>0</v>
      </c>
      <c r="S136" s="779">
        <f t="shared" si="32"/>
        <v>0</v>
      </c>
    </row>
    <row r="137" spans="1:19">
      <c r="A137" s="944"/>
      <c r="B137" s="131"/>
      <c r="C137" s="52">
        <f t="shared" si="23"/>
        <v>1</v>
      </c>
      <c r="D137" s="942"/>
      <c r="E137" s="52">
        <f t="shared" si="24"/>
        <v>2.5000000000000001E-2</v>
      </c>
      <c r="F137" s="942"/>
      <c r="G137" s="52">
        <f t="shared" si="25"/>
        <v>0.12</v>
      </c>
      <c r="H137" s="942"/>
      <c r="I137" s="52">
        <f t="shared" si="26"/>
        <v>1</v>
      </c>
      <c r="J137" s="942"/>
      <c r="K137" s="52">
        <f t="shared" si="27"/>
        <v>1</v>
      </c>
      <c r="L137" s="942"/>
      <c r="M137" s="52">
        <f t="shared" si="28"/>
        <v>1</v>
      </c>
      <c r="N137" s="942"/>
      <c r="O137" s="52">
        <f t="shared" si="29"/>
        <v>1</v>
      </c>
      <c r="P137" s="942"/>
      <c r="Q137" s="52">
        <f t="shared" si="30"/>
        <v>0</v>
      </c>
      <c r="R137" s="470">
        <f t="shared" si="31"/>
        <v>0</v>
      </c>
      <c r="S137" s="779">
        <f t="shared" si="32"/>
        <v>0</v>
      </c>
    </row>
    <row r="138" spans="1:19">
      <c r="A138" s="944"/>
      <c r="B138" s="131"/>
      <c r="C138" s="52">
        <f t="shared" si="23"/>
        <v>1</v>
      </c>
      <c r="D138" s="942"/>
      <c r="E138" s="52">
        <f t="shared" si="24"/>
        <v>2.5000000000000001E-2</v>
      </c>
      <c r="F138" s="942"/>
      <c r="G138" s="52">
        <f t="shared" si="25"/>
        <v>0.12</v>
      </c>
      <c r="H138" s="942"/>
      <c r="I138" s="52">
        <f t="shared" si="26"/>
        <v>1</v>
      </c>
      <c r="J138" s="942"/>
      <c r="K138" s="52">
        <f t="shared" si="27"/>
        <v>1</v>
      </c>
      <c r="L138" s="942"/>
      <c r="M138" s="52">
        <f t="shared" si="28"/>
        <v>1</v>
      </c>
      <c r="N138" s="942"/>
      <c r="O138" s="52">
        <f t="shared" si="29"/>
        <v>1</v>
      </c>
      <c r="P138" s="942"/>
      <c r="Q138" s="52">
        <f t="shared" si="30"/>
        <v>0</v>
      </c>
      <c r="R138" s="470">
        <f t="shared" si="31"/>
        <v>0</v>
      </c>
      <c r="S138" s="779">
        <f t="shared" si="32"/>
        <v>0</v>
      </c>
    </row>
    <row r="139" spans="1:19">
      <c r="A139" s="944"/>
      <c r="B139" s="131"/>
      <c r="C139" s="52">
        <f t="shared" si="23"/>
        <v>1</v>
      </c>
      <c r="D139" s="942"/>
      <c r="E139" s="52">
        <f t="shared" si="24"/>
        <v>2.5000000000000001E-2</v>
      </c>
      <c r="F139" s="942"/>
      <c r="G139" s="52">
        <f t="shared" si="25"/>
        <v>0.12</v>
      </c>
      <c r="H139" s="942"/>
      <c r="I139" s="52">
        <f t="shared" si="26"/>
        <v>1</v>
      </c>
      <c r="J139" s="942"/>
      <c r="K139" s="52">
        <f t="shared" si="27"/>
        <v>1</v>
      </c>
      <c r="L139" s="942"/>
      <c r="M139" s="52">
        <f t="shared" si="28"/>
        <v>1</v>
      </c>
      <c r="N139" s="942"/>
      <c r="O139" s="52">
        <f t="shared" si="29"/>
        <v>1</v>
      </c>
      <c r="P139" s="942"/>
      <c r="Q139" s="52">
        <f t="shared" si="30"/>
        <v>0</v>
      </c>
      <c r="R139" s="470">
        <f t="shared" si="31"/>
        <v>0</v>
      </c>
      <c r="S139" s="779">
        <f t="shared" si="32"/>
        <v>0</v>
      </c>
    </row>
    <row r="140" spans="1:19">
      <c r="A140" s="944"/>
      <c r="B140" s="131"/>
      <c r="C140" s="52">
        <f t="shared" si="23"/>
        <v>1</v>
      </c>
      <c r="D140" s="942"/>
      <c r="E140" s="52">
        <f t="shared" si="24"/>
        <v>2.5000000000000001E-2</v>
      </c>
      <c r="F140" s="942"/>
      <c r="G140" s="52">
        <f t="shared" si="25"/>
        <v>0.12</v>
      </c>
      <c r="H140" s="942"/>
      <c r="I140" s="52">
        <f t="shared" si="26"/>
        <v>1</v>
      </c>
      <c r="J140" s="942"/>
      <c r="K140" s="52">
        <f t="shared" si="27"/>
        <v>1</v>
      </c>
      <c r="L140" s="942"/>
      <c r="M140" s="52">
        <f t="shared" si="28"/>
        <v>1</v>
      </c>
      <c r="N140" s="942"/>
      <c r="O140" s="52">
        <f t="shared" si="29"/>
        <v>1</v>
      </c>
      <c r="P140" s="942"/>
      <c r="Q140" s="52">
        <f t="shared" si="30"/>
        <v>0</v>
      </c>
      <c r="R140" s="470">
        <f t="shared" si="31"/>
        <v>0</v>
      </c>
      <c r="S140" s="779">
        <f t="shared" si="32"/>
        <v>0</v>
      </c>
    </row>
    <row r="141" spans="1:19">
      <c r="A141" s="944"/>
      <c r="B141" s="131"/>
      <c r="C141" s="52">
        <f t="shared" si="23"/>
        <v>1</v>
      </c>
      <c r="D141" s="942"/>
      <c r="E141" s="52">
        <f t="shared" si="24"/>
        <v>2.5000000000000001E-2</v>
      </c>
      <c r="F141" s="942"/>
      <c r="G141" s="52">
        <f t="shared" si="25"/>
        <v>0.12</v>
      </c>
      <c r="H141" s="942"/>
      <c r="I141" s="52">
        <f t="shared" si="26"/>
        <v>1</v>
      </c>
      <c r="J141" s="942"/>
      <c r="K141" s="52">
        <f t="shared" si="27"/>
        <v>1</v>
      </c>
      <c r="L141" s="942"/>
      <c r="M141" s="52">
        <f t="shared" si="28"/>
        <v>1</v>
      </c>
      <c r="N141" s="942"/>
      <c r="O141" s="52">
        <f t="shared" si="29"/>
        <v>1</v>
      </c>
      <c r="P141" s="942"/>
      <c r="Q141" s="52">
        <f t="shared" si="30"/>
        <v>0</v>
      </c>
      <c r="R141" s="470">
        <f t="shared" si="31"/>
        <v>0</v>
      </c>
      <c r="S141" s="779">
        <f t="shared" si="32"/>
        <v>0</v>
      </c>
    </row>
    <row r="142" spans="1:19">
      <c r="A142" s="944"/>
      <c r="B142" s="131"/>
      <c r="C142" s="52">
        <f t="shared" si="23"/>
        <v>1</v>
      </c>
      <c r="D142" s="942"/>
      <c r="E142" s="52">
        <f t="shared" si="24"/>
        <v>2.5000000000000001E-2</v>
      </c>
      <c r="F142" s="942"/>
      <c r="G142" s="52">
        <f t="shared" si="25"/>
        <v>0.12</v>
      </c>
      <c r="H142" s="942"/>
      <c r="I142" s="52">
        <f t="shared" si="26"/>
        <v>1</v>
      </c>
      <c r="J142" s="942"/>
      <c r="K142" s="52">
        <f t="shared" si="27"/>
        <v>1</v>
      </c>
      <c r="L142" s="942"/>
      <c r="M142" s="52">
        <f t="shared" si="28"/>
        <v>1</v>
      </c>
      <c r="N142" s="942"/>
      <c r="O142" s="52">
        <f t="shared" si="29"/>
        <v>1</v>
      </c>
      <c r="P142" s="942"/>
      <c r="Q142" s="52">
        <f t="shared" si="30"/>
        <v>0</v>
      </c>
      <c r="R142" s="470">
        <f t="shared" si="31"/>
        <v>0</v>
      </c>
      <c r="S142" s="779">
        <f t="shared" si="32"/>
        <v>0</v>
      </c>
    </row>
    <row r="143" spans="1:19">
      <c r="A143" s="944"/>
      <c r="B143" s="131"/>
      <c r="C143" s="52">
        <f t="shared" si="23"/>
        <v>1</v>
      </c>
      <c r="D143" s="942"/>
      <c r="E143" s="52">
        <f t="shared" si="24"/>
        <v>2.5000000000000001E-2</v>
      </c>
      <c r="F143" s="942"/>
      <c r="G143" s="52">
        <f t="shared" si="25"/>
        <v>0.12</v>
      </c>
      <c r="H143" s="942"/>
      <c r="I143" s="52">
        <f t="shared" si="26"/>
        <v>1</v>
      </c>
      <c r="J143" s="942"/>
      <c r="K143" s="52">
        <f t="shared" si="27"/>
        <v>1</v>
      </c>
      <c r="L143" s="942"/>
      <c r="M143" s="52">
        <f t="shared" si="28"/>
        <v>1</v>
      </c>
      <c r="N143" s="942"/>
      <c r="O143" s="52">
        <f t="shared" si="29"/>
        <v>1</v>
      </c>
      <c r="P143" s="942"/>
      <c r="Q143" s="52">
        <f t="shared" si="30"/>
        <v>0</v>
      </c>
      <c r="R143" s="470">
        <f t="shared" si="31"/>
        <v>0</v>
      </c>
      <c r="S143" s="779">
        <f t="shared" si="32"/>
        <v>0</v>
      </c>
    </row>
    <row r="144" spans="1:19">
      <c r="A144" s="944"/>
      <c r="B144" s="131"/>
      <c r="C144" s="52">
        <f t="shared" si="23"/>
        <v>1</v>
      </c>
      <c r="D144" s="942"/>
      <c r="E144" s="52">
        <f t="shared" si="24"/>
        <v>2.5000000000000001E-2</v>
      </c>
      <c r="F144" s="942"/>
      <c r="G144" s="52">
        <f t="shared" si="25"/>
        <v>0.12</v>
      </c>
      <c r="H144" s="942"/>
      <c r="I144" s="52">
        <f t="shared" si="26"/>
        <v>1</v>
      </c>
      <c r="J144" s="942"/>
      <c r="K144" s="52">
        <f t="shared" si="27"/>
        <v>1</v>
      </c>
      <c r="L144" s="942"/>
      <c r="M144" s="52">
        <f t="shared" si="28"/>
        <v>1</v>
      </c>
      <c r="N144" s="942"/>
      <c r="O144" s="52">
        <f t="shared" si="29"/>
        <v>1</v>
      </c>
      <c r="P144" s="942"/>
      <c r="Q144" s="52">
        <f t="shared" si="30"/>
        <v>0</v>
      </c>
      <c r="R144" s="470">
        <f t="shared" si="31"/>
        <v>0</v>
      </c>
      <c r="S144" s="779">
        <f t="shared" si="32"/>
        <v>0</v>
      </c>
    </row>
    <row r="145" spans="1:19">
      <c r="A145" s="944"/>
      <c r="B145" s="131"/>
      <c r="C145" s="52">
        <f t="shared" si="23"/>
        <v>1</v>
      </c>
      <c r="D145" s="942"/>
      <c r="E145" s="52">
        <f t="shared" si="24"/>
        <v>2.5000000000000001E-2</v>
      </c>
      <c r="F145" s="942"/>
      <c r="G145" s="52">
        <f t="shared" si="25"/>
        <v>0.12</v>
      </c>
      <c r="H145" s="942"/>
      <c r="I145" s="52">
        <f t="shared" si="26"/>
        <v>1</v>
      </c>
      <c r="J145" s="942"/>
      <c r="K145" s="52">
        <f t="shared" si="27"/>
        <v>1</v>
      </c>
      <c r="L145" s="942"/>
      <c r="M145" s="52">
        <f t="shared" si="28"/>
        <v>1</v>
      </c>
      <c r="N145" s="942"/>
      <c r="O145" s="52">
        <f t="shared" si="29"/>
        <v>1</v>
      </c>
      <c r="P145" s="942"/>
      <c r="Q145" s="52">
        <f t="shared" si="30"/>
        <v>0</v>
      </c>
      <c r="R145" s="470">
        <f t="shared" si="31"/>
        <v>0</v>
      </c>
      <c r="S145" s="779">
        <f t="shared" si="32"/>
        <v>0</v>
      </c>
    </row>
    <row r="146" spans="1:19">
      <c r="A146" s="944"/>
      <c r="B146" s="131"/>
      <c r="C146" s="52">
        <f t="shared" si="23"/>
        <v>1</v>
      </c>
      <c r="D146" s="942"/>
      <c r="E146" s="52">
        <f t="shared" si="24"/>
        <v>2.5000000000000001E-2</v>
      </c>
      <c r="F146" s="942"/>
      <c r="G146" s="52">
        <f t="shared" si="25"/>
        <v>0.12</v>
      </c>
      <c r="H146" s="942"/>
      <c r="I146" s="52">
        <f t="shared" si="26"/>
        <v>1</v>
      </c>
      <c r="J146" s="942"/>
      <c r="K146" s="52">
        <f t="shared" si="27"/>
        <v>1</v>
      </c>
      <c r="L146" s="942"/>
      <c r="M146" s="52">
        <f t="shared" si="28"/>
        <v>1</v>
      </c>
      <c r="N146" s="942"/>
      <c r="O146" s="52">
        <f t="shared" si="29"/>
        <v>1</v>
      </c>
      <c r="P146" s="942"/>
      <c r="Q146" s="52">
        <f t="shared" si="30"/>
        <v>0</v>
      </c>
      <c r="R146" s="470">
        <f t="shared" si="31"/>
        <v>0</v>
      </c>
      <c r="S146" s="779">
        <f t="shared" si="32"/>
        <v>0</v>
      </c>
    </row>
    <row r="147" spans="1:19">
      <c r="A147" s="944"/>
      <c r="B147" s="131"/>
      <c r="C147" s="52">
        <f t="shared" si="23"/>
        <v>1</v>
      </c>
      <c r="D147" s="942"/>
      <c r="E147" s="52">
        <f t="shared" si="24"/>
        <v>2.5000000000000001E-2</v>
      </c>
      <c r="F147" s="942"/>
      <c r="G147" s="52">
        <f t="shared" si="25"/>
        <v>0.12</v>
      </c>
      <c r="H147" s="942"/>
      <c r="I147" s="52">
        <f t="shared" si="26"/>
        <v>1</v>
      </c>
      <c r="J147" s="942"/>
      <c r="K147" s="52">
        <f t="shared" si="27"/>
        <v>1</v>
      </c>
      <c r="L147" s="942"/>
      <c r="M147" s="52">
        <f t="shared" si="28"/>
        <v>1</v>
      </c>
      <c r="N147" s="942"/>
      <c r="O147" s="52">
        <f t="shared" si="29"/>
        <v>1</v>
      </c>
      <c r="P147" s="942"/>
      <c r="Q147" s="52">
        <f t="shared" si="30"/>
        <v>0</v>
      </c>
      <c r="R147" s="470">
        <f t="shared" si="31"/>
        <v>0</v>
      </c>
      <c r="S147" s="779">
        <f t="shared" si="32"/>
        <v>0</v>
      </c>
    </row>
    <row r="148" spans="1:19">
      <c r="A148" s="944"/>
      <c r="B148" s="131"/>
      <c r="C148" s="52">
        <f t="shared" si="23"/>
        <v>1</v>
      </c>
      <c r="D148" s="942"/>
      <c r="E148" s="52">
        <f t="shared" si="24"/>
        <v>2.5000000000000001E-2</v>
      </c>
      <c r="F148" s="942"/>
      <c r="G148" s="52">
        <f t="shared" si="25"/>
        <v>0.12</v>
      </c>
      <c r="H148" s="942"/>
      <c r="I148" s="52">
        <f t="shared" si="26"/>
        <v>1</v>
      </c>
      <c r="J148" s="942"/>
      <c r="K148" s="52">
        <f t="shared" si="27"/>
        <v>1</v>
      </c>
      <c r="L148" s="942"/>
      <c r="M148" s="52">
        <f t="shared" si="28"/>
        <v>1</v>
      </c>
      <c r="N148" s="942"/>
      <c r="O148" s="52">
        <f t="shared" si="29"/>
        <v>1</v>
      </c>
      <c r="P148" s="942"/>
      <c r="Q148" s="52">
        <f t="shared" si="30"/>
        <v>0</v>
      </c>
      <c r="R148" s="470">
        <f t="shared" si="31"/>
        <v>0</v>
      </c>
      <c r="S148" s="779">
        <f t="shared" si="32"/>
        <v>0</v>
      </c>
    </row>
    <row r="149" spans="1:19">
      <c r="A149" s="944"/>
      <c r="B149" s="131"/>
      <c r="C149" s="52">
        <f t="shared" si="23"/>
        <v>1</v>
      </c>
      <c r="D149" s="942"/>
      <c r="E149" s="52">
        <f t="shared" si="24"/>
        <v>2.5000000000000001E-2</v>
      </c>
      <c r="F149" s="942"/>
      <c r="G149" s="52">
        <f t="shared" si="25"/>
        <v>0.12</v>
      </c>
      <c r="H149" s="942"/>
      <c r="I149" s="52">
        <f t="shared" si="26"/>
        <v>1</v>
      </c>
      <c r="J149" s="942"/>
      <c r="K149" s="52">
        <f t="shared" si="27"/>
        <v>1</v>
      </c>
      <c r="L149" s="942"/>
      <c r="M149" s="52">
        <f t="shared" si="28"/>
        <v>1</v>
      </c>
      <c r="N149" s="942"/>
      <c r="O149" s="52">
        <f t="shared" si="29"/>
        <v>1</v>
      </c>
      <c r="P149" s="942"/>
      <c r="Q149" s="52">
        <f t="shared" si="30"/>
        <v>0</v>
      </c>
      <c r="R149" s="470">
        <f t="shared" si="31"/>
        <v>0</v>
      </c>
      <c r="S149" s="779">
        <f t="shared" si="32"/>
        <v>0</v>
      </c>
    </row>
    <row r="150" spans="1:19">
      <c r="A150" s="944"/>
      <c r="B150" s="131"/>
      <c r="C150" s="52">
        <f t="shared" si="23"/>
        <v>1</v>
      </c>
      <c r="D150" s="942"/>
      <c r="E150" s="52">
        <f t="shared" si="24"/>
        <v>2.5000000000000001E-2</v>
      </c>
      <c r="F150" s="942"/>
      <c r="G150" s="52">
        <f t="shared" si="25"/>
        <v>0.12</v>
      </c>
      <c r="H150" s="942"/>
      <c r="I150" s="52">
        <f t="shared" si="26"/>
        <v>1</v>
      </c>
      <c r="J150" s="942"/>
      <c r="K150" s="52">
        <f t="shared" si="27"/>
        <v>1</v>
      </c>
      <c r="L150" s="942"/>
      <c r="M150" s="52">
        <f t="shared" si="28"/>
        <v>1</v>
      </c>
      <c r="N150" s="942"/>
      <c r="O150" s="52">
        <f t="shared" si="29"/>
        <v>1</v>
      </c>
      <c r="P150" s="942"/>
      <c r="Q150" s="52">
        <f t="shared" si="30"/>
        <v>0</v>
      </c>
      <c r="R150" s="470">
        <f t="shared" si="31"/>
        <v>0</v>
      </c>
      <c r="S150" s="779">
        <f t="shared" si="32"/>
        <v>0</v>
      </c>
    </row>
    <row r="151" spans="1:19">
      <c r="A151" s="944"/>
      <c r="B151" s="131"/>
      <c r="C151" s="52">
        <f t="shared" si="23"/>
        <v>1</v>
      </c>
      <c r="D151" s="942"/>
      <c r="E151" s="52">
        <f t="shared" si="24"/>
        <v>2.5000000000000001E-2</v>
      </c>
      <c r="F151" s="942"/>
      <c r="G151" s="52">
        <f t="shared" si="25"/>
        <v>0.12</v>
      </c>
      <c r="H151" s="942"/>
      <c r="I151" s="52">
        <f t="shared" si="26"/>
        <v>1</v>
      </c>
      <c r="J151" s="942"/>
      <c r="K151" s="52">
        <f t="shared" si="27"/>
        <v>1</v>
      </c>
      <c r="L151" s="942"/>
      <c r="M151" s="52">
        <f t="shared" si="28"/>
        <v>1</v>
      </c>
      <c r="N151" s="942"/>
      <c r="O151" s="52">
        <f t="shared" si="29"/>
        <v>1</v>
      </c>
      <c r="P151" s="942"/>
      <c r="Q151" s="52">
        <f t="shared" si="30"/>
        <v>0</v>
      </c>
      <c r="R151" s="470">
        <f t="shared" si="31"/>
        <v>0</v>
      </c>
      <c r="S151" s="779">
        <f t="shared" si="32"/>
        <v>0</v>
      </c>
    </row>
    <row r="152" spans="1:19">
      <c r="A152" s="944"/>
      <c r="B152" s="131"/>
      <c r="C152" s="52">
        <f t="shared" si="23"/>
        <v>1</v>
      </c>
      <c r="D152" s="942"/>
      <c r="E152" s="52">
        <f t="shared" si="24"/>
        <v>2.5000000000000001E-2</v>
      </c>
      <c r="F152" s="942"/>
      <c r="G152" s="52">
        <f t="shared" si="25"/>
        <v>0.12</v>
      </c>
      <c r="H152" s="942"/>
      <c r="I152" s="52">
        <f t="shared" si="26"/>
        <v>1</v>
      </c>
      <c r="J152" s="942"/>
      <c r="K152" s="52">
        <f t="shared" si="27"/>
        <v>1</v>
      </c>
      <c r="L152" s="942"/>
      <c r="M152" s="52">
        <f t="shared" si="28"/>
        <v>1</v>
      </c>
      <c r="N152" s="942"/>
      <c r="O152" s="52">
        <f t="shared" si="29"/>
        <v>1</v>
      </c>
      <c r="P152" s="942"/>
      <c r="Q152" s="52">
        <f t="shared" si="30"/>
        <v>0</v>
      </c>
      <c r="R152" s="470">
        <f t="shared" si="31"/>
        <v>0</v>
      </c>
      <c r="S152" s="779">
        <f t="shared" si="32"/>
        <v>0</v>
      </c>
    </row>
    <row r="153" spans="1:19">
      <c r="A153" s="944"/>
      <c r="B153" s="131"/>
      <c r="C153" s="52">
        <f t="shared" si="23"/>
        <v>1</v>
      </c>
      <c r="D153" s="942"/>
      <c r="E153" s="52">
        <f t="shared" si="24"/>
        <v>2.5000000000000001E-2</v>
      </c>
      <c r="F153" s="942"/>
      <c r="G153" s="52">
        <f t="shared" si="25"/>
        <v>0.12</v>
      </c>
      <c r="H153" s="942"/>
      <c r="I153" s="52">
        <f t="shared" si="26"/>
        <v>1</v>
      </c>
      <c r="J153" s="942"/>
      <c r="K153" s="52">
        <f t="shared" si="27"/>
        <v>1</v>
      </c>
      <c r="L153" s="942"/>
      <c r="M153" s="52">
        <f t="shared" si="28"/>
        <v>1</v>
      </c>
      <c r="N153" s="942"/>
      <c r="O153" s="52">
        <f t="shared" si="29"/>
        <v>1</v>
      </c>
      <c r="P153" s="942"/>
      <c r="Q153" s="52">
        <f t="shared" si="30"/>
        <v>0</v>
      </c>
      <c r="R153" s="470">
        <f t="shared" si="31"/>
        <v>0</v>
      </c>
      <c r="S153" s="779">
        <f t="shared" si="32"/>
        <v>0</v>
      </c>
    </row>
    <row r="154" spans="1:19">
      <c r="A154" s="944"/>
      <c r="B154" s="131"/>
      <c r="C154" s="52">
        <f t="shared" ref="C154:C217" si="33">IF(B154="",1,(LOOKUP(B154,$3:$3,$4:$4)-LOOKUP($B$24,$3:$3,$4:$4)+100)/100)</f>
        <v>1</v>
      </c>
      <c r="D154" s="942"/>
      <c r="E154" s="52">
        <f t="shared" ref="E154:E217" si="34">(SUMIF($5:$5,D154,$6:$6)-SUMIF($5:$5,$D$24,$6:$6)+100)/100</f>
        <v>2.5000000000000001E-2</v>
      </c>
      <c r="F154" s="942"/>
      <c r="G154" s="52">
        <f t="shared" ref="G154:G217" si="35">(SUMIF($7:$7,F154,$8:$8)-SUMIF($7:$7,$F$24,$8:$8)+100)/100</f>
        <v>0.12</v>
      </c>
      <c r="H154" s="942"/>
      <c r="I154" s="52">
        <f t="shared" ref="I154:I217" si="36">(SUMIF($9:$9,H154,$10:$10)-SUMIF($9:$9,$H$24,$10:$10)+100)/100</f>
        <v>1</v>
      </c>
      <c r="J154" s="942"/>
      <c r="K154" s="52">
        <f t="shared" ref="K154:K217" si="37">(SUMIF($11:$11,J154,$12:$12)-SUMIF($11:$11,$J$24,$12:$12)+100)/100</f>
        <v>1</v>
      </c>
      <c r="L154" s="942"/>
      <c r="M154" s="52">
        <f t="shared" ref="M154:M217" si="38">(SUMIF($13:$13,L154,$14:$14)-SUMIF($13:$13,$L$24,$14:$14)+100)/100</f>
        <v>1</v>
      </c>
      <c r="N154" s="942"/>
      <c r="O154" s="52">
        <f t="shared" ref="O154:O217" si="39">(SUMIF($15:$15,N154,$16:$16)-SUMIF($15:$15,$N$24,$16:$16)+100)/100</f>
        <v>1</v>
      </c>
      <c r="P154" s="942"/>
      <c r="Q154" s="52">
        <f t="shared" ref="Q154:Q217" si="40">(SUMIF($17:$17,P154,$18:$18)-SUMIF($17:$17,$P$24,$18:$18)+100)/100</f>
        <v>0</v>
      </c>
      <c r="R154" s="470">
        <f t="shared" ref="R154:R217" si="41">IF(B154="",0,ROUND($R$24*C154*E154*G154*I154*K154*M154*O154*Q154,0))</f>
        <v>0</v>
      </c>
      <c r="S154" s="779">
        <f t="shared" si="32"/>
        <v>0</v>
      </c>
    </row>
    <row r="155" spans="1:19">
      <c r="A155" s="944"/>
      <c r="B155" s="131"/>
      <c r="C155" s="52">
        <f t="shared" si="33"/>
        <v>1</v>
      </c>
      <c r="D155" s="942"/>
      <c r="E155" s="52">
        <f t="shared" si="34"/>
        <v>2.5000000000000001E-2</v>
      </c>
      <c r="F155" s="942"/>
      <c r="G155" s="52">
        <f t="shared" si="35"/>
        <v>0.12</v>
      </c>
      <c r="H155" s="942"/>
      <c r="I155" s="52">
        <f t="shared" si="36"/>
        <v>1</v>
      </c>
      <c r="J155" s="942"/>
      <c r="K155" s="52">
        <f t="shared" si="37"/>
        <v>1</v>
      </c>
      <c r="L155" s="942"/>
      <c r="M155" s="52">
        <f t="shared" si="38"/>
        <v>1</v>
      </c>
      <c r="N155" s="942"/>
      <c r="O155" s="52">
        <f t="shared" si="39"/>
        <v>1</v>
      </c>
      <c r="P155" s="942"/>
      <c r="Q155" s="52">
        <f t="shared" si="40"/>
        <v>0</v>
      </c>
      <c r="R155" s="470">
        <f t="shared" si="41"/>
        <v>0</v>
      </c>
      <c r="S155" s="779">
        <f t="shared" si="32"/>
        <v>0</v>
      </c>
    </row>
    <row r="156" spans="1:19">
      <c r="A156" s="944"/>
      <c r="B156" s="131"/>
      <c r="C156" s="52">
        <f t="shared" si="33"/>
        <v>1</v>
      </c>
      <c r="D156" s="942"/>
      <c r="E156" s="52">
        <f t="shared" si="34"/>
        <v>2.5000000000000001E-2</v>
      </c>
      <c r="F156" s="942"/>
      <c r="G156" s="52">
        <f t="shared" si="35"/>
        <v>0.12</v>
      </c>
      <c r="H156" s="942"/>
      <c r="I156" s="52">
        <f t="shared" si="36"/>
        <v>1</v>
      </c>
      <c r="J156" s="942"/>
      <c r="K156" s="52">
        <f t="shared" si="37"/>
        <v>1</v>
      </c>
      <c r="L156" s="942"/>
      <c r="M156" s="52">
        <f t="shared" si="38"/>
        <v>1</v>
      </c>
      <c r="N156" s="942"/>
      <c r="O156" s="52">
        <f t="shared" si="39"/>
        <v>1</v>
      </c>
      <c r="P156" s="942"/>
      <c r="Q156" s="52">
        <f t="shared" si="40"/>
        <v>0</v>
      </c>
      <c r="R156" s="470">
        <f t="shared" si="41"/>
        <v>0</v>
      </c>
      <c r="S156" s="779">
        <f t="shared" si="32"/>
        <v>0</v>
      </c>
    </row>
    <row r="157" spans="1:19">
      <c r="A157" s="944"/>
      <c r="B157" s="131"/>
      <c r="C157" s="52">
        <f t="shared" si="33"/>
        <v>1</v>
      </c>
      <c r="D157" s="942"/>
      <c r="E157" s="52">
        <f t="shared" si="34"/>
        <v>2.5000000000000001E-2</v>
      </c>
      <c r="F157" s="942"/>
      <c r="G157" s="52">
        <f t="shared" si="35"/>
        <v>0.12</v>
      </c>
      <c r="H157" s="942"/>
      <c r="I157" s="52">
        <f t="shared" si="36"/>
        <v>1</v>
      </c>
      <c r="J157" s="942"/>
      <c r="K157" s="52">
        <f t="shared" si="37"/>
        <v>1</v>
      </c>
      <c r="L157" s="942"/>
      <c r="M157" s="52">
        <f t="shared" si="38"/>
        <v>1</v>
      </c>
      <c r="N157" s="942"/>
      <c r="O157" s="52">
        <f t="shared" si="39"/>
        <v>1</v>
      </c>
      <c r="P157" s="942"/>
      <c r="Q157" s="52">
        <f t="shared" si="40"/>
        <v>0</v>
      </c>
      <c r="R157" s="470">
        <f t="shared" si="41"/>
        <v>0</v>
      </c>
      <c r="S157" s="779">
        <f t="shared" si="32"/>
        <v>0</v>
      </c>
    </row>
    <row r="158" spans="1:19">
      <c r="A158" s="944"/>
      <c r="B158" s="131"/>
      <c r="C158" s="52">
        <f t="shared" si="33"/>
        <v>1</v>
      </c>
      <c r="D158" s="942"/>
      <c r="E158" s="52">
        <f t="shared" si="34"/>
        <v>2.5000000000000001E-2</v>
      </c>
      <c r="F158" s="942"/>
      <c r="G158" s="52">
        <f t="shared" si="35"/>
        <v>0.12</v>
      </c>
      <c r="H158" s="942"/>
      <c r="I158" s="52">
        <f t="shared" si="36"/>
        <v>1</v>
      </c>
      <c r="J158" s="942"/>
      <c r="K158" s="52">
        <f t="shared" si="37"/>
        <v>1</v>
      </c>
      <c r="L158" s="942"/>
      <c r="M158" s="52">
        <f t="shared" si="38"/>
        <v>1</v>
      </c>
      <c r="N158" s="942"/>
      <c r="O158" s="52">
        <f t="shared" si="39"/>
        <v>1</v>
      </c>
      <c r="P158" s="942"/>
      <c r="Q158" s="52">
        <f t="shared" si="40"/>
        <v>0</v>
      </c>
      <c r="R158" s="470">
        <f t="shared" si="41"/>
        <v>0</v>
      </c>
      <c r="S158" s="779">
        <f t="shared" si="32"/>
        <v>0</v>
      </c>
    </row>
    <row r="159" spans="1:19">
      <c r="A159" s="944"/>
      <c r="B159" s="131"/>
      <c r="C159" s="52">
        <f t="shared" si="33"/>
        <v>1</v>
      </c>
      <c r="D159" s="942"/>
      <c r="E159" s="52">
        <f t="shared" si="34"/>
        <v>2.5000000000000001E-2</v>
      </c>
      <c r="F159" s="942"/>
      <c r="G159" s="52">
        <f t="shared" si="35"/>
        <v>0.12</v>
      </c>
      <c r="H159" s="942"/>
      <c r="I159" s="52">
        <f t="shared" si="36"/>
        <v>1</v>
      </c>
      <c r="J159" s="942"/>
      <c r="K159" s="52">
        <f t="shared" si="37"/>
        <v>1</v>
      </c>
      <c r="L159" s="942"/>
      <c r="M159" s="52">
        <f t="shared" si="38"/>
        <v>1</v>
      </c>
      <c r="N159" s="942"/>
      <c r="O159" s="52">
        <f t="shared" si="39"/>
        <v>1</v>
      </c>
      <c r="P159" s="942"/>
      <c r="Q159" s="52">
        <f t="shared" si="40"/>
        <v>0</v>
      </c>
      <c r="R159" s="470">
        <f t="shared" si="41"/>
        <v>0</v>
      </c>
      <c r="S159" s="779">
        <f t="shared" si="32"/>
        <v>0</v>
      </c>
    </row>
    <row r="160" spans="1:19">
      <c r="A160" s="944"/>
      <c r="B160" s="131"/>
      <c r="C160" s="52">
        <f t="shared" si="33"/>
        <v>1</v>
      </c>
      <c r="D160" s="942"/>
      <c r="E160" s="52">
        <f t="shared" si="34"/>
        <v>2.5000000000000001E-2</v>
      </c>
      <c r="F160" s="942"/>
      <c r="G160" s="52">
        <f t="shared" si="35"/>
        <v>0.12</v>
      </c>
      <c r="H160" s="942"/>
      <c r="I160" s="52">
        <f t="shared" si="36"/>
        <v>1</v>
      </c>
      <c r="J160" s="942"/>
      <c r="K160" s="52">
        <f t="shared" si="37"/>
        <v>1</v>
      </c>
      <c r="L160" s="942"/>
      <c r="M160" s="52">
        <f t="shared" si="38"/>
        <v>1</v>
      </c>
      <c r="N160" s="942"/>
      <c r="O160" s="52">
        <f t="shared" si="39"/>
        <v>1</v>
      </c>
      <c r="P160" s="942"/>
      <c r="Q160" s="52">
        <f t="shared" si="40"/>
        <v>0</v>
      </c>
      <c r="R160" s="470">
        <f t="shared" si="41"/>
        <v>0</v>
      </c>
      <c r="S160" s="779">
        <f t="shared" si="32"/>
        <v>0</v>
      </c>
    </row>
    <row r="161" spans="1:19">
      <c r="A161" s="944"/>
      <c r="B161" s="131"/>
      <c r="C161" s="52">
        <f t="shared" si="33"/>
        <v>1</v>
      </c>
      <c r="D161" s="942"/>
      <c r="E161" s="52">
        <f t="shared" si="34"/>
        <v>2.5000000000000001E-2</v>
      </c>
      <c r="F161" s="942"/>
      <c r="G161" s="52">
        <f t="shared" si="35"/>
        <v>0.12</v>
      </c>
      <c r="H161" s="942"/>
      <c r="I161" s="52">
        <f t="shared" si="36"/>
        <v>1</v>
      </c>
      <c r="J161" s="942"/>
      <c r="K161" s="52">
        <f t="shared" si="37"/>
        <v>1</v>
      </c>
      <c r="L161" s="942"/>
      <c r="M161" s="52">
        <f t="shared" si="38"/>
        <v>1</v>
      </c>
      <c r="N161" s="942"/>
      <c r="O161" s="52">
        <f t="shared" si="39"/>
        <v>1</v>
      </c>
      <c r="P161" s="942"/>
      <c r="Q161" s="52">
        <f t="shared" si="40"/>
        <v>0</v>
      </c>
      <c r="R161" s="470">
        <f t="shared" si="41"/>
        <v>0</v>
      </c>
      <c r="S161" s="779">
        <f t="shared" si="32"/>
        <v>0</v>
      </c>
    </row>
    <row r="162" spans="1:19">
      <c r="A162" s="944"/>
      <c r="B162" s="131"/>
      <c r="C162" s="52">
        <f t="shared" si="33"/>
        <v>1</v>
      </c>
      <c r="D162" s="942"/>
      <c r="E162" s="52">
        <f t="shared" si="34"/>
        <v>2.5000000000000001E-2</v>
      </c>
      <c r="F162" s="942"/>
      <c r="G162" s="52">
        <f t="shared" si="35"/>
        <v>0.12</v>
      </c>
      <c r="H162" s="942"/>
      <c r="I162" s="52">
        <f t="shared" si="36"/>
        <v>1</v>
      </c>
      <c r="J162" s="942"/>
      <c r="K162" s="52">
        <f t="shared" si="37"/>
        <v>1</v>
      </c>
      <c r="L162" s="942"/>
      <c r="M162" s="52">
        <f t="shared" si="38"/>
        <v>1</v>
      </c>
      <c r="N162" s="942"/>
      <c r="O162" s="52">
        <f t="shared" si="39"/>
        <v>1</v>
      </c>
      <c r="P162" s="942"/>
      <c r="Q162" s="52">
        <f t="shared" si="40"/>
        <v>0</v>
      </c>
      <c r="R162" s="470">
        <f t="shared" si="41"/>
        <v>0</v>
      </c>
      <c r="S162" s="779">
        <f t="shared" si="32"/>
        <v>0</v>
      </c>
    </row>
    <row r="163" spans="1:19">
      <c r="A163" s="944"/>
      <c r="B163" s="131"/>
      <c r="C163" s="52">
        <f t="shared" si="33"/>
        <v>1</v>
      </c>
      <c r="D163" s="942"/>
      <c r="E163" s="52">
        <f t="shared" si="34"/>
        <v>2.5000000000000001E-2</v>
      </c>
      <c r="F163" s="942"/>
      <c r="G163" s="52">
        <f t="shared" si="35"/>
        <v>0.12</v>
      </c>
      <c r="H163" s="942"/>
      <c r="I163" s="52">
        <f t="shared" si="36"/>
        <v>1</v>
      </c>
      <c r="J163" s="942"/>
      <c r="K163" s="52">
        <f t="shared" si="37"/>
        <v>1</v>
      </c>
      <c r="L163" s="942"/>
      <c r="M163" s="52">
        <f t="shared" si="38"/>
        <v>1</v>
      </c>
      <c r="N163" s="942"/>
      <c r="O163" s="52">
        <f t="shared" si="39"/>
        <v>1</v>
      </c>
      <c r="P163" s="942"/>
      <c r="Q163" s="52">
        <f t="shared" si="40"/>
        <v>0</v>
      </c>
      <c r="R163" s="470">
        <f t="shared" si="41"/>
        <v>0</v>
      </c>
      <c r="S163" s="779">
        <f t="shared" si="32"/>
        <v>0</v>
      </c>
    </row>
    <row r="164" spans="1:19">
      <c r="A164" s="944"/>
      <c r="B164" s="131"/>
      <c r="C164" s="52">
        <f t="shared" si="33"/>
        <v>1</v>
      </c>
      <c r="D164" s="942"/>
      <c r="E164" s="52">
        <f t="shared" si="34"/>
        <v>2.5000000000000001E-2</v>
      </c>
      <c r="F164" s="942"/>
      <c r="G164" s="52">
        <f t="shared" si="35"/>
        <v>0.12</v>
      </c>
      <c r="H164" s="942"/>
      <c r="I164" s="52">
        <f t="shared" si="36"/>
        <v>1</v>
      </c>
      <c r="J164" s="942"/>
      <c r="K164" s="52">
        <f t="shared" si="37"/>
        <v>1</v>
      </c>
      <c r="L164" s="942"/>
      <c r="M164" s="52">
        <f t="shared" si="38"/>
        <v>1</v>
      </c>
      <c r="N164" s="942"/>
      <c r="O164" s="52">
        <f t="shared" si="39"/>
        <v>1</v>
      </c>
      <c r="P164" s="942"/>
      <c r="Q164" s="52">
        <f t="shared" si="40"/>
        <v>0</v>
      </c>
      <c r="R164" s="470">
        <f t="shared" si="41"/>
        <v>0</v>
      </c>
      <c r="S164" s="779">
        <f t="shared" si="32"/>
        <v>0</v>
      </c>
    </row>
    <row r="165" spans="1:19">
      <c r="A165" s="944"/>
      <c r="B165" s="131"/>
      <c r="C165" s="52">
        <f t="shared" si="33"/>
        <v>1</v>
      </c>
      <c r="D165" s="942"/>
      <c r="E165" s="52">
        <f t="shared" si="34"/>
        <v>2.5000000000000001E-2</v>
      </c>
      <c r="F165" s="942"/>
      <c r="G165" s="52">
        <f t="shared" si="35"/>
        <v>0.12</v>
      </c>
      <c r="H165" s="942"/>
      <c r="I165" s="52">
        <f t="shared" si="36"/>
        <v>1</v>
      </c>
      <c r="J165" s="942"/>
      <c r="K165" s="52">
        <f t="shared" si="37"/>
        <v>1</v>
      </c>
      <c r="L165" s="942"/>
      <c r="M165" s="52">
        <f t="shared" si="38"/>
        <v>1</v>
      </c>
      <c r="N165" s="942"/>
      <c r="O165" s="52">
        <f t="shared" si="39"/>
        <v>1</v>
      </c>
      <c r="P165" s="942"/>
      <c r="Q165" s="52">
        <f t="shared" si="40"/>
        <v>0</v>
      </c>
      <c r="R165" s="470">
        <f t="shared" si="41"/>
        <v>0</v>
      </c>
      <c r="S165" s="779">
        <f t="shared" si="32"/>
        <v>0</v>
      </c>
    </row>
    <row r="166" spans="1:19">
      <c r="A166" s="944"/>
      <c r="B166" s="131"/>
      <c r="C166" s="52">
        <f t="shared" si="33"/>
        <v>1</v>
      </c>
      <c r="D166" s="942"/>
      <c r="E166" s="52">
        <f t="shared" si="34"/>
        <v>2.5000000000000001E-2</v>
      </c>
      <c r="F166" s="942"/>
      <c r="G166" s="52">
        <f t="shared" si="35"/>
        <v>0.12</v>
      </c>
      <c r="H166" s="942"/>
      <c r="I166" s="52">
        <f t="shared" si="36"/>
        <v>1</v>
      </c>
      <c r="J166" s="942"/>
      <c r="K166" s="52">
        <f t="shared" si="37"/>
        <v>1</v>
      </c>
      <c r="L166" s="942"/>
      <c r="M166" s="52">
        <f t="shared" si="38"/>
        <v>1</v>
      </c>
      <c r="N166" s="942"/>
      <c r="O166" s="52">
        <f t="shared" si="39"/>
        <v>1</v>
      </c>
      <c r="P166" s="942"/>
      <c r="Q166" s="52">
        <f t="shared" si="40"/>
        <v>0</v>
      </c>
      <c r="R166" s="470">
        <f t="shared" si="41"/>
        <v>0</v>
      </c>
      <c r="S166" s="779">
        <f t="shared" si="32"/>
        <v>0</v>
      </c>
    </row>
    <row r="167" spans="1:19">
      <c r="A167" s="944"/>
      <c r="B167" s="131"/>
      <c r="C167" s="52">
        <f t="shared" si="33"/>
        <v>1</v>
      </c>
      <c r="D167" s="942"/>
      <c r="E167" s="52">
        <f t="shared" si="34"/>
        <v>2.5000000000000001E-2</v>
      </c>
      <c r="F167" s="942"/>
      <c r="G167" s="52">
        <f t="shared" si="35"/>
        <v>0.12</v>
      </c>
      <c r="H167" s="942"/>
      <c r="I167" s="52">
        <f t="shared" si="36"/>
        <v>1</v>
      </c>
      <c r="J167" s="942"/>
      <c r="K167" s="52">
        <f t="shared" si="37"/>
        <v>1</v>
      </c>
      <c r="L167" s="942"/>
      <c r="M167" s="52">
        <f t="shared" si="38"/>
        <v>1</v>
      </c>
      <c r="N167" s="942"/>
      <c r="O167" s="52">
        <f t="shared" si="39"/>
        <v>1</v>
      </c>
      <c r="P167" s="942"/>
      <c r="Q167" s="52">
        <f t="shared" si="40"/>
        <v>0</v>
      </c>
      <c r="R167" s="470">
        <f t="shared" si="41"/>
        <v>0</v>
      </c>
      <c r="S167" s="779">
        <f t="shared" si="32"/>
        <v>0</v>
      </c>
    </row>
    <row r="168" spans="1:19">
      <c r="A168" s="944"/>
      <c r="B168" s="131"/>
      <c r="C168" s="52">
        <f t="shared" si="33"/>
        <v>1</v>
      </c>
      <c r="D168" s="942"/>
      <c r="E168" s="52">
        <f t="shared" si="34"/>
        <v>2.5000000000000001E-2</v>
      </c>
      <c r="F168" s="942"/>
      <c r="G168" s="52">
        <f t="shared" si="35"/>
        <v>0.12</v>
      </c>
      <c r="H168" s="942"/>
      <c r="I168" s="52">
        <f t="shared" si="36"/>
        <v>1</v>
      </c>
      <c r="J168" s="942"/>
      <c r="K168" s="52">
        <f t="shared" si="37"/>
        <v>1</v>
      </c>
      <c r="L168" s="942"/>
      <c r="M168" s="52">
        <f t="shared" si="38"/>
        <v>1</v>
      </c>
      <c r="N168" s="942"/>
      <c r="O168" s="52">
        <f t="shared" si="39"/>
        <v>1</v>
      </c>
      <c r="P168" s="942"/>
      <c r="Q168" s="52">
        <f t="shared" si="40"/>
        <v>0</v>
      </c>
      <c r="R168" s="470">
        <f t="shared" si="41"/>
        <v>0</v>
      </c>
      <c r="S168" s="779">
        <f t="shared" si="32"/>
        <v>0</v>
      </c>
    </row>
    <row r="169" spans="1:19">
      <c r="A169" s="944"/>
      <c r="B169" s="131"/>
      <c r="C169" s="52">
        <f t="shared" si="33"/>
        <v>1</v>
      </c>
      <c r="D169" s="942"/>
      <c r="E169" s="52">
        <f t="shared" si="34"/>
        <v>2.5000000000000001E-2</v>
      </c>
      <c r="F169" s="942"/>
      <c r="G169" s="52">
        <f t="shared" si="35"/>
        <v>0.12</v>
      </c>
      <c r="H169" s="942"/>
      <c r="I169" s="52">
        <f t="shared" si="36"/>
        <v>1</v>
      </c>
      <c r="J169" s="942"/>
      <c r="K169" s="52">
        <f t="shared" si="37"/>
        <v>1</v>
      </c>
      <c r="L169" s="942"/>
      <c r="M169" s="52">
        <f t="shared" si="38"/>
        <v>1</v>
      </c>
      <c r="N169" s="942"/>
      <c r="O169" s="52">
        <f t="shared" si="39"/>
        <v>1</v>
      </c>
      <c r="P169" s="942"/>
      <c r="Q169" s="52">
        <f t="shared" si="40"/>
        <v>0</v>
      </c>
      <c r="R169" s="470">
        <f t="shared" si="41"/>
        <v>0</v>
      </c>
      <c r="S169" s="779">
        <f t="shared" si="32"/>
        <v>0</v>
      </c>
    </row>
    <row r="170" spans="1:19">
      <c r="A170" s="944"/>
      <c r="B170" s="131"/>
      <c r="C170" s="52">
        <f t="shared" si="33"/>
        <v>1</v>
      </c>
      <c r="D170" s="942"/>
      <c r="E170" s="52">
        <f t="shared" si="34"/>
        <v>2.5000000000000001E-2</v>
      </c>
      <c r="F170" s="942"/>
      <c r="G170" s="52">
        <f t="shared" si="35"/>
        <v>0.12</v>
      </c>
      <c r="H170" s="942"/>
      <c r="I170" s="52">
        <f t="shared" si="36"/>
        <v>1</v>
      </c>
      <c r="J170" s="942"/>
      <c r="K170" s="52">
        <f t="shared" si="37"/>
        <v>1</v>
      </c>
      <c r="L170" s="942"/>
      <c r="M170" s="52">
        <f t="shared" si="38"/>
        <v>1</v>
      </c>
      <c r="N170" s="942"/>
      <c r="O170" s="52">
        <f t="shared" si="39"/>
        <v>1</v>
      </c>
      <c r="P170" s="942"/>
      <c r="Q170" s="52">
        <f t="shared" si="40"/>
        <v>0</v>
      </c>
      <c r="R170" s="470">
        <f t="shared" si="41"/>
        <v>0</v>
      </c>
      <c r="S170" s="779">
        <f t="shared" si="32"/>
        <v>0</v>
      </c>
    </row>
    <row r="171" spans="1:19">
      <c r="A171" s="944"/>
      <c r="B171" s="131"/>
      <c r="C171" s="52">
        <f t="shared" si="33"/>
        <v>1</v>
      </c>
      <c r="D171" s="942"/>
      <c r="E171" s="52">
        <f t="shared" si="34"/>
        <v>2.5000000000000001E-2</v>
      </c>
      <c r="F171" s="942"/>
      <c r="G171" s="52">
        <f t="shared" si="35"/>
        <v>0.12</v>
      </c>
      <c r="H171" s="942"/>
      <c r="I171" s="52">
        <f t="shared" si="36"/>
        <v>1</v>
      </c>
      <c r="J171" s="942"/>
      <c r="K171" s="52">
        <f t="shared" si="37"/>
        <v>1</v>
      </c>
      <c r="L171" s="942"/>
      <c r="M171" s="52">
        <f t="shared" si="38"/>
        <v>1</v>
      </c>
      <c r="N171" s="942"/>
      <c r="O171" s="52">
        <f t="shared" si="39"/>
        <v>1</v>
      </c>
      <c r="P171" s="942"/>
      <c r="Q171" s="52">
        <f t="shared" si="40"/>
        <v>0</v>
      </c>
      <c r="R171" s="470">
        <f t="shared" si="41"/>
        <v>0</v>
      </c>
      <c r="S171" s="779">
        <f t="shared" si="32"/>
        <v>0</v>
      </c>
    </row>
    <row r="172" spans="1:19">
      <c r="A172" s="944"/>
      <c r="B172" s="131"/>
      <c r="C172" s="52">
        <f t="shared" si="33"/>
        <v>1</v>
      </c>
      <c r="D172" s="942"/>
      <c r="E172" s="52">
        <f t="shared" si="34"/>
        <v>2.5000000000000001E-2</v>
      </c>
      <c r="F172" s="942"/>
      <c r="G172" s="52">
        <f t="shared" si="35"/>
        <v>0.12</v>
      </c>
      <c r="H172" s="942"/>
      <c r="I172" s="52">
        <f t="shared" si="36"/>
        <v>1</v>
      </c>
      <c r="J172" s="942"/>
      <c r="K172" s="52">
        <f t="shared" si="37"/>
        <v>1</v>
      </c>
      <c r="L172" s="942"/>
      <c r="M172" s="52">
        <f t="shared" si="38"/>
        <v>1</v>
      </c>
      <c r="N172" s="942"/>
      <c r="O172" s="52">
        <f t="shared" si="39"/>
        <v>1</v>
      </c>
      <c r="P172" s="942"/>
      <c r="Q172" s="52">
        <f t="shared" si="40"/>
        <v>0</v>
      </c>
      <c r="R172" s="470">
        <f t="shared" si="41"/>
        <v>0</v>
      </c>
      <c r="S172" s="779">
        <f t="shared" si="32"/>
        <v>0</v>
      </c>
    </row>
    <row r="173" spans="1:19">
      <c r="A173" s="944"/>
      <c r="B173" s="131"/>
      <c r="C173" s="52">
        <f t="shared" si="33"/>
        <v>1</v>
      </c>
      <c r="D173" s="942"/>
      <c r="E173" s="52">
        <f t="shared" si="34"/>
        <v>2.5000000000000001E-2</v>
      </c>
      <c r="F173" s="942"/>
      <c r="G173" s="52">
        <f t="shared" si="35"/>
        <v>0.12</v>
      </c>
      <c r="H173" s="942"/>
      <c r="I173" s="52">
        <f t="shared" si="36"/>
        <v>1</v>
      </c>
      <c r="J173" s="942"/>
      <c r="K173" s="52">
        <f t="shared" si="37"/>
        <v>1</v>
      </c>
      <c r="L173" s="942"/>
      <c r="M173" s="52">
        <f t="shared" si="38"/>
        <v>1</v>
      </c>
      <c r="N173" s="942"/>
      <c r="O173" s="52">
        <f t="shared" si="39"/>
        <v>1</v>
      </c>
      <c r="P173" s="942"/>
      <c r="Q173" s="52">
        <f t="shared" si="40"/>
        <v>0</v>
      </c>
      <c r="R173" s="470">
        <f t="shared" si="41"/>
        <v>0</v>
      </c>
      <c r="S173" s="779">
        <f t="shared" si="32"/>
        <v>0</v>
      </c>
    </row>
    <row r="174" spans="1:19">
      <c r="A174" s="944"/>
      <c r="B174" s="131"/>
      <c r="C174" s="52">
        <f t="shared" si="33"/>
        <v>1</v>
      </c>
      <c r="D174" s="942"/>
      <c r="E174" s="52">
        <f t="shared" si="34"/>
        <v>2.5000000000000001E-2</v>
      </c>
      <c r="F174" s="942"/>
      <c r="G174" s="52">
        <f t="shared" si="35"/>
        <v>0.12</v>
      </c>
      <c r="H174" s="942"/>
      <c r="I174" s="52">
        <f t="shared" si="36"/>
        <v>1</v>
      </c>
      <c r="J174" s="942"/>
      <c r="K174" s="52">
        <f t="shared" si="37"/>
        <v>1</v>
      </c>
      <c r="L174" s="942"/>
      <c r="M174" s="52">
        <f t="shared" si="38"/>
        <v>1</v>
      </c>
      <c r="N174" s="942"/>
      <c r="O174" s="52">
        <f t="shared" si="39"/>
        <v>1</v>
      </c>
      <c r="P174" s="942"/>
      <c r="Q174" s="52">
        <f t="shared" si="40"/>
        <v>0</v>
      </c>
      <c r="R174" s="470">
        <f t="shared" si="41"/>
        <v>0</v>
      </c>
      <c r="S174" s="779">
        <f t="shared" si="32"/>
        <v>0</v>
      </c>
    </row>
    <row r="175" spans="1:19">
      <c r="A175" s="944"/>
      <c r="B175" s="131"/>
      <c r="C175" s="52">
        <f t="shared" si="33"/>
        <v>1</v>
      </c>
      <c r="D175" s="942"/>
      <c r="E175" s="52">
        <f t="shared" si="34"/>
        <v>2.5000000000000001E-2</v>
      </c>
      <c r="F175" s="942"/>
      <c r="G175" s="52">
        <f t="shared" si="35"/>
        <v>0.12</v>
      </c>
      <c r="H175" s="942"/>
      <c r="I175" s="52">
        <f t="shared" si="36"/>
        <v>1</v>
      </c>
      <c r="J175" s="942"/>
      <c r="K175" s="52">
        <f t="shared" si="37"/>
        <v>1</v>
      </c>
      <c r="L175" s="942"/>
      <c r="M175" s="52">
        <f t="shared" si="38"/>
        <v>1</v>
      </c>
      <c r="N175" s="942"/>
      <c r="O175" s="52">
        <f t="shared" si="39"/>
        <v>1</v>
      </c>
      <c r="P175" s="942"/>
      <c r="Q175" s="52">
        <f t="shared" si="40"/>
        <v>0</v>
      </c>
      <c r="R175" s="470">
        <f t="shared" si="41"/>
        <v>0</v>
      </c>
      <c r="S175" s="779">
        <f t="shared" si="32"/>
        <v>0</v>
      </c>
    </row>
    <row r="176" spans="1:19">
      <c r="A176" s="944"/>
      <c r="B176" s="131"/>
      <c r="C176" s="52">
        <f t="shared" si="33"/>
        <v>1</v>
      </c>
      <c r="D176" s="942"/>
      <c r="E176" s="52">
        <f t="shared" si="34"/>
        <v>2.5000000000000001E-2</v>
      </c>
      <c r="F176" s="942"/>
      <c r="G176" s="52">
        <f t="shared" si="35"/>
        <v>0.12</v>
      </c>
      <c r="H176" s="942"/>
      <c r="I176" s="52">
        <f t="shared" si="36"/>
        <v>1</v>
      </c>
      <c r="J176" s="942"/>
      <c r="K176" s="52">
        <f t="shared" si="37"/>
        <v>1</v>
      </c>
      <c r="L176" s="942"/>
      <c r="M176" s="52">
        <f t="shared" si="38"/>
        <v>1</v>
      </c>
      <c r="N176" s="942"/>
      <c r="O176" s="52">
        <f t="shared" si="39"/>
        <v>1</v>
      </c>
      <c r="P176" s="942"/>
      <c r="Q176" s="52">
        <f t="shared" si="40"/>
        <v>0</v>
      </c>
      <c r="R176" s="470">
        <f t="shared" si="41"/>
        <v>0</v>
      </c>
      <c r="S176" s="779">
        <f t="shared" si="32"/>
        <v>0</v>
      </c>
    </row>
    <row r="177" spans="1:19">
      <c r="A177" s="944"/>
      <c r="B177" s="131"/>
      <c r="C177" s="52">
        <f t="shared" si="33"/>
        <v>1</v>
      </c>
      <c r="D177" s="942"/>
      <c r="E177" s="52">
        <f t="shared" si="34"/>
        <v>2.5000000000000001E-2</v>
      </c>
      <c r="F177" s="942"/>
      <c r="G177" s="52">
        <f t="shared" si="35"/>
        <v>0.12</v>
      </c>
      <c r="H177" s="942"/>
      <c r="I177" s="52">
        <f t="shared" si="36"/>
        <v>1</v>
      </c>
      <c r="J177" s="942"/>
      <c r="K177" s="52">
        <f t="shared" si="37"/>
        <v>1</v>
      </c>
      <c r="L177" s="942"/>
      <c r="M177" s="52">
        <f t="shared" si="38"/>
        <v>1</v>
      </c>
      <c r="N177" s="942"/>
      <c r="O177" s="52">
        <f t="shared" si="39"/>
        <v>1</v>
      </c>
      <c r="P177" s="942"/>
      <c r="Q177" s="52">
        <f t="shared" si="40"/>
        <v>0</v>
      </c>
      <c r="R177" s="470">
        <f t="shared" si="41"/>
        <v>0</v>
      </c>
      <c r="S177" s="779">
        <f t="shared" si="32"/>
        <v>0</v>
      </c>
    </row>
    <row r="178" spans="1:19">
      <c r="A178" s="944"/>
      <c r="B178" s="131"/>
      <c r="C178" s="52">
        <f t="shared" si="33"/>
        <v>1</v>
      </c>
      <c r="D178" s="942"/>
      <c r="E178" s="52">
        <f t="shared" si="34"/>
        <v>2.5000000000000001E-2</v>
      </c>
      <c r="F178" s="942"/>
      <c r="G178" s="52">
        <f t="shared" si="35"/>
        <v>0.12</v>
      </c>
      <c r="H178" s="942"/>
      <c r="I178" s="52">
        <f t="shared" si="36"/>
        <v>1</v>
      </c>
      <c r="J178" s="942"/>
      <c r="K178" s="52">
        <f t="shared" si="37"/>
        <v>1</v>
      </c>
      <c r="L178" s="942"/>
      <c r="M178" s="52">
        <f t="shared" si="38"/>
        <v>1</v>
      </c>
      <c r="N178" s="942"/>
      <c r="O178" s="52">
        <f t="shared" si="39"/>
        <v>1</v>
      </c>
      <c r="P178" s="942"/>
      <c r="Q178" s="52">
        <f t="shared" si="40"/>
        <v>0</v>
      </c>
      <c r="R178" s="470">
        <f t="shared" si="41"/>
        <v>0</v>
      </c>
      <c r="S178" s="779">
        <f t="shared" si="32"/>
        <v>0</v>
      </c>
    </row>
    <row r="179" spans="1:19">
      <c r="A179" s="944"/>
      <c r="B179" s="131"/>
      <c r="C179" s="52">
        <f t="shared" si="33"/>
        <v>1</v>
      </c>
      <c r="D179" s="942"/>
      <c r="E179" s="52">
        <f t="shared" si="34"/>
        <v>2.5000000000000001E-2</v>
      </c>
      <c r="F179" s="942"/>
      <c r="G179" s="52">
        <f t="shared" si="35"/>
        <v>0.12</v>
      </c>
      <c r="H179" s="942"/>
      <c r="I179" s="52">
        <f t="shared" si="36"/>
        <v>1</v>
      </c>
      <c r="J179" s="942"/>
      <c r="K179" s="52">
        <f t="shared" si="37"/>
        <v>1</v>
      </c>
      <c r="L179" s="942"/>
      <c r="M179" s="52">
        <f t="shared" si="38"/>
        <v>1</v>
      </c>
      <c r="N179" s="942"/>
      <c r="O179" s="52">
        <f t="shared" si="39"/>
        <v>1</v>
      </c>
      <c r="P179" s="942"/>
      <c r="Q179" s="52">
        <f t="shared" si="40"/>
        <v>0</v>
      </c>
      <c r="R179" s="470">
        <f t="shared" si="41"/>
        <v>0</v>
      </c>
      <c r="S179" s="779">
        <f t="shared" si="32"/>
        <v>0</v>
      </c>
    </row>
    <row r="180" spans="1:19">
      <c r="A180" s="944"/>
      <c r="B180" s="131"/>
      <c r="C180" s="52">
        <f t="shared" si="33"/>
        <v>1</v>
      </c>
      <c r="D180" s="942"/>
      <c r="E180" s="52">
        <f t="shared" si="34"/>
        <v>2.5000000000000001E-2</v>
      </c>
      <c r="F180" s="942"/>
      <c r="G180" s="52">
        <f t="shared" si="35"/>
        <v>0.12</v>
      </c>
      <c r="H180" s="942"/>
      <c r="I180" s="52">
        <f t="shared" si="36"/>
        <v>1</v>
      </c>
      <c r="J180" s="942"/>
      <c r="K180" s="52">
        <f t="shared" si="37"/>
        <v>1</v>
      </c>
      <c r="L180" s="942"/>
      <c r="M180" s="52">
        <f t="shared" si="38"/>
        <v>1</v>
      </c>
      <c r="N180" s="942"/>
      <c r="O180" s="52">
        <f t="shared" si="39"/>
        <v>1</v>
      </c>
      <c r="P180" s="942"/>
      <c r="Q180" s="52">
        <f t="shared" si="40"/>
        <v>0</v>
      </c>
      <c r="R180" s="470">
        <f t="shared" si="41"/>
        <v>0</v>
      </c>
      <c r="S180" s="779">
        <f t="shared" si="32"/>
        <v>0</v>
      </c>
    </row>
    <row r="181" spans="1:19">
      <c r="A181" s="944"/>
      <c r="B181" s="131"/>
      <c r="C181" s="52">
        <f t="shared" si="33"/>
        <v>1</v>
      </c>
      <c r="D181" s="942"/>
      <c r="E181" s="52">
        <f t="shared" si="34"/>
        <v>2.5000000000000001E-2</v>
      </c>
      <c r="F181" s="942"/>
      <c r="G181" s="52">
        <f t="shared" si="35"/>
        <v>0.12</v>
      </c>
      <c r="H181" s="942"/>
      <c r="I181" s="52">
        <f t="shared" si="36"/>
        <v>1</v>
      </c>
      <c r="J181" s="942"/>
      <c r="K181" s="52">
        <f t="shared" si="37"/>
        <v>1</v>
      </c>
      <c r="L181" s="942"/>
      <c r="M181" s="52">
        <f t="shared" si="38"/>
        <v>1</v>
      </c>
      <c r="N181" s="942"/>
      <c r="O181" s="52">
        <f t="shared" si="39"/>
        <v>1</v>
      </c>
      <c r="P181" s="942"/>
      <c r="Q181" s="52">
        <f t="shared" si="40"/>
        <v>0</v>
      </c>
      <c r="R181" s="470">
        <f t="shared" si="41"/>
        <v>0</v>
      </c>
      <c r="S181" s="779">
        <f t="shared" si="32"/>
        <v>0</v>
      </c>
    </row>
    <row r="182" spans="1:19">
      <c r="A182" s="944"/>
      <c r="B182" s="131"/>
      <c r="C182" s="52">
        <f t="shared" si="33"/>
        <v>1</v>
      </c>
      <c r="D182" s="942"/>
      <c r="E182" s="52">
        <f t="shared" si="34"/>
        <v>2.5000000000000001E-2</v>
      </c>
      <c r="F182" s="942"/>
      <c r="G182" s="52">
        <f t="shared" si="35"/>
        <v>0.12</v>
      </c>
      <c r="H182" s="942"/>
      <c r="I182" s="52">
        <f t="shared" si="36"/>
        <v>1</v>
      </c>
      <c r="J182" s="942"/>
      <c r="K182" s="52">
        <f t="shared" si="37"/>
        <v>1</v>
      </c>
      <c r="L182" s="942"/>
      <c r="M182" s="52">
        <f t="shared" si="38"/>
        <v>1</v>
      </c>
      <c r="N182" s="942"/>
      <c r="O182" s="52">
        <f t="shared" si="39"/>
        <v>1</v>
      </c>
      <c r="P182" s="942"/>
      <c r="Q182" s="52">
        <f t="shared" si="40"/>
        <v>0</v>
      </c>
      <c r="R182" s="470">
        <f t="shared" si="41"/>
        <v>0</v>
      </c>
      <c r="S182" s="779">
        <f t="shared" si="32"/>
        <v>0</v>
      </c>
    </row>
    <row r="183" spans="1:19">
      <c r="A183" s="944"/>
      <c r="B183" s="131"/>
      <c r="C183" s="52">
        <f t="shared" si="33"/>
        <v>1</v>
      </c>
      <c r="D183" s="942"/>
      <c r="E183" s="52">
        <f t="shared" si="34"/>
        <v>2.5000000000000001E-2</v>
      </c>
      <c r="F183" s="942"/>
      <c r="G183" s="52">
        <f t="shared" si="35"/>
        <v>0.12</v>
      </c>
      <c r="H183" s="942"/>
      <c r="I183" s="52">
        <f t="shared" si="36"/>
        <v>1</v>
      </c>
      <c r="J183" s="942"/>
      <c r="K183" s="52">
        <f t="shared" si="37"/>
        <v>1</v>
      </c>
      <c r="L183" s="942"/>
      <c r="M183" s="52">
        <f t="shared" si="38"/>
        <v>1</v>
      </c>
      <c r="N183" s="942"/>
      <c r="O183" s="52">
        <f t="shared" si="39"/>
        <v>1</v>
      </c>
      <c r="P183" s="942"/>
      <c r="Q183" s="52">
        <f t="shared" si="40"/>
        <v>0</v>
      </c>
      <c r="R183" s="470">
        <f t="shared" si="41"/>
        <v>0</v>
      </c>
      <c r="S183" s="779">
        <f t="shared" si="32"/>
        <v>0</v>
      </c>
    </row>
    <row r="184" spans="1:19">
      <c r="A184" s="944"/>
      <c r="B184" s="131"/>
      <c r="C184" s="52">
        <f t="shared" si="33"/>
        <v>1</v>
      </c>
      <c r="D184" s="942"/>
      <c r="E184" s="52">
        <f t="shared" si="34"/>
        <v>2.5000000000000001E-2</v>
      </c>
      <c r="F184" s="942"/>
      <c r="G184" s="52">
        <f t="shared" si="35"/>
        <v>0.12</v>
      </c>
      <c r="H184" s="942"/>
      <c r="I184" s="52">
        <f t="shared" si="36"/>
        <v>1</v>
      </c>
      <c r="J184" s="942"/>
      <c r="K184" s="52">
        <f t="shared" si="37"/>
        <v>1</v>
      </c>
      <c r="L184" s="942"/>
      <c r="M184" s="52">
        <f t="shared" si="38"/>
        <v>1</v>
      </c>
      <c r="N184" s="942"/>
      <c r="O184" s="52">
        <f t="shared" si="39"/>
        <v>1</v>
      </c>
      <c r="P184" s="942"/>
      <c r="Q184" s="52">
        <f t="shared" si="40"/>
        <v>0</v>
      </c>
      <c r="R184" s="470">
        <f t="shared" si="41"/>
        <v>0</v>
      </c>
      <c r="S184" s="779">
        <f t="shared" si="32"/>
        <v>0</v>
      </c>
    </row>
    <row r="185" spans="1:19">
      <c r="A185" s="944"/>
      <c r="B185" s="131"/>
      <c r="C185" s="52">
        <f t="shared" si="33"/>
        <v>1</v>
      </c>
      <c r="D185" s="942"/>
      <c r="E185" s="52">
        <f t="shared" si="34"/>
        <v>2.5000000000000001E-2</v>
      </c>
      <c r="F185" s="942"/>
      <c r="G185" s="52">
        <f t="shared" si="35"/>
        <v>0.12</v>
      </c>
      <c r="H185" s="942"/>
      <c r="I185" s="52">
        <f t="shared" si="36"/>
        <v>1</v>
      </c>
      <c r="J185" s="942"/>
      <c r="K185" s="52">
        <f t="shared" si="37"/>
        <v>1</v>
      </c>
      <c r="L185" s="942"/>
      <c r="M185" s="52">
        <f t="shared" si="38"/>
        <v>1</v>
      </c>
      <c r="N185" s="942"/>
      <c r="O185" s="52">
        <f t="shared" si="39"/>
        <v>1</v>
      </c>
      <c r="P185" s="942"/>
      <c r="Q185" s="52">
        <f t="shared" si="40"/>
        <v>0</v>
      </c>
      <c r="R185" s="470">
        <f t="shared" si="41"/>
        <v>0</v>
      </c>
      <c r="S185" s="779">
        <f t="shared" si="32"/>
        <v>0</v>
      </c>
    </row>
    <row r="186" spans="1:19">
      <c r="A186" s="944"/>
      <c r="B186" s="131"/>
      <c r="C186" s="52">
        <f t="shared" si="33"/>
        <v>1</v>
      </c>
      <c r="D186" s="942"/>
      <c r="E186" s="52">
        <f t="shared" si="34"/>
        <v>2.5000000000000001E-2</v>
      </c>
      <c r="F186" s="942"/>
      <c r="G186" s="52">
        <f t="shared" si="35"/>
        <v>0.12</v>
      </c>
      <c r="H186" s="942"/>
      <c r="I186" s="52">
        <f t="shared" si="36"/>
        <v>1</v>
      </c>
      <c r="J186" s="942"/>
      <c r="K186" s="52">
        <f t="shared" si="37"/>
        <v>1</v>
      </c>
      <c r="L186" s="942"/>
      <c r="M186" s="52">
        <f t="shared" si="38"/>
        <v>1</v>
      </c>
      <c r="N186" s="942"/>
      <c r="O186" s="52">
        <f t="shared" si="39"/>
        <v>1</v>
      </c>
      <c r="P186" s="942"/>
      <c r="Q186" s="52">
        <f t="shared" si="40"/>
        <v>0</v>
      </c>
      <c r="R186" s="470">
        <f t="shared" si="41"/>
        <v>0</v>
      </c>
      <c r="S186" s="779">
        <f t="shared" si="32"/>
        <v>0</v>
      </c>
    </row>
    <row r="187" spans="1:19">
      <c r="A187" s="944"/>
      <c r="B187" s="131"/>
      <c r="C187" s="52">
        <f t="shared" si="33"/>
        <v>1</v>
      </c>
      <c r="D187" s="942"/>
      <c r="E187" s="52">
        <f t="shared" si="34"/>
        <v>2.5000000000000001E-2</v>
      </c>
      <c r="F187" s="942"/>
      <c r="G187" s="52">
        <f t="shared" si="35"/>
        <v>0.12</v>
      </c>
      <c r="H187" s="942"/>
      <c r="I187" s="52">
        <f t="shared" si="36"/>
        <v>1</v>
      </c>
      <c r="J187" s="942"/>
      <c r="K187" s="52">
        <f t="shared" si="37"/>
        <v>1</v>
      </c>
      <c r="L187" s="942"/>
      <c r="M187" s="52">
        <f t="shared" si="38"/>
        <v>1</v>
      </c>
      <c r="N187" s="942"/>
      <c r="O187" s="52">
        <f t="shared" si="39"/>
        <v>1</v>
      </c>
      <c r="P187" s="942"/>
      <c r="Q187" s="52">
        <f t="shared" si="40"/>
        <v>0</v>
      </c>
      <c r="R187" s="470">
        <f t="shared" si="41"/>
        <v>0</v>
      </c>
      <c r="S187" s="779">
        <f t="shared" ref="S187:S222" si="42">ROUND(R187*B187/10000,0)</f>
        <v>0</v>
      </c>
    </row>
    <row r="188" spans="1:19">
      <c r="A188" s="944"/>
      <c r="B188" s="131"/>
      <c r="C188" s="52">
        <f t="shared" si="33"/>
        <v>1</v>
      </c>
      <c r="D188" s="942"/>
      <c r="E188" s="52">
        <f t="shared" si="34"/>
        <v>2.5000000000000001E-2</v>
      </c>
      <c r="F188" s="942"/>
      <c r="G188" s="52">
        <f t="shared" si="35"/>
        <v>0.12</v>
      </c>
      <c r="H188" s="942"/>
      <c r="I188" s="52">
        <f t="shared" si="36"/>
        <v>1</v>
      </c>
      <c r="J188" s="942"/>
      <c r="K188" s="52">
        <f t="shared" si="37"/>
        <v>1</v>
      </c>
      <c r="L188" s="942"/>
      <c r="M188" s="52">
        <f t="shared" si="38"/>
        <v>1</v>
      </c>
      <c r="N188" s="942"/>
      <c r="O188" s="52">
        <f t="shared" si="39"/>
        <v>1</v>
      </c>
      <c r="P188" s="942"/>
      <c r="Q188" s="52">
        <f t="shared" si="40"/>
        <v>0</v>
      </c>
      <c r="R188" s="470">
        <f t="shared" si="41"/>
        <v>0</v>
      </c>
      <c r="S188" s="779">
        <f t="shared" si="42"/>
        <v>0</v>
      </c>
    </row>
    <row r="189" spans="1:19">
      <c r="A189" s="944"/>
      <c r="B189" s="131"/>
      <c r="C189" s="52">
        <f t="shared" si="33"/>
        <v>1</v>
      </c>
      <c r="D189" s="942"/>
      <c r="E189" s="52">
        <f t="shared" si="34"/>
        <v>2.5000000000000001E-2</v>
      </c>
      <c r="F189" s="942"/>
      <c r="G189" s="52">
        <f t="shared" si="35"/>
        <v>0.12</v>
      </c>
      <c r="H189" s="942"/>
      <c r="I189" s="52">
        <f t="shared" si="36"/>
        <v>1</v>
      </c>
      <c r="J189" s="942"/>
      <c r="K189" s="52">
        <f t="shared" si="37"/>
        <v>1</v>
      </c>
      <c r="L189" s="942"/>
      <c r="M189" s="52">
        <f t="shared" si="38"/>
        <v>1</v>
      </c>
      <c r="N189" s="942"/>
      <c r="O189" s="52">
        <f t="shared" si="39"/>
        <v>1</v>
      </c>
      <c r="P189" s="942"/>
      <c r="Q189" s="52">
        <f t="shared" si="40"/>
        <v>0</v>
      </c>
      <c r="R189" s="470">
        <f t="shared" si="41"/>
        <v>0</v>
      </c>
      <c r="S189" s="779">
        <f t="shared" si="42"/>
        <v>0</v>
      </c>
    </row>
    <row r="190" spans="1:19">
      <c r="A190" s="944"/>
      <c r="B190" s="131"/>
      <c r="C190" s="52">
        <f t="shared" si="33"/>
        <v>1</v>
      </c>
      <c r="D190" s="942"/>
      <c r="E190" s="52">
        <f t="shared" si="34"/>
        <v>2.5000000000000001E-2</v>
      </c>
      <c r="F190" s="942"/>
      <c r="G190" s="52">
        <f t="shared" si="35"/>
        <v>0.12</v>
      </c>
      <c r="H190" s="942"/>
      <c r="I190" s="52">
        <f t="shared" si="36"/>
        <v>1</v>
      </c>
      <c r="J190" s="942"/>
      <c r="K190" s="52">
        <f t="shared" si="37"/>
        <v>1</v>
      </c>
      <c r="L190" s="942"/>
      <c r="M190" s="52">
        <f t="shared" si="38"/>
        <v>1</v>
      </c>
      <c r="N190" s="942"/>
      <c r="O190" s="52">
        <f t="shared" si="39"/>
        <v>1</v>
      </c>
      <c r="P190" s="942"/>
      <c r="Q190" s="52">
        <f t="shared" si="40"/>
        <v>0</v>
      </c>
      <c r="R190" s="470">
        <f t="shared" si="41"/>
        <v>0</v>
      </c>
      <c r="S190" s="779">
        <f t="shared" si="42"/>
        <v>0</v>
      </c>
    </row>
    <row r="191" spans="1:19">
      <c r="A191" s="944"/>
      <c r="B191" s="131"/>
      <c r="C191" s="52">
        <f t="shared" si="33"/>
        <v>1</v>
      </c>
      <c r="D191" s="942"/>
      <c r="E191" s="52">
        <f t="shared" si="34"/>
        <v>2.5000000000000001E-2</v>
      </c>
      <c r="F191" s="942"/>
      <c r="G191" s="52">
        <f t="shared" si="35"/>
        <v>0.12</v>
      </c>
      <c r="H191" s="942"/>
      <c r="I191" s="52">
        <f t="shared" si="36"/>
        <v>1</v>
      </c>
      <c r="J191" s="942"/>
      <c r="K191" s="52">
        <f t="shared" si="37"/>
        <v>1</v>
      </c>
      <c r="L191" s="942"/>
      <c r="M191" s="52">
        <f t="shared" si="38"/>
        <v>1</v>
      </c>
      <c r="N191" s="942"/>
      <c r="O191" s="52">
        <f t="shared" si="39"/>
        <v>1</v>
      </c>
      <c r="P191" s="942"/>
      <c r="Q191" s="52">
        <f t="shared" si="40"/>
        <v>0</v>
      </c>
      <c r="R191" s="470">
        <f t="shared" si="41"/>
        <v>0</v>
      </c>
      <c r="S191" s="779">
        <f t="shared" si="42"/>
        <v>0</v>
      </c>
    </row>
    <row r="192" spans="1:19">
      <c r="A192" s="944"/>
      <c r="B192" s="131"/>
      <c r="C192" s="52">
        <f t="shared" si="33"/>
        <v>1</v>
      </c>
      <c r="D192" s="942"/>
      <c r="E192" s="52">
        <f t="shared" si="34"/>
        <v>2.5000000000000001E-2</v>
      </c>
      <c r="F192" s="942"/>
      <c r="G192" s="52">
        <f t="shared" si="35"/>
        <v>0.12</v>
      </c>
      <c r="H192" s="942"/>
      <c r="I192" s="52">
        <f t="shared" si="36"/>
        <v>1</v>
      </c>
      <c r="J192" s="942"/>
      <c r="K192" s="52">
        <f t="shared" si="37"/>
        <v>1</v>
      </c>
      <c r="L192" s="942"/>
      <c r="M192" s="52">
        <f t="shared" si="38"/>
        <v>1</v>
      </c>
      <c r="N192" s="942"/>
      <c r="O192" s="52">
        <f t="shared" si="39"/>
        <v>1</v>
      </c>
      <c r="P192" s="942"/>
      <c r="Q192" s="52">
        <f t="shared" si="40"/>
        <v>0</v>
      </c>
      <c r="R192" s="470">
        <f t="shared" si="41"/>
        <v>0</v>
      </c>
      <c r="S192" s="779">
        <f t="shared" si="42"/>
        <v>0</v>
      </c>
    </row>
    <row r="193" spans="1:19">
      <c r="A193" s="944"/>
      <c r="B193" s="131"/>
      <c r="C193" s="52">
        <f t="shared" si="33"/>
        <v>1</v>
      </c>
      <c r="D193" s="942"/>
      <c r="E193" s="52">
        <f t="shared" si="34"/>
        <v>2.5000000000000001E-2</v>
      </c>
      <c r="F193" s="942"/>
      <c r="G193" s="52">
        <f t="shared" si="35"/>
        <v>0.12</v>
      </c>
      <c r="H193" s="942"/>
      <c r="I193" s="52">
        <f t="shared" si="36"/>
        <v>1</v>
      </c>
      <c r="J193" s="942"/>
      <c r="K193" s="52">
        <f t="shared" si="37"/>
        <v>1</v>
      </c>
      <c r="L193" s="942"/>
      <c r="M193" s="52">
        <f t="shared" si="38"/>
        <v>1</v>
      </c>
      <c r="N193" s="942"/>
      <c r="O193" s="52">
        <f t="shared" si="39"/>
        <v>1</v>
      </c>
      <c r="P193" s="942"/>
      <c r="Q193" s="52">
        <f t="shared" si="40"/>
        <v>0</v>
      </c>
      <c r="R193" s="470">
        <f t="shared" si="41"/>
        <v>0</v>
      </c>
      <c r="S193" s="779">
        <f t="shared" si="42"/>
        <v>0</v>
      </c>
    </row>
    <row r="194" spans="1:19">
      <c r="A194" s="944"/>
      <c r="B194" s="131"/>
      <c r="C194" s="52">
        <f t="shared" si="33"/>
        <v>1</v>
      </c>
      <c r="D194" s="942"/>
      <c r="E194" s="52">
        <f t="shared" si="34"/>
        <v>2.5000000000000001E-2</v>
      </c>
      <c r="F194" s="942"/>
      <c r="G194" s="52">
        <f t="shared" si="35"/>
        <v>0.12</v>
      </c>
      <c r="H194" s="942"/>
      <c r="I194" s="52">
        <f t="shared" si="36"/>
        <v>1</v>
      </c>
      <c r="J194" s="942"/>
      <c r="K194" s="52">
        <f t="shared" si="37"/>
        <v>1</v>
      </c>
      <c r="L194" s="942"/>
      <c r="M194" s="52">
        <f t="shared" si="38"/>
        <v>1</v>
      </c>
      <c r="N194" s="942"/>
      <c r="O194" s="52">
        <f t="shared" si="39"/>
        <v>1</v>
      </c>
      <c r="P194" s="942"/>
      <c r="Q194" s="52">
        <f t="shared" si="40"/>
        <v>0</v>
      </c>
      <c r="R194" s="470">
        <f t="shared" si="41"/>
        <v>0</v>
      </c>
      <c r="S194" s="779">
        <f t="shared" si="42"/>
        <v>0</v>
      </c>
    </row>
    <row r="195" spans="1:19">
      <c r="A195" s="944"/>
      <c r="B195" s="131"/>
      <c r="C195" s="52">
        <f t="shared" si="33"/>
        <v>1</v>
      </c>
      <c r="D195" s="942"/>
      <c r="E195" s="52">
        <f t="shared" si="34"/>
        <v>2.5000000000000001E-2</v>
      </c>
      <c r="F195" s="942"/>
      <c r="G195" s="52">
        <f t="shared" si="35"/>
        <v>0.12</v>
      </c>
      <c r="H195" s="942"/>
      <c r="I195" s="52">
        <f t="shared" si="36"/>
        <v>1</v>
      </c>
      <c r="J195" s="942"/>
      <c r="K195" s="52">
        <f t="shared" si="37"/>
        <v>1</v>
      </c>
      <c r="L195" s="942"/>
      <c r="M195" s="52">
        <f t="shared" si="38"/>
        <v>1</v>
      </c>
      <c r="N195" s="942"/>
      <c r="O195" s="52">
        <f t="shared" si="39"/>
        <v>1</v>
      </c>
      <c r="P195" s="942"/>
      <c r="Q195" s="52">
        <f t="shared" si="40"/>
        <v>0</v>
      </c>
      <c r="R195" s="470">
        <f t="shared" si="41"/>
        <v>0</v>
      </c>
      <c r="S195" s="779">
        <f t="shared" si="42"/>
        <v>0</v>
      </c>
    </row>
    <row r="196" spans="1:19">
      <c r="A196" s="944"/>
      <c r="B196" s="131"/>
      <c r="C196" s="52">
        <f t="shared" si="33"/>
        <v>1</v>
      </c>
      <c r="D196" s="942"/>
      <c r="E196" s="52">
        <f t="shared" si="34"/>
        <v>2.5000000000000001E-2</v>
      </c>
      <c r="F196" s="942"/>
      <c r="G196" s="52">
        <f t="shared" si="35"/>
        <v>0.12</v>
      </c>
      <c r="H196" s="942"/>
      <c r="I196" s="52">
        <f t="shared" si="36"/>
        <v>1</v>
      </c>
      <c r="J196" s="942"/>
      <c r="K196" s="52">
        <f t="shared" si="37"/>
        <v>1</v>
      </c>
      <c r="L196" s="942"/>
      <c r="M196" s="52">
        <f t="shared" si="38"/>
        <v>1</v>
      </c>
      <c r="N196" s="942"/>
      <c r="O196" s="52">
        <f t="shared" si="39"/>
        <v>1</v>
      </c>
      <c r="P196" s="942"/>
      <c r="Q196" s="52">
        <f t="shared" si="40"/>
        <v>0</v>
      </c>
      <c r="R196" s="470">
        <f t="shared" si="41"/>
        <v>0</v>
      </c>
      <c r="S196" s="779">
        <f t="shared" si="42"/>
        <v>0</v>
      </c>
    </row>
    <row r="197" spans="1:19">
      <c r="A197" s="944"/>
      <c r="B197" s="131"/>
      <c r="C197" s="52">
        <f t="shared" si="33"/>
        <v>1</v>
      </c>
      <c r="D197" s="942"/>
      <c r="E197" s="52">
        <f t="shared" si="34"/>
        <v>2.5000000000000001E-2</v>
      </c>
      <c r="F197" s="942"/>
      <c r="G197" s="52">
        <f t="shared" si="35"/>
        <v>0.12</v>
      </c>
      <c r="H197" s="942"/>
      <c r="I197" s="52">
        <f t="shared" si="36"/>
        <v>1</v>
      </c>
      <c r="J197" s="942"/>
      <c r="K197" s="52">
        <f t="shared" si="37"/>
        <v>1</v>
      </c>
      <c r="L197" s="942"/>
      <c r="M197" s="52">
        <f t="shared" si="38"/>
        <v>1</v>
      </c>
      <c r="N197" s="942"/>
      <c r="O197" s="52">
        <f t="shared" si="39"/>
        <v>1</v>
      </c>
      <c r="P197" s="942"/>
      <c r="Q197" s="52">
        <f t="shared" si="40"/>
        <v>0</v>
      </c>
      <c r="R197" s="470">
        <f t="shared" si="41"/>
        <v>0</v>
      </c>
      <c r="S197" s="779">
        <f t="shared" si="42"/>
        <v>0</v>
      </c>
    </row>
    <row r="198" spans="1:19">
      <c r="A198" s="944"/>
      <c r="B198" s="131"/>
      <c r="C198" s="52">
        <f t="shared" si="33"/>
        <v>1</v>
      </c>
      <c r="D198" s="942"/>
      <c r="E198" s="52">
        <f t="shared" si="34"/>
        <v>2.5000000000000001E-2</v>
      </c>
      <c r="F198" s="942"/>
      <c r="G198" s="52">
        <f t="shared" si="35"/>
        <v>0.12</v>
      </c>
      <c r="H198" s="942"/>
      <c r="I198" s="52">
        <f t="shared" si="36"/>
        <v>1</v>
      </c>
      <c r="J198" s="942"/>
      <c r="K198" s="52">
        <f t="shared" si="37"/>
        <v>1</v>
      </c>
      <c r="L198" s="942"/>
      <c r="M198" s="52">
        <f t="shared" si="38"/>
        <v>1</v>
      </c>
      <c r="N198" s="942"/>
      <c r="O198" s="52">
        <f t="shared" si="39"/>
        <v>1</v>
      </c>
      <c r="P198" s="942"/>
      <c r="Q198" s="52">
        <f t="shared" si="40"/>
        <v>0</v>
      </c>
      <c r="R198" s="470">
        <f t="shared" si="41"/>
        <v>0</v>
      </c>
      <c r="S198" s="779">
        <f t="shared" si="42"/>
        <v>0</v>
      </c>
    </row>
    <row r="199" spans="1:19">
      <c r="A199" s="944"/>
      <c r="B199" s="131"/>
      <c r="C199" s="52">
        <f t="shared" si="33"/>
        <v>1</v>
      </c>
      <c r="D199" s="942"/>
      <c r="E199" s="52">
        <f t="shared" si="34"/>
        <v>2.5000000000000001E-2</v>
      </c>
      <c r="F199" s="942"/>
      <c r="G199" s="52">
        <f t="shared" si="35"/>
        <v>0.12</v>
      </c>
      <c r="H199" s="942"/>
      <c r="I199" s="52">
        <f t="shared" si="36"/>
        <v>1</v>
      </c>
      <c r="J199" s="942"/>
      <c r="K199" s="52">
        <f t="shared" si="37"/>
        <v>1</v>
      </c>
      <c r="L199" s="942"/>
      <c r="M199" s="52">
        <f t="shared" si="38"/>
        <v>1</v>
      </c>
      <c r="N199" s="942"/>
      <c r="O199" s="52">
        <f t="shared" si="39"/>
        <v>1</v>
      </c>
      <c r="P199" s="942"/>
      <c r="Q199" s="52">
        <f t="shared" si="40"/>
        <v>0</v>
      </c>
      <c r="R199" s="470">
        <f t="shared" si="41"/>
        <v>0</v>
      </c>
      <c r="S199" s="779">
        <f t="shared" si="42"/>
        <v>0</v>
      </c>
    </row>
    <row r="200" spans="1:19">
      <c r="A200" s="944"/>
      <c r="B200" s="131"/>
      <c r="C200" s="52">
        <f t="shared" si="33"/>
        <v>1</v>
      </c>
      <c r="D200" s="942"/>
      <c r="E200" s="52">
        <f t="shared" si="34"/>
        <v>2.5000000000000001E-2</v>
      </c>
      <c r="F200" s="942"/>
      <c r="G200" s="52">
        <f t="shared" si="35"/>
        <v>0.12</v>
      </c>
      <c r="H200" s="942"/>
      <c r="I200" s="52">
        <f t="shared" si="36"/>
        <v>1</v>
      </c>
      <c r="J200" s="942"/>
      <c r="K200" s="52">
        <f t="shared" si="37"/>
        <v>1</v>
      </c>
      <c r="L200" s="942"/>
      <c r="M200" s="52">
        <f t="shared" si="38"/>
        <v>1</v>
      </c>
      <c r="N200" s="942"/>
      <c r="O200" s="52">
        <f t="shared" si="39"/>
        <v>1</v>
      </c>
      <c r="P200" s="942"/>
      <c r="Q200" s="52">
        <f t="shared" si="40"/>
        <v>0</v>
      </c>
      <c r="R200" s="470">
        <f t="shared" si="41"/>
        <v>0</v>
      </c>
      <c r="S200" s="779">
        <f t="shared" si="42"/>
        <v>0</v>
      </c>
    </row>
    <row r="201" spans="1:19">
      <c r="A201" s="944"/>
      <c r="B201" s="131"/>
      <c r="C201" s="52">
        <f t="shared" si="33"/>
        <v>1</v>
      </c>
      <c r="D201" s="942"/>
      <c r="E201" s="52">
        <f t="shared" si="34"/>
        <v>2.5000000000000001E-2</v>
      </c>
      <c r="F201" s="942"/>
      <c r="G201" s="52">
        <f t="shared" si="35"/>
        <v>0.12</v>
      </c>
      <c r="H201" s="942"/>
      <c r="I201" s="52">
        <f t="shared" si="36"/>
        <v>1</v>
      </c>
      <c r="J201" s="942"/>
      <c r="K201" s="52">
        <f t="shared" si="37"/>
        <v>1</v>
      </c>
      <c r="L201" s="942"/>
      <c r="M201" s="52">
        <f t="shared" si="38"/>
        <v>1</v>
      </c>
      <c r="N201" s="942"/>
      <c r="O201" s="52">
        <f t="shared" si="39"/>
        <v>1</v>
      </c>
      <c r="P201" s="942"/>
      <c r="Q201" s="52">
        <f t="shared" si="40"/>
        <v>0</v>
      </c>
      <c r="R201" s="470">
        <f t="shared" si="41"/>
        <v>0</v>
      </c>
      <c r="S201" s="779">
        <f t="shared" si="42"/>
        <v>0</v>
      </c>
    </row>
    <row r="202" spans="1:19">
      <c r="A202" s="944"/>
      <c r="B202" s="131"/>
      <c r="C202" s="52">
        <f t="shared" si="33"/>
        <v>1</v>
      </c>
      <c r="D202" s="942"/>
      <c r="E202" s="52">
        <f t="shared" si="34"/>
        <v>2.5000000000000001E-2</v>
      </c>
      <c r="F202" s="942"/>
      <c r="G202" s="52">
        <f t="shared" si="35"/>
        <v>0.12</v>
      </c>
      <c r="H202" s="942"/>
      <c r="I202" s="52">
        <f t="shared" si="36"/>
        <v>1</v>
      </c>
      <c r="J202" s="942"/>
      <c r="K202" s="52">
        <f t="shared" si="37"/>
        <v>1</v>
      </c>
      <c r="L202" s="942"/>
      <c r="M202" s="52">
        <f t="shared" si="38"/>
        <v>1</v>
      </c>
      <c r="N202" s="942"/>
      <c r="O202" s="52">
        <f t="shared" si="39"/>
        <v>1</v>
      </c>
      <c r="P202" s="942"/>
      <c r="Q202" s="52">
        <f t="shared" si="40"/>
        <v>0</v>
      </c>
      <c r="R202" s="470">
        <f t="shared" si="41"/>
        <v>0</v>
      </c>
      <c r="S202" s="779">
        <f t="shared" si="42"/>
        <v>0</v>
      </c>
    </row>
    <row r="203" spans="1:19">
      <c r="A203" s="944"/>
      <c r="B203" s="131"/>
      <c r="C203" s="52">
        <f t="shared" si="33"/>
        <v>1</v>
      </c>
      <c r="D203" s="942"/>
      <c r="E203" s="52">
        <f t="shared" si="34"/>
        <v>2.5000000000000001E-2</v>
      </c>
      <c r="F203" s="942"/>
      <c r="G203" s="52">
        <f t="shared" si="35"/>
        <v>0.12</v>
      </c>
      <c r="H203" s="942"/>
      <c r="I203" s="52">
        <f t="shared" si="36"/>
        <v>1</v>
      </c>
      <c r="J203" s="942"/>
      <c r="K203" s="52">
        <f t="shared" si="37"/>
        <v>1</v>
      </c>
      <c r="L203" s="942"/>
      <c r="M203" s="52">
        <f t="shared" si="38"/>
        <v>1</v>
      </c>
      <c r="N203" s="942"/>
      <c r="O203" s="52">
        <f t="shared" si="39"/>
        <v>1</v>
      </c>
      <c r="P203" s="942"/>
      <c r="Q203" s="52">
        <f t="shared" si="40"/>
        <v>0</v>
      </c>
      <c r="R203" s="470">
        <f t="shared" si="41"/>
        <v>0</v>
      </c>
      <c r="S203" s="779">
        <f t="shared" si="42"/>
        <v>0</v>
      </c>
    </row>
    <row r="204" spans="1:19">
      <c r="A204" s="944"/>
      <c r="B204" s="131"/>
      <c r="C204" s="52">
        <f t="shared" si="33"/>
        <v>1</v>
      </c>
      <c r="D204" s="942"/>
      <c r="E204" s="52">
        <f t="shared" si="34"/>
        <v>2.5000000000000001E-2</v>
      </c>
      <c r="F204" s="942"/>
      <c r="G204" s="52">
        <f t="shared" si="35"/>
        <v>0.12</v>
      </c>
      <c r="H204" s="942"/>
      <c r="I204" s="52">
        <f t="shared" si="36"/>
        <v>1</v>
      </c>
      <c r="J204" s="942"/>
      <c r="K204" s="52">
        <f t="shared" si="37"/>
        <v>1</v>
      </c>
      <c r="L204" s="942"/>
      <c r="M204" s="52">
        <f t="shared" si="38"/>
        <v>1</v>
      </c>
      <c r="N204" s="942"/>
      <c r="O204" s="52">
        <f t="shared" si="39"/>
        <v>1</v>
      </c>
      <c r="P204" s="942"/>
      <c r="Q204" s="52">
        <f t="shared" si="40"/>
        <v>0</v>
      </c>
      <c r="R204" s="470">
        <f t="shared" si="41"/>
        <v>0</v>
      </c>
      <c r="S204" s="779">
        <f t="shared" si="42"/>
        <v>0</v>
      </c>
    </row>
    <row r="205" spans="1:19">
      <c r="A205" s="944"/>
      <c r="B205" s="131"/>
      <c r="C205" s="52">
        <f t="shared" si="33"/>
        <v>1</v>
      </c>
      <c r="D205" s="942"/>
      <c r="E205" s="52">
        <f t="shared" si="34"/>
        <v>2.5000000000000001E-2</v>
      </c>
      <c r="F205" s="942"/>
      <c r="G205" s="52">
        <f t="shared" si="35"/>
        <v>0.12</v>
      </c>
      <c r="H205" s="942"/>
      <c r="I205" s="52">
        <f t="shared" si="36"/>
        <v>1</v>
      </c>
      <c r="J205" s="942"/>
      <c r="K205" s="52">
        <f t="shared" si="37"/>
        <v>1</v>
      </c>
      <c r="L205" s="942"/>
      <c r="M205" s="52">
        <f t="shared" si="38"/>
        <v>1</v>
      </c>
      <c r="N205" s="942"/>
      <c r="O205" s="52">
        <f t="shared" si="39"/>
        <v>1</v>
      </c>
      <c r="P205" s="942"/>
      <c r="Q205" s="52">
        <f t="shared" si="40"/>
        <v>0</v>
      </c>
      <c r="R205" s="470">
        <f t="shared" si="41"/>
        <v>0</v>
      </c>
      <c r="S205" s="779">
        <f t="shared" si="42"/>
        <v>0</v>
      </c>
    </row>
    <row r="206" spans="1:19">
      <c r="A206" s="944"/>
      <c r="B206" s="131"/>
      <c r="C206" s="52">
        <f t="shared" si="33"/>
        <v>1</v>
      </c>
      <c r="D206" s="942"/>
      <c r="E206" s="52">
        <f t="shared" si="34"/>
        <v>2.5000000000000001E-2</v>
      </c>
      <c r="F206" s="942"/>
      <c r="G206" s="52">
        <f t="shared" si="35"/>
        <v>0.12</v>
      </c>
      <c r="H206" s="942"/>
      <c r="I206" s="52">
        <f t="shared" si="36"/>
        <v>1</v>
      </c>
      <c r="J206" s="942"/>
      <c r="K206" s="52">
        <f t="shared" si="37"/>
        <v>1</v>
      </c>
      <c r="L206" s="942"/>
      <c r="M206" s="52">
        <f t="shared" si="38"/>
        <v>1</v>
      </c>
      <c r="N206" s="942"/>
      <c r="O206" s="52">
        <f t="shared" si="39"/>
        <v>1</v>
      </c>
      <c r="P206" s="942"/>
      <c r="Q206" s="52">
        <f t="shared" si="40"/>
        <v>0</v>
      </c>
      <c r="R206" s="470">
        <f t="shared" si="41"/>
        <v>0</v>
      </c>
      <c r="S206" s="779">
        <f t="shared" si="42"/>
        <v>0</v>
      </c>
    </row>
    <row r="207" spans="1:19">
      <c r="A207" s="944"/>
      <c r="B207" s="131"/>
      <c r="C207" s="52">
        <f t="shared" si="33"/>
        <v>1</v>
      </c>
      <c r="D207" s="942"/>
      <c r="E207" s="52">
        <f t="shared" si="34"/>
        <v>2.5000000000000001E-2</v>
      </c>
      <c r="F207" s="942"/>
      <c r="G207" s="52">
        <f t="shared" si="35"/>
        <v>0.12</v>
      </c>
      <c r="H207" s="942"/>
      <c r="I207" s="52">
        <f t="shared" si="36"/>
        <v>1</v>
      </c>
      <c r="J207" s="942"/>
      <c r="K207" s="52">
        <f t="shared" si="37"/>
        <v>1</v>
      </c>
      <c r="L207" s="942"/>
      <c r="M207" s="52">
        <f t="shared" si="38"/>
        <v>1</v>
      </c>
      <c r="N207" s="942"/>
      <c r="O207" s="52">
        <f t="shared" si="39"/>
        <v>1</v>
      </c>
      <c r="P207" s="942"/>
      <c r="Q207" s="52">
        <f t="shared" si="40"/>
        <v>0</v>
      </c>
      <c r="R207" s="470">
        <f t="shared" si="41"/>
        <v>0</v>
      </c>
      <c r="S207" s="779">
        <f t="shared" si="42"/>
        <v>0</v>
      </c>
    </row>
    <row r="208" spans="1:19">
      <c r="A208" s="944"/>
      <c r="B208" s="131"/>
      <c r="C208" s="52">
        <f t="shared" si="33"/>
        <v>1</v>
      </c>
      <c r="D208" s="942"/>
      <c r="E208" s="52">
        <f t="shared" si="34"/>
        <v>2.5000000000000001E-2</v>
      </c>
      <c r="F208" s="942"/>
      <c r="G208" s="52">
        <f t="shared" si="35"/>
        <v>0.12</v>
      </c>
      <c r="H208" s="942"/>
      <c r="I208" s="52">
        <f t="shared" si="36"/>
        <v>1</v>
      </c>
      <c r="J208" s="942"/>
      <c r="K208" s="52">
        <f t="shared" si="37"/>
        <v>1</v>
      </c>
      <c r="L208" s="942"/>
      <c r="M208" s="52">
        <f t="shared" si="38"/>
        <v>1</v>
      </c>
      <c r="N208" s="942"/>
      <c r="O208" s="52">
        <f t="shared" si="39"/>
        <v>1</v>
      </c>
      <c r="P208" s="942"/>
      <c r="Q208" s="52">
        <f t="shared" si="40"/>
        <v>0</v>
      </c>
      <c r="R208" s="470">
        <f t="shared" si="41"/>
        <v>0</v>
      </c>
      <c r="S208" s="779">
        <f t="shared" si="42"/>
        <v>0</v>
      </c>
    </row>
    <row r="209" spans="1:19">
      <c r="A209" s="944"/>
      <c r="B209" s="131"/>
      <c r="C209" s="52">
        <f t="shared" si="33"/>
        <v>1</v>
      </c>
      <c r="D209" s="942"/>
      <c r="E209" s="52">
        <f t="shared" si="34"/>
        <v>2.5000000000000001E-2</v>
      </c>
      <c r="F209" s="942"/>
      <c r="G209" s="52">
        <f t="shared" si="35"/>
        <v>0.12</v>
      </c>
      <c r="H209" s="942"/>
      <c r="I209" s="52">
        <f t="shared" si="36"/>
        <v>1</v>
      </c>
      <c r="J209" s="942"/>
      <c r="K209" s="52">
        <f t="shared" si="37"/>
        <v>1</v>
      </c>
      <c r="L209" s="942"/>
      <c r="M209" s="52">
        <f t="shared" si="38"/>
        <v>1</v>
      </c>
      <c r="N209" s="942"/>
      <c r="O209" s="52">
        <f t="shared" si="39"/>
        <v>1</v>
      </c>
      <c r="P209" s="942"/>
      <c r="Q209" s="52">
        <f t="shared" si="40"/>
        <v>0</v>
      </c>
      <c r="R209" s="470">
        <f t="shared" si="41"/>
        <v>0</v>
      </c>
      <c r="S209" s="779">
        <f t="shared" si="42"/>
        <v>0</v>
      </c>
    </row>
    <row r="210" spans="1:19">
      <c r="A210" s="944"/>
      <c r="B210" s="131"/>
      <c r="C210" s="52">
        <f t="shared" si="33"/>
        <v>1</v>
      </c>
      <c r="D210" s="942"/>
      <c r="E210" s="52">
        <f t="shared" si="34"/>
        <v>2.5000000000000001E-2</v>
      </c>
      <c r="F210" s="942"/>
      <c r="G210" s="52">
        <f t="shared" si="35"/>
        <v>0.12</v>
      </c>
      <c r="H210" s="942"/>
      <c r="I210" s="52">
        <f t="shared" si="36"/>
        <v>1</v>
      </c>
      <c r="J210" s="942"/>
      <c r="K210" s="52">
        <f t="shared" si="37"/>
        <v>1</v>
      </c>
      <c r="L210" s="942"/>
      <c r="M210" s="52">
        <f t="shared" si="38"/>
        <v>1</v>
      </c>
      <c r="N210" s="942"/>
      <c r="O210" s="52">
        <f t="shared" si="39"/>
        <v>1</v>
      </c>
      <c r="P210" s="942"/>
      <c r="Q210" s="52">
        <f t="shared" si="40"/>
        <v>0</v>
      </c>
      <c r="R210" s="470">
        <f t="shared" si="41"/>
        <v>0</v>
      </c>
      <c r="S210" s="779">
        <f t="shared" si="42"/>
        <v>0</v>
      </c>
    </row>
    <row r="211" spans="1:19">
      <c r="A211" s="944"/>
      <c r="B211" s="131"/>
      <c r="C211" s="52">
        <f t="shared" si="33"/>
        <v>1</v>
      </c>
      <c r="D211" s="942"/>
      <c r="E211" s="52">
        <f t="shared" si="34"/>
        <v>2.5000000000000001E-2</v>
      </c>
      <c r="F211" s="942"/>
      <c r="G211" s="52">
        <f t="shared" si="35"/>
        <v>0.12</v>
      </c>
      <c r="H211" s="942"/>
      <c r="I211" s="52">
        <f t="shared" si="36"/>
        <v>1</v>
      </c>
      <c r="J211" s="942"/>
      <c r="K211" s="52">
        <f t="shared" si="37"/>
        <v>1</v>
      </c>
      <c r="L211" s="942"/>
      <c r="M211" s="52">
        <f t="shared" si="38"/>
        <v>1</v>
      </c>
      <c r="N211" s="942"/>
      <c r="O211" s="52">
        <f t="shared" si="39"/>
        <v>1</v>
      </c>
      <c r="P211" s="942"/>
      <c r="Q211" s="52">
        <f t="shared" si="40"/>
        <v>0</v>
      </c>
      <c r="R211" s="470">
        <f t="shared" si="41"/>
        <v>0</v>
      </c>
      <c r="S211" s="779">
        <f t="shared" si="42"/>
        <v>0</v>
      </c>
    </row>
    <row r="212" spans="1:19">
      <c r="A212" s="944"/>
      <c r="B212" s="131"/>
      <c r="C212" s="52">
        <f t="shared" si="33"/>
        <v>1</v>
      </c>
      <c r="D212" s="942"/>
      <c r="E212" s="52">
        <f t="shared" si="34"/>
        <v>2.5000000000000001E-2</v>
      </c>
      <c r="F212" s="942"/>
      <c r="G212" s="52">
        <f t="shared" si="35"/>
        <v>0.12</v>
      </c>
      <c r="H212" s="942"/>
      <c r="I212" s="52">
        <f t="shared" si="36"/>
        <v>1</v>
      </c>
      <c r="J212" s="942"/>
      <c r="K212" s="52">
        <f t="shared" si="37"/>
        <v>1</v>
      </c>
      <c r="L212" s="942"/>
      <c r="M212" s="52">
        <f t="shared" si="38"/>
        <v>1</v>
      </c>
      <c r="N212" s="942"/>
      <c r="O212" s="52">
        <f t="shared" si="39"/>
        <v>1</v>
      </c>
      <c r="P212" s="942"/>
      <c r="Q212" s="52">
        <f t="shared" si="40"/>
        <v>0</v>
      </c>
      <c r="R212" s="470">
        <f t="shared" si="41"/>
        <v>0</v>
      </c>
      <c r="S212" s="779">
        <f t="shared" si="42"/>
        <v>0</v>
      </c>
    </row>
    <row r="213" spans="1:19">
      <c r="A213" s="944"/>
      <c r="B213" s="131"/>
      <c r="C213" s="52">
        <f t="shared" si="33"/>
        <v>1</v>
      </c>
      <c r="D213" s="942"/>
      <c r="E213" s="52">
        <f t="shared" si="34"/>
        <v>2.5000000000000001E-2</v>
      </c>
      <c r="F213" s="942"/>
      <c r="G213" s="52">
        <f t="shared" si="35"/>
        <v>0.12</v>
      </c>
      <c r="H213" s="942"/>
      <c r="I213" s="52">
        <f t="shared" si="36"/>
        <v>1</v>
      </c>
      <c r="J213" s="942"/>
      <c r="K213" s="52">
        <f t="shared" si="37"/>
        <v>1</v>
      </c>
      <c r="L213" s="942"/>
      <c r="M213" s="52">
        <f t="shared" si="38"/>
        <v>1</v>
      </c>
      <c r="N213" s="942"/>
      <c r="O213" s="52">
        <f t="shared" si="39"/>
        <v>1</v>
      </c>
      <c r="P213" s="942"/>
      <c r="Q213" s="52">
        <f t="shared" si="40"/>
        <v>0</v>
      </c>
      <c r="R213" s="470">
        <f t="shared" si="41"/>
        <v>0</v>
      </c>
      <c r="S213" s="779">
        <f t="shared" si="42"/>
        <v>0</v>
      </c>
    </row>
    <row r="214" spans="1:19">
      <c r="A214" s="944"/>
      <c r="B214" s="131"/>
      <c r="C214" s="52">
        <f t="shared" si="33"/>
        <v>1</v>
      </c>
      <c r="D214" s="942"/>
      <c r="E214" s="52">
        <f t="shared" si="34"/>
        <v>2.5000000000000001E-2</v>
      </c>
      <c r="F214" s="942"/>
      <c r="G214" s="52">
        <f t="shared" si="35"/>
        <v>0.12</v>
      </c>
      <c r="H214" s="942"/>
      <c r="I214" s="52">
        <f t="shared" si="36"/>
        <v>1</v>
      </c>
      <c r="J214" s="942"/>
      <c r="K214" s="52">
        <f t="shared" si="37"/>
        <v>1</v>
      </c>
      <c r="L214" s="942"/>
      <c r="M214" s="52">
        <f t="shared" si="38"/>
        <v>1</v>
      </c>
      <c r="N214" s="942"/>
      <c r="O214" s="52">
        <f t="shared" si="39"/>
        <v>1</v>
      </c>
      <c r="P214" s="942"/>
      <c r="Q214" s="52">
        <f t="shared" si="40"/>
        <v>0</v>
      </c>
      <c r="R214" s="470">
        <f t="shared" si="41"/>
        <v>0</v>
      </c>
      <c r="S214" s="779">
        <f t="shared" si="42"/>
        <v>0</v>
      </c>
    </row>
    <row r="215" spans="1:19">
      <c r="A215" s="944"/>
      <c r="B215" s="131"/>
      <c r="C215" s="52">
        <f t="shared" si="33"/>
        <v>1</v>
      </c>
      <c r="D215" s="942"/>
      <c r="E215" s="52">
        <f t="shared" si="34"/>
        <v>2.5000000000000001E-2</v>
      </c>
      <c r="F215" s="942"/>
      <c r="G215" s="52">
        <f t="shared" si="35"/>
        <v>0.12</v>
      </c>
      <c r="H215" s="942"/>
      <c r="I215" s="52">
        <f t="shared" si="36"/>
        <v>1</v>
      </c>
      <c r="J215" s="942"/>
      <c r="K215" s="52">
        <f t="shared" si="37"/>
        <v>1</v>
      </c>
      <c r="L215" s="942"/>
      <c r="M215" s="52">
        <f t="shared" si="38"/>
        <v>1</v>
      </c>
      <c r="N215" s="942"/>
      <c r="O215" s="52">
        <f t="shared" si="39"/>
        <v>1</v>
      </c>
      <c r="P215" s="942"/>
      <c r="Q215" s="52">
        <f t="shared" si="40"/>
        <v>0</v>
      </c>
      <c r="R215" s="470">
        <f t="shared" si="41"/>
        <v>0</v>
      </c>
      <c r="S215" s="779">
        <f t="shared" si="42"/>
        <v>0</v>
      </c>
    </row>
    <row r="216" spans="1:19">
      <c r="A216" s="944"/>
      <c r="B216" s="131"/>
      <c r="C216" s="52">
        <f t="shared" si="33"/>
        <v>1</v>
      </c>
      <c r="D216" s="942"/>
      <c r="E216" s="52">
        <f t="shared" si="34"/>
        <v>2.5000000000000001E-2</v>
      </c>
      <c r="F216" s="942"/>
      <c r="G216" s="52">
        <f t="shared" si="35"/>
        <v>0.12</v>
      </c>
      <c r="H216" s="942"/>
      <c r="I216" s="52">
        <f t="shared" si="36"/>
        <v>1</v>
      </c>
      <c r="J216" s="942"/>
      <c r="K216" s="52">
        <f t="shared" si="37"/>
        <v>1</v>
      </c>
      <c r="L216" s="942"/>
      <c r="M216" s="52">
        <f t="shared" si="38"/>
        <v>1</v>
      </c>
      <c r="N216" s="942"/>
      <c r="O216" s="52">
        <f t="shared" si="39"/>
        <v>1</v>
      </c>
      <c r="P216" s="942"/>
      <c r="Q216" s="52">
        <f t="shared" si="40"/>
        <v>0</v>
      </c>
      <c r="R216" s="470">
        <f t="shared" si="41"/>
        <v>0</v>
      </c>
      <c r="S216" s="779">
        <f t="shared" si="42"/>
        <v>0</v>
      </c>
    </row>
    <row r="217" spans="1:19">
      <c r="A217" s="944"/>
      <c r="B217" s="131"/>
      <c r="C217" s="52">
        <f t="shared" si="33"/>
        <v>1</v>
      </c>
      <c r="D217" s="942"/>
      <c r="E217" s="52">
        <f t="shared" si="34"/>
        <v>2.5000000000000001E-2</v>
      </c>
      <c r="F217" s="942"/>
      <c r="G217" s="52">
        <f t="shared" si="35"/>
        <v>0.12</v>
      </c>
      <c r="H217" s="942"/>
      <c r="I217" s="52">
        <f t="shared" si="36"/>
        <v>1</v>
      </c>
      <c r="J217" s="942"/>
      <c r="K217" s="52">
        <f t="shared" si="37"/>
        <v>1</v>
      </c>
      <c r="L217" s="942"/>
      <c r="M217" s="52">
        <f t="shared" si="38"/>
        <v>1</v>
      </c>
      <c r="N217" s="942"/>
      <c r="O217" s="52">
        <f t="shared" si="39"/>
        <v>1</v>
      </c>
      <c r="P217" s="942"/>
      <c r="Q217" s="52">
        <f t="shared" si="40"/>
        <v>0</v>
      </c>
      <c r="R217" s="470">
        <f t="shared" si="41"/>
        <v>0</v>
      </c>
      <c r="S217" s="779">
        <f t="shared" si="42"/>
        <v>0</v>
      </c>
    </row>
    <row r="218" spans="1:19">
      <c r="A218" s="944"/>
      <c r="B218" s="131"/>
      <c r="C218" s="52">
        <f t="shared" ref="C218:C281" si="43">IF(B218="",1,(LOOKUP(B218,$3:$3,$4:$4)-LOOKUP($B$24,$3:$3,$4:$4)+100)/100)</f>
        <v>1</v>
      </c>
      <c r="D218" s="942"/>
      <c r="E218" s="52">
        <f t="shared" ref="E218:E281" si="44">(SUMIF($5:$5,D218,$6:$6)-SUMIF($5:$5,$D$24,$6:$6)+100)/100</f>
        <v>2.5000000000000001E-2</v>
      </c>
      <c r="F218" s="942"/>
      <c r="G218" s="52">
        <f t="shared" ref="G218:G281" si="45">(SUMIF($7:$7,F218,$8:$8)-SUMIF($7:$7,$F$24,$8:$8)+100)/100</f>
        <v>0.12</v>
      </c>
      <c r="H218" s="942"/>
      <c r="I218" s="52">
        <f t="shared" ref="I218:I281" si="46">(SUMIF($9:$9,H218,$10:$10)-SUMIF($9:$9,$H$24,$10:$10)+100)/100</f>
        <v>1</v>
      </c>
      <c r="J218" s="942"/>
      <c r="K218" s="52">
        <f t="shared" ref="K218:K281" si="47">(SUMIF($11:$11,J218,$12:$12)-SUMIF($11:$11,$J$24,$12:$12)+100)/100</f>
        <v>1</v>
      </c>
      <c r="L218" s="942"/>
      <c r="M218" s="52">
        <f t="shared" ref="M218:M281" si="48">(SUMIF($13:$13,L218,$14:$14)-SUMIF($13:$13,$L$24,$14:$14)+100)/100</f>
        <v>1</v>
      </c>
      <c r="N218" s="942"/>
      <c r="O218" s="52">
        <f t="shared" ref="O218:O281" si="49">(SUMIF($15:$15,N218,$16:$16)-SUMIF($15:$15,$N$24,$16:$16)+100)/100</f>
        <v>1</v>
      </c>
      <c r="P218" s="942"/>
      <c r="Q218" s="52">
        <f t="shared" ref="Q218:Q281" si="50">(SUMIF($17:$17,P218,$18:$18)-SUMIF($17:$17,$P$24,$18:$18)+100)/100</f>
        <v>0</v>
      </c>
      <c r="R218" s="470">
        <f t="shared" ref="R218:R281" si="51">IF(B218="",0,ROUND($R$24*C218*E218*G218*I218*K218*M218*O218*Q218,0))</f>
        <v>0</v>
      </c>
      <c r="S218" s="779">
        <f t="shared" si="42"/>
        <v>0</v>
      </c>
    </row>
    <row r="219" spans="1:19">
      <c r="A219" s="944"/>
      <c r="B219" s="131"/>
      <c r="C219" s="52">
        <f t="shared" si="43"/>
        <v>1</v>
      </c>
      <c r="D219" s="942"/>
      <c r="E219" s="52">
        <f t="shared" si="44"/>
        <v>2.5000000000000001E-2</v>
      </c>
      <c r="F219" s="942"/>
      <c r="G219" s="52">
        <f t="shared" si="45"/>
        <v>0.12</v>
      </c>
      <c r="H219" s="942"/>
      <c r="I219" s="52">
        <f t="shared" si="46"/>
        <v>1</v>
      </c>
      <c r="J219" s="942"/>
      <c r="K219" s="52">
        <f t="shared" si="47"/>
        <v>1</v>
      </c>
      <c r="L219" s="942"/>
      <c r="M219" s="52">
        <f t="shared" si="48"/>
        <v>1</v>
      </c>
      <c r="N219" s="942"/>
      <c r="O219" s="52">
        <f t="shared" si="49"/>
        <v>1</v>
      </c>
      <c r="P219" s="942"/>
      <c r="Q219" s="52">
        <f t="shared" si="50"/>
        <v>0</v>
      </c>
      <c r="R219" s="470">
        <f t="shared" si="51"/>
        <v>0</v>
      </c>
      <c r="S219" s="779">
        <f t="shared" si="42"/>
        <v>0</v>
      </c>
    </row>
    <row r="220" spans="1:19">
      <c r="A220" s="944"/>
      <c r="B220" s="131"/>
      <c r="C220" s="52">
        <f t="shared" si="43"/>
        <v>1</v>
      </c>
      <c r="D220" s="942"/>
      <c r="E220" s="52">
        <f t="shared" si="44"/>
        <v>2.5000000000000001E-2</v>
      </c>
      <c r="F220" s="942"/>
      <c r="G220" s="52">
        <f t="shared" si="45"/>
        <v>0.12</v>
      </c>
      <c r="H220" s="942"/>
      <c r="I220" s="52">
        <f t="shared" si="46"/>
        <v>1</v>
      </c>
      <c r="J220" s="942"/>
      <c r="K220" s="52">
        <f t="shared" si="47"/>
        <v>1</v>
      </c>
      <c r="L220" s="942"/>
      <c r="M220" s="52">
        <f t="shared" si="48"/>
        <v>1</v>
      </c>
      <c r="N220" s="942"/>
      <c r="O220" s="52">
        <f t="shared" si="49"/>
        <v>1</v>
      </c>
      <c r="P220" s="942"/>
      <c r="Q220" s="52">
        <f t="shared" si="50"/>
        <v>0</v>
      </c>
      <c r="R220" s="470">
        <f t="shared" si="51"/>
        <v>0</v>
      </c>
      <c r="S220" s="779">
        <f t="shared" si="42"/>
        <v>0</v>
      </c>
    </row>
    <row r="221" spans="1:19">
      <c r="A221" s="944"/>
      <c r="B221" s="131"/>
      <c r="C221" s="52">
        <f t="shared" si="43"/>
        <v>1</v>
      </c>
      <c r="D221" s="942"/>
      <c r="E221" s="52">
        <f t="shared" si="44"/>
        <v>2.5000000000000001E-2</v>
      </c>
      <c r="F221" s="942"/>
      <c r="G221" s="52">
        <f t="shared" si="45"/>
        <v>0.12</v>
      </c>
      <c r="H221" s="942"/>
      <c r="I221" s="52">
        <f t="shared" si="46"/>
        <v>1</v>
      </c>
      <c r="J221" s="942"/>
      <c r="K221" s="52">
        <f t="shared" si="47"/>
        <v>1</v>
      </c>
      <c r="L221" s="942"/>
      <c r="M221" s="52">
        <f t="shared" si="48"/>
        <v>1</v>
      </c>
      <c r="N221" s="942"/>
      <c r="O221" s="52">
        <f t="shared" si="49"/>
        <v>1</v>
      </c>
      <c r="P221" s="942"/>
      <c r="Q221" s="52">
        <f t="shared" si="50"/>
        <v>0</v>
      </c>
      <c r="R221" s="470">
        <f t="shared" si="51"/>
        <v>0</v>
      </c>
      <c r="S221" s="779">
        <f t="shared" si="42"/>
        <v>0</v>
      </c>
    </row>
    <row r="222" spans="1:19">
      <c r="A222" s="944"/>
      <c r="B222" s="131"/>
      <c r="C222" s="52">
        <f t="shared" si="43"/>
        <v>1</v>
      </c>
      <c r="D222" s="942"/>
      <c r="E222" s="52">
        <f t="shared" si="44"/>
        <v>2.5000000000000001E-2</v>
      </c>
      <c r="F222" s="942"/>
      <c r="G222" s="52">
        <f t="shared" si="45"/>
        <v>0.12</v>
      </c>
      <c r="H222" s="942"/>
      <c r="I222" s="52">
        <f t="shared" si="46"/>
        <v>1</v>
      </c>
      <c r="J222" s="942"/>
      <c r="K222" s="52">
        <f t="shared" si="47"/>
        <v>1</v>
      </c>
      <c r="L222" s="942"/>
      <c r="M222" s="52">
        <f t="shared" si="48"/>
        <v>1</v>
      </c>
      <c r="N222" s="942"/>
      <c r="O222" s="52">
        <f t="shared" si="49"/>
        <v>1</v>
      </c>
      <c r="P222" s="942"/>
      <c r="Q222" s="52">
        <f t="shared" si="50"/>
        <v>0</v>
      </c>
      <c r="R222" s="470">
        <f t="shared" si="51"/>
        <v>0</v>
      </c>
      <c r="S222" s="779">
        <f t="shared" si="42"/>
        <v>0</v>
      </c>
    </row>
    <row r="223" spans="1:19">
      <c r="A223" s="944"/>
      <c r="B223" s="131"/>
      <c r="C223" s="52">
        <f t="shared" si="43"/>
        <v>1</v>
      </c>
      <c r="D223" s="942"/>
      <c r="E223" s="52">
        <f t="shared" si="44"/>
        <v>2.5000000000000001E-2</v>
      </c>
      <c r="F223" s="942"/>
      <c r="G223" s="52">
        <f t="shared" si="45"/>
        <v>0.12</v>
      </c>
      <c r="H223" s="942"/>
      <c r="I223" s="52">
        <f t="shared" si="46"/>
        <v>1</v>
      </c>
      <c r="J223" s="942"/>
      <c r="K223" s="52">
        <f t="shared" si="47"/>
        <v>1</v>
      </c>
      <c r="L223" s="942"/>
      <c r="M223" s="52">
        <f t="shared" si="48"/>
        <v>1</v>
      </c>
      <c r="N223" s="942"/>
      <c r="O223" s="52">
        <f t="shared" si="49"/>
        <v>1</v>
      </c>
      <c r="P223" s="942"/>
      <c r="Q223" s="52">
        <f t="shared" si="50"/>
        <v>0</v>
      </c>
      <c r="R223" s="470">
        <f t="shared" si="51"/>
        <v>0</v>
      </c>
      <c r="S223" s="779">
        <f t="shared" ref="S223:S286" si="52">ROUND(R223*B223/10000,0)</f>
        <v>0</v>
      </c>
    </row>
    <row r="224" spans="1:19">
      <c r="A224" s="944"/>
      <c r="B224" s="131"/>
      <c r="C224" s="52">
        <f t="shared" si="43"/>
        <v>1</v>
      </c>
      <c r="D224" s="942"/>
      <c r="E224" s="52">
        <f t="shared" si="44"/>
        <v>2.5000000000000001E-2</v>
      </c>
      <c r="F224" s="942"/>
      <c r="G224" s="52">
        <f t="shared" si="45"/>
        <v>0.12</v>
      </c>
      <c r="H224" s="942"/>
      <c r="I224" s="52">
        <f t="shared" si="46"/>
        <v>1</v>
      </c>
      <c r="J224" s="942"/>
      <c r="K224" s="52">
        <f t="shared" si="47"/>
        <v>1</v>
      </c>
      <c r="L224" s="942"/>
      <c r="M224" s="52">
        <f t="shared" si="48"/>
        <v>1</v>
      </c>
      <c r="N224" s="942"/>
      <c r="O224" s="52">
        <f t="shared" si="49"/>
        <v>1</v>
      </c>
      <c r="P224" s="942"/>
      <c r="Q224" s="52">
        <f t="shared" si="50"/>
        <v>0</v>
      </c>
      <c r="R224" s="470">
        <f t="shared" si="51"/>
        <v>0</v>
      </c>
      <c r="S224" s="779">
        <f t="shared" si="52"/>
        <v>0</v>
      </c>
    </row>
    <row r="225" spans="1:19">
      <c r="A225" s="944"/>
      <c r="B225" s="131"/>
      <c r="C225" s="52">
        <f t="shared" si="43"/>
        <v>1</v>
      </c>
      <c r="D225" s="942"/>
      <c r="E225" s="52">
        <f t="shared" si="44"/>
        <v>2.5000000000000001E-2</v>
      </c>
      <c r="F225" s="942"/>
      <c r="G225" s="52">
        <f t="shared" si="45"/>
        <v>0.12</v>
      </c>
      <c r="H225" s="942"/>
      <c r="I225" s="52">
        <f t="shared" si="46"/>
        <v>1</v>
      </c>
      <c r="J225" s="942"/>
      <c r="K225" s="52">
        <f t="shared" si="47"/>
        <v>1</v>
      </c>
      <c r="L225" s="942"/>
      <c r="M225" s="52">
        <f t="shared" si="48"/>
        <v>1</v>
      </c>
      <c r="N225" s="942"/>
      <c r="O225" s="52">
        <f t="shared" si="49"/>
        <v>1</v>
      </c>
      <c r="P225" s="942"/>
      <c r="Q225" s="52">
        <f t="shared" si="50"/>
        <v>0</v>
      </c>
      <c r="R225" s="470">
        <f t="shared" si="51"/>
        <v>0</v>
      </c>
      <c r="S225" s="779">
        <f t="shared" si="52"/>
        <v>0</v>
      </c>
    </row>
    <row r="226" spans="1:19">
      <c r="A226" s="944"/>
      <c r="B226" s="131"/>
      <c r="C226" s="52">
        <f t="shared" si="43"/>
        <v>1</v>
      </c>
      <c r="D226" s="942"/>
      <c r="E226" s="52">
        <f t="shared" si="44"/>
        <v>2.5000000000000001E-2</v>
      </c>
      <c r="F226" s="942"/>
      <c r="G226" s="52">
        <f t="shared" si="45"/>
        <v>0.12</v>
      </c>
      <c r="H226" s="942"/>
      <c r="I226" s="52">
        <f t="shared" si="46"/>
        <v>1</v>
      </c>
      <c r="J226" s="942"/>
      <c r="K226" s="52">
        <f t="shared" si="47"/>
        <v>1</v>
      </c>
      <c r="L226" s="942"/>
      <c r="M226" s="52">
        <f t="shared" si="48"/>
        <v>1</v>
      </c>
      <c r="N226" s="942"/>
      <c r="O226" s="52">
        <f t="shared" si="49"/>
        <v>1</v>
      </c>
      <c r="P226" s="942"/>
      <c r="Q226" s="52">
        <f t="shared" si="50"/>
        <v>0</v>
      </c>
      <c r="R226" s="470">
        <f t="shared" si="51"/>
        <v>0</v>
      </c>
      <c r="S226" s="779">
        <f t="shared" si="52"/>
        <v>0</v>
      </c>
    </row>
    <row r="227" spans="1:19">
      <c r="A227" s="944"/>
      <c r="B227" s="131"/>
      <c r="C227" s="52">
        <f t="shared" si="43"/>
        <v>1</v>
      </c>
      <c r="D227" s="942"/>
      <c r="E227" s="52">
        <f t="shared" si="44"/>
        <v>2.5000000000000001E-2</v>
      </c>
      <c r="F227" s="942"/>
      <c r="G227" s="52">
        <f t="shared" si="45"/>
        <v>0.12</v>
      </c>
      <c r="H227" s="942"/>
      <c r="I227" s="52">
        <f t="shared" si="46"/>
        <v>1</v>
      </c>
      <c r="J227" s="942"/>
      <c r="K227" s="52">
        <f t="shared" si="47"/>
        <v>1</v>
      </c>
      <c r="L227" s="942"/>
      <c r="M227" s="52">
        <f t="shared" si="48"/>
        <v>1</v>
      </c>
      <c r="N227" s="942"/>
      <c r="O227" s="52">
        <f t="shared" si="49"/>
        <v>1</v>
      </c>
      <c r="P227" s="942"/>
      <c r="Q227" s="52">
        <f t="shared" si="50"/>
        <v>0</v>
      </c>
      <c r="R227" s="470">
        <f t="shared" si="51"/>
        <v>0</v>
      </c>
      <c r="S227" s="779">
        <f t="shared" si="52"/>
        <v>0</v>
      </c>
    </row>
    <row r="228" spans="1:19">
      <c r="A228" s="944"/>
      <c r="B228" s="131"/>
      <c r="C228" s="52">
        <f t="shared" si="43"/>
        <v>1</v>
      </c>
      <c r="D228" s="942"/>
      <c r="E228" s="52">
        <f t="shared" si="44"/>
        <v>2.5000000000000001E-2</v>
      </c>
      <c r="F228" s="942"/>
      <c r="G228" s="52">
        <f t="shared" si="45"/>
        <v>0.12</v>
      </c>
      <c r="H228" s="942"/>
      <c r="I228" s="52">
        <f t="shared" si="46"/>
        <v>1</v>
      </c>
      <c r="J228" s="942"/>
      <c r="K228" s="52">
        <f t="shared" si="47"/>
        <v>1</v>
      </c>
      <c r="L228" s="942"/>
      <c r="M228" s="52">
        <f t="shared" si="48"/>
        <v>1</v>
      </c>
      <c r="N228" s="942"/>
      <c r="O228" s="52">
        <f t="shared" si="49"/>
        <v>1</v>
      </c>
      <c r="P228" s="942"/>
      <c r="Q228" s="52">
        <f t="shared" si="50"/>
        <v>0</v>
      </c>
      <c r="R228" s="470">
        <f t="shared" si="51"/>
        <v>0</v>
      </c>
      <c r="S228" s="779">
        <f t="shared" si="52"/>
        <v>0</v>
      </c>
    </row>
    <row r="229" spans="1:19">
      <c r="A229" s="944"/>
      <c r="B229" s="131"/>
      <c r="C229" s="52">
        <f t="shared" si="43"/>
        <v>1</v>
      </c>
      <c r="D229" s="942"/>
      <c r="E229" s="52">
        <f t="shared" si="44"/>
        <v>2.5000000000000001E-2</v>
      </c>
      <c r="F229" s="942"/>
      <c r="G229" s="52">
        <f t="shared" si="45"/>
        <v>0.12</v>
      </c>
      <c r="H229" s="942"/>
      <c r="I229" s="52">
        <f t="shared" si="46"/>
        <v>1</v>
      </c>
      <c r="J229" s="942"/>
      <c r="K229" s="52">
        <f t="shared" si="47"/>
        <v>1</v>
      </c>
      <c r="L229" s="942"/>
      <c r="M229" s="52">
        <f t="shared" si="48"/>
        <v>1</v>
      </c>
      <c r="N229" s="942"/>
      <c r="O229" s="52">
        <f t="shared" si="49"/>
        <v>1</v>
      </c>
      <c r="P229" s="942"/>
      <c r="Q229" s="52">
        <f t="shared" si="50"/>
        <v>0</v>
      </c>
      <c r="R229" s="470">
        <f t="shared" si="51"/>
        <v>0</v>
      </c>
      <c r="S229" s="779">
        <f t="shared" si="52"/>
        <v>0</v>
      </c>
    </row>
    <row r="230" spans="1:19">
      <c r="A230" s="944"/>
      <c r="B230" s="131"/>
      <c r="C230" s="52">
        <f t="shared" si="43"/>
        <v>1</v>
      </c>
      <c r="D230" s="942"/>
      <c r="E230" s="52">
        <f t="shared" si="44"/>
        <v>2.5000000000000001E-2</v>
      </c>
      <c r="F230" s="942"/>
      <c r="G230" s="52">
        <f t="shared" si="45"/>
        <v>0.12</v>
      </c>
      <c r="H230" s="942"/>
      <c r="I230" s="52">
        <f t="shared" si="46"/>
        <v>1</v>
      </c>
      <c r="J230" s="942"/>
      <c r="K230" s="52">
        <f t="shared" si="47"/>
        <v>1</v>
      </c>
      <c r="L230" s="942"/>
      <c r="M230" s="52">
        <f t="shared" si="48"/>
        <v>1</v>
      </c>
      <c r="N230" s="942"/>
      <c r="O230" s="52">
        <f t="shared" si="49"/>
        <v>1</v>
      </c>
      <c r="P230" s="942"/>
      <c r="Q230" s="52">
        <f t="shared" si="50"/>
        <v>0</v>
      </c>
      <c r="R230" s="470">
        <f t="shared" si="51"/>
        <v>0</v>
      </c>
      <c r="S230" s="779">
        <f t="shared" si="52"/>
        <v>0</v>
      </c>
    </row>
    <row r="231" spans="1:19">
      <c r="A231" s="944"/>
      <c r="B231" s="131"/>
      <c r="C231" s="52">
        <f t="shared" si="43"/>
        <v>1</v>
      </c>
      <c r="D231" s="942"/>
      <c r="E231" s="52">
        <f t="shared" si="44"/>
        <v>2.5000000000000001E-2</v>
      </c>
      <c r="F231" s="942"/>
      <c r="G231" s="52">
        <f t="shared" si="45"/>
        <v>0.12</v>
      </c>
      <c r="H231" s="942"/>
      <c r="I231" s="52">
        <f t="shared" si="46"/>
        <v>1</v>
      </c>
      <c r="J231" s="942"/>
      <c r="K231" s="52">
        <f t="shared" si="47"/>
        <v>1</v>
      </c>
      <c r="L231" s="942"/>
      <c r="M231" s="52">
        <f t="shared" si="48"/>
        <v>1</v>
      </c>
      <c r="N231" s="942"/>
      <c r="O231" s="52">
        <f t="shared" si="49"/>
        <v>1</v>
      </c>
      <c r="P231" s="942"/>
      <c r="Q231" s="52">
        <f t="shared" si="50"/>
        <v>0</v>
      </c>
      <c r="R231" s="470">
        <f t="shared" si="51"/>
        <v>0</v>
      </c>
      <c r="S231" s="779">
        <f t="shared" si="52"/>
        <v>0</v>
      </c>
    </row>
    <row r="232" spans="1:19">
      <c r="A232" s="944"/>
      <c r="B232" s="131"/>
      <c r="C232" s="52">
        <f t="shared" si="43"/>
        <v>1</v>
      </c>
      <c r="D232" s="942"/>
      <c r="E232" s="52">
        <f t="shared" si="44"/>
        <v>2.5000000000000001E-2</v>
      </c>
      <c r="F232" s="942"/>
      <c r="G232" s="52">
        <f t="shared" si="45"/>
        <v>0.12</v>
      </c>
      <c r="H232" s="942"/>
      <c r="I232" s="52">
        <f t="shared" si="46"/>
        <v>1</v>
      </c>
      <c r="J232" s="942"/>
      <c r="K232" s="52">
        <f t="shared" si="47"/>
        <v>1</v>
      </c>
      <c r="L232" s="942"/>
      <c r="M232" s="52">
        <f t="shared" si="48"/>
        <v>1</v>
      </c>
      <c r="N232" s="942"/>
      <c r="O232" s="52">
        <f t="shared" si="49"/>
        <v>1</v>
      </c>
      <c r="P232" s="942"/>
      <c r="Q232" s="52">
        <f t="shared" si="50"/>
        <v>0</v>
      </c>
      <c r="R232" s="470">
        <f t="shared" si="51"/>
        <v>0</v>
      </c>
      <c r="S232" s="779">
        <f t="shared" si="52"/>
        <v>0</v>
      </c>
    </row>
    <row r="233" spans="1:19">
      <c r="A233" s="944"/>
      <c r="B233" s="131"/>
      <c r="C233" s="52">
        <f t="shared" si="43"/>
        <v>1</v>
      </c>
      <c r="D233" s="942"/>
      <c r="E233" s="52">
        <f t="shared" si="44"/>
        <v>2.5000000000000001E-2</v>
      </c>
      <c r="F233" s="942"/>
      <c r="G233" s="52">
        <f t="shared" si="45"/>
        <v>0.12</v>
      </c>
      <c r="H233" s="942"/>
      <c r="I233" s="52">
        <f t="shared" si="46"/>
        <v>1</v>
      </c>
      <c r="J233" s="942"/>
      <c r="K233" s="52">
        <f t="shared" si="47"/>
        <v>1</v>
      </c>
      <c r="L233" s="942"/>
      <c r="M233" s="52">
        <f t="shared" si="48"/>
        <v>1</v>
      </c>
      <c r="N233" s="942"/>
      <c r="O233" s="52">
        <f t="shared" si="49"/>
        <v>1</v>
      </c>
      <c r="P233" s="942"/>
      <c r="Q233" s="52">
        <f t="shared" si="50"/>
        <v>0</v>
      </c>
      <c r="R233" s="470">
        <f t="shared" si="51"/>
        <v>0</v>
      </c>
      <c r="S233" s="779">
        <f t="shared" si="52"/>
        <v>0</v>
      </c>
    </row>
    <row r="234" spans="1:19">
      <c r="A234" s="944"/>
      <c r="B234" s="131"/>
      <c r="C234" s="52">
        <f t="shared" si="43"/>
        <v>1</v>
      </c>
      <c r="D234" s="942"/>
      <c r="E234" s="52">
        <f t="shared" si="44"/>
        <v>2.5000000000000001E-2</v>
      </c>
      <c r="F234" s="942"/>
      <c r="G234" s="52">
        <f t="shared" si="45"/>
        <v>0.12</v>
      </c>
      <c r="H234" s="942"/>
      <c r="I234" s="52">
        <f t="shared" si="46"/>
        <v>1</v>
      </c>
      <c r="J234" s="942"/>
      <c r="K234" s="52">
        <f t="shared" si="47"/>
        <v>1</v>
      </c>
      <c r="L234" s="942"/>
      <c r="M234" s="52">
        <f t="shared" si="48"/>
        <v>1</v>
      </c>
      <c r="N234" s="942"/>
      <c r="O234" s="52">
        <f t="shared" si="49"/>
        <v>1</v>
      </c>
      <c r="P234" s="942"/>
      <c r="Q234" s="52">
        <f t="shared" si="50"/>
        <v>0</v>
      </c>
      <c r="R234" s="470">
        <f t="shared" si="51"/>
        <v>0</v>
      </c>
      <c r="S234" s="779">
        <f t="shared" si="52"/>
        <v>0</v>
      </c>
    </row>
    <row r="235" spans="1:19">
      <c r="A235" s="944"/>
      <c r="B235" s="131"/>
      <c r="C235" s="52">
        <f t="shared" si="43"/>
        <v>1</v>
      </c>
      <c r="D235" s="942"/>
      <c r="E235" s="52">
        <f t="shared" si="44"/>
        <v>2.5000000000000001E-2</v>
      </c>
      <c r="F235" s="942"/>
      <c r="G235" s="52">
        <f t="shared" si="45"/>
        <v>0.12</v>
      </c>
      <c r="H235" s="942"/>
      <c r="I235" s="52">
        <f t="shared" si="46"/>
        <v>1</v>
      </c>
      <c r="J235" s="942"/>
      <c r="K235" s="52">
        <f t="shared" si="47"/>
        <v>1</v>
      </c>
      <c r="L235" s="942"/>
      <c r="M235" s="52">
        <f t="shared" si="48"/>
        <v>1</v>
      </c>
      <c r="N235" s="942"/>
      <c r="O235" s="52">
        <f t="shared" si="49"/>
        <v>1</v>
      </c>
      <c r="P235" s="942"/>
      <c r="Q235" s="52">
        <f t="shared" si="50"/>
        <v>0</v>
      </c>
      <c r="R235" s="470">
        <f t="shared" si="51"/>
        <v>0</v>
      </c>
      <c r="S235" s="779">
        <f t="shared" si="52"/>
        <v>0</v>
      </c>
    </row>
    <row r="236" spans="1:19">
      <c r="A236" s="944"/>
      <c r="B236" s="131"/>
      <c r="C236" s="52">
        <f t="shared" si="43"/>
        <v>1</v>
      </c>
      <c r="D236" s="942"/>
      <c r="E236" s="52">
        <f t="shared" si="44"/>
        <v>2.5000000000000001E-2</v>
      </c>
      <c r="F236" s="942"/>
      <c r="G236" s="52">
        <f t="shared" si="45"/>
        <v>0.12</v>
      </c>
      <c r="H236" s="942"/>
      <c r="I236" s="52">
        <f t="shared" si="46"/>
        <v>1</v>
      </c>
      <c r="J236" s="942"/>
      <c r="K236" s="52">
        <f t="shared" si="47"/>
        <v>1</v>
      </c>
      <c r="L236" s="942"/>
      <c r="M236" s="52">
        <f t="shared" si="48"/>
        <v>1</v>
      </c>
      <c r="N236" s="942"/>
      <c r="O236" s="52">
        <f t="shared" si="49"/>
        <v>1</v>
      </c>
      <c r="P236" s="942"/>
      <c r="Q236" s="52">
        <f t="shared" si="50"/>
        <v>0</v>
      </c>
      <c r="R236" s="470">
        <f t="shared" si="51"/>
        <v>0</v>
      </c>
      <c r="S236" s="779">
        <f t="shared" si="52"/>
        <v>0</v>
      </c>
    </row>
    <row r="237" spans="1:19">
      <c r="A237" s="944"/>
      <c r="B237" s="131"/>
      <c r="C237" s="52">
        <f t="shared" si="43"/>
        <v>1</v>
      </c>
      <c r="D237" s="942"/>
      <c r="E237" s="52">
        <f t="shared" si="44"/>
        <v>2.5000000000000001E-2</v>
      </c>
      <c r="F237" s="942"/>
      <c r="G237" s="52">
        <f t="shared" si="45"/>
        <v>0.12</v>
      </c>
      <c r="H237" s="942"/>
      <c r="I237" s="52">
        <f t="shared" si="46"/>
        <v>1</v>
      </c>
      <c r="J237" s="942"/>
      <c r="K237" s="52">
        <f t="shared" si="47"/>
        <v>1</v>
      </c>
      <c r="L237" s="942"/>
      <c r="M237" s="52">
        <f t="shared" si="48"/>
        <v>1</v>
      </c>
      <c r="N237" s="942"/>
      <c r="O237" s="52">
        <f t="shared" si="49"/>
        <v>1</v>
      </c>
      <c r="P237" s="942"/>
      <c r="Q237" s="52">
        <f t="shared" si="50"/>
        <v>0</v>
      </c>
      <c r="R237" s="470">
        <f t="shared" si="51"/>
        <v>0</v>
      </c>
      <c r="S237" s="779">
        <f t="shared" si="52"/>
        <v>0</v>
      </c>
    </row>
    <row r="238" spans="1:19">
      <c r="A238" s="944"/>
      <c r="B238" s="131"/>
      <c r="C238" s="52">
        <f t="shared" si="43"/>
        <v>1</v>
      </c>
      <c r="D238" s="942"/>
      <c r="E238" s="52">
        <f t="shared" si="44"/>
        <v>2.5000000000000001E-2</v>
      </c>
      <c r="F238" s="942"/>
      <c r="G238" s="52">
        <f t="shared" si="45"/>
        <v>0.12</v>
      </c>
      <c r="H238" s="942"/>
      <c r="I238" s="52">
        <f t="shared" si="46"/>
        <v>1</v>
      </c>
      <c r="J238" s="942"/>
      <c r="K238" s="52">
        <f t="shared" si="47"/>
        <v>1</v>
      </c>
      <c r="L238" s="942"/>
      <c r="M238" s="52">
        <f t="shared" si="48"/>
        <v>1</v>
      </c>
      <c r="N238" s="942"/>
      <c r="O238" s="52">
        <f t="shared" si="49"/>
        <v>1</v>
      </c>
      <c r="P238" s="942"/>
      <c r="Q238" s="52">
        <f t="shared" si="50"/>
        <v>0</v>
      </c>
      <c r="R238" s="470">
        <f t="shared" si="51"/>
        <v>0</v>
      </c>
      <c r="S238" s="779">
        <f t="shared" si="52"/>
        <v>0</v>
      </c>
    </row>
    <row r="239" spans="1:19">
      <c r="A239" s="944"/>
      <c r="B239" s="131"/>
      <c r="C239" s="52">
        <f t="shared" si="43"/>
        <v>1</v>
      </c>
      <c r="D239" s="942"/>
      <c r="E239" s="52">
        <f t="shared" si="44"/>
        <v>2.5000000000000001E-2</v>
      </c>
      <c r="F239" s="942"/>
      <c r="G239" s="52">
        <f t="shared" si="45"/>
        <v>0.12</v>
      </c>
      <c r="H239" s="942"/>
      <c r="I239" s="52">
        <f t="shared" si="46"/>
        <v>1</v>
      </c>
      <c r="J239" s="942"/>
      <c r="K239" s="52">
        <f t="shared" si="47"/>
        <v>1</v>
      </c>
      <c r="L239" s="942"/>
      <c r="M239" s="52">
        <f t="shared" si="48"/>
        <v>1</v>
      </c>
      <c r="N239" s="942"/>
      <c r="O239" s="52">
        <f t="shared" si="49"/>
        <v>1</v>
      </c>
      <c r="P239" s="942"/>
      <c r="Q239" s="52">
        <f t="shared" si="50"/>
        <v>0</v>
      </c>
      <c r="R239" s="470">
        <f t="shared" si="51"/>
        <v>0</v>
      </c>
      <c r="S239" s="779">
        <f t="shared" si="52"/>
        <v>0</v>
      </c>
    </row>
    <row r="240" spans="1:19">
      <c r="A240" s="944"/>
      <c r="B240" s="131"/>
      <c r="C240" s="52">
        <f t="shared" si="43"/>
        <v>1</v>
      </c>
      <c r="D240" s="942"/>
      <c r="E240" s="52">
        <f t="shared" si="44"/>
        <v>2.5000000000000001E-2</v>
      </c>
      <c r="F240" s="942"/>
      <c r="G240" s="52">
        <f t="shared" si="45"/>
        <v>0.12</v>
      </c>
      <c r="H240" s="942"/>
      <c r="I240" s="52">
        <f t="shared" si="46"/>
        <v>1</v>
      </c>
      <c r="J240" s="942"/>
      <c r="K240" s="52">
        <f t="shared" si="47"/>
        <v>1</v>
      </c>
      <c r="L240" s="942"/>
      <c r="M240" s="52">
        <f t="shared" si="48"/>
        <v>1</v>
      </c>
      <c r="N240" s="942"/>
      <c r="O240" s="52">
        <f t="shared" si="49"/>
        <v>1</v>
      </c>
      <c r="P240" s="942"/>
      <c r="Q240" s="52">
        <f t="shared" si="50"/>
        <v>0</v>
      </c>
      <c r="R240" s="470">
        <f t="shared" si="51"/>
        <v>0</v>
      </c>
      <c r="S240" s="779">
        <f t="shared" si="52"/>
        <v>0</v>
      </c>
    </row>
    <row r="241" spans="1:19">
      <c r="A241" s="944"/>
      <c r="B241" s="131"/>
      <c r="C241" s="52">
        <f t="shared" si="43"/>
        <v>1</v>
      </c>
      <c r="D241" s="942"/>
      <c r="E241" s="52">
        <f t="shared" si="44"/>
        <v>2.5000000000000001E-2</v>
      </c>
      <c r="F241" s="942"/>
      <c r="G241" s="52">
        <f t="shared" si="45"/>
        <v>0.12</v>
      </c>
      <c r="H241" s="942"/>
      <c r="I241" s="52">
        <f t="shared" si="46"/>
        <v>1</v>
      </c>
      <c r="J241" s="942"/>
      <c r="K241" s="52">
        <f t="shared" si="47"/>
        <v>1</v>
      </c>
      <c r="L241" s="942"/>
      <c r="M241" s="52">
        <f t="shared" si="48"/>
        <v>1</v>
      </c>
      <c r="N241" s="942"/>
      <c r="O241" s="52">
        <f t="shared" si="49"/>
        <v>1</v>
      </c>
      <c r="P241" s="942"/>
      <c r="Q241" s="52">
        <f t="shared" si="50"/>
        <v>0</v>
      </c>
      <c r="R241" s="470">
        <f t="shared" si="51"/>
        <v>0</v>
      </c>
      <c r="S241" s="779">
        <f t="shared" si="52"/>
        <v>0</v>
      </c>
    </row>
    <row r="242" spans="1:19">
      <c r="A242" s="944"/>
      <c r="B242" s="131"/>
      <c r="C242" s="52">
        <f t="shared" si="43"/>
        <v>1</v>
      </c>
      <c r="D242" s="942"/>
      <c r="E242" s="52">
        <f t="shared" si="44"/>
        <v>2.5000000000000001E-2</v>
      </c>
      <c r="F242" s="942"/>
      <c r="G242" s="52">
        <f t="shared" si="45"/>
        <v>0.12</v>
      </c>
      <c r="H242" s="942"/>
      <c r="I242" s="52">
        <f t="shared" si="46"/>
        <v>1</v>
      </c>
      <c r="J242" s="942"/>
      <c r="K242" s="52">
        <f t="shared" si="47"/>
        <v>1</v>
      </c>
      <c r="L242" s="942"/>
      <c r="M242" s="52">
        <f t="shared" si="48"/>
        <v>1</v>
      </c>
      <c r="N242" s="942"/>
      <c r="O242" s="52">
        <f t="shared" si="49"/>
        <v>1</v>
      </c>
      <c r="P242" s="942"/>
      <c r="Q242" s="52">
        <f t="shared" si="50"/>
        <v>0</v>
      </c>
      <c r="R242" s="470">
        <f t="shared" si="51"/>
        <v>0</v>
      </c>
      <c r="S242" s="779">
        <f t="shared" si="52"/>
        <v>0</v>
      </c>
    </row>
    <row r="243" spans="1:19">
      <c r="A243" s="944"/>
      <c r="B243" s="131"/>
      <c r="C243" s="52">
        <f t="shared" si="43"/>
        <v>1</v>
      </c>
      <c r="D243" s="942"/>
      <c r="E243" s="52">
        <f t="shared" si="44"/>
        <v>2.5000000000000001E-2</v>
      </c>
      <c r="F243" s="942"/>
      <c r="G243" s="52">
        <f t="shared" si="45"/>
        <v>0.12</v>
      </c>
      <c r="H243" s="942"/>
      <c r="I243" s="52">
        <f t="shared" si="46"/>
        <v>1</v>
      </c>
      <c r="J243" s="942"/>
      <c r="K243" s="52">
        <f t="shared" si="47"/>
        <v>1</v>
      </c>
      <c r="L243" s="942"/>
      <c r="M243" s="52">
        <f t="shared" si="48"/>
        <v>1</v>
      </c>
      <c r="N243" s="942"/>
      <c r="O243" s="52">
        <f t="shared" si="49"/>
        <v>1</v>
      </c>
      <c r="P243" s="942"/>
      <c r="Q243" s="52">
        <f t="shared" si="50"/>
        <v>0</v>
      </c>
      <c r="R243" s="470">
        <f t="shared" si="51"/>
        <v>0</v>
      </c>
      <c r="S243" s="779">
        <f t="shared" si="52"/>
        <v>0</v>
      </c>
    </row>
    <row r="244" spans="1:19">
      <c r="A244" s="944"/>
      <c r="B244" s="131"/>
      <c r="C244" s="52">
        <f t="shared" si="43"/>
        <v>1</v>
      </c>
      <c r="D244" s="942"/>
      <c r="E244" s="52">
        <f t="shared" si="44"/>
        <v>2.5000000000000001E-2</v>
      </c>
      <c r="F244" s="942"/>
      <c r="G244" s="52">
        <f t="shared" si="45"/>
        <v>0.12</v>
      </c>
      <c r="H244" s="942"/>
      <c r="I244" s="52">
        <f t="shared" si="46"/>
        <v>1</v>
      </c>
      <c r="J244" s="942"/>
      <c r="K244" s="52">
        <f t="shared" si="47"/>
        <v>1</v>
      </c>
      <c r="L244" s="942"/>
      <c r="M244" s="52">
        <f t="shared" si="48"/>
        <v>1</v>
      </c>
      <c r="N244" s="942"/>
      <c r="O244" s="52">
        <f t="shared" si="49"/>
        <v>1</v>
      </c>
      <c r="P244" s="942"/>
      <c r="Q244" s="52">
        <f t="shared" si="50"/>
        <v>0</v>
      </c>
      <c r="R244" s="470">
        <f t="shared" si="51"/>
        <v>0</v>
      </c>
      <c r="S244" s="779">
        <f t="shared" si="52"/>
        <v>0</v>
      </c>
    </row>
    <row r="245" spans="1:19">
      <c r="A245" s="944"/>
      <c r="B245" s="131"/>
      <c r="C245" s="52">
        <f t="shared" si="43"/>
        <v>1</v>
      </c>
      <c r="D245" s="942"/>
      <c r="E245" s="52">
        <f t="shared" si="44"/>
        <v>2.5000000000000001E-2</v>
      </c>
      <c r="F245" s="942"/>
      <c r="G245" s="52">
        <f t="shared" si="45"/>
        <v>0.12</v>
      </c>
      <c r="H245" s="942"/>
      <c r="I245" s="52">
        <f t="shared" si="46"/>
        <v>1</v>
      </c>
      <c r="J245" s="942"/>
      <c r="K245" s="52">
        <f t="shared" si="47"/>
        <v>1</v>
      </c>
      <c r="L245" s="942"/>
      <c r="M245" s="52">
        <f t="shared" si="48"/>
        <v>1</v>
      </c>
      <c r="N245" s="942"/>
      <c r="O245" s="52">
        <f t="shared" si="49"/>
        <v>1</v>
      </c>
      <c r="P245" s="942"/>
      <c r="Q245" s="52">
        <f t="shared" si="50"/>
        <v>0</v>
      </c>
      <c r="R245" s="470">
        <f t="shared" si="51"/>
        <v>0</v>
      </c>
      <c r="S245" s="779">
        <f t="shared" si="52"/>
        <v>0</v>
      </c>
    </row>
    <row r="246" spans="1:19">
      <c r="A246" s="944"/>
      <c r="B246" s="131"/>
      <c r="C246" s="52">
        <f t="shared" si="43"/>
        <v>1</v>
      </c>
      <c r="D246" s="942"/>
      <c r="E246" s="52">
        <f t="shared" si="44"/>
        <v>2.5000000000000001E-2</v>
      </c>
      <c r="F246" s="942"/>
      <c r="G246" s="52">
        <f t="shared" si="45"/>
        <v>0.12</v>
      </c>
      <c r="H246" s="942"/>
      <c r="I246" s="52">
        <f t="shared" si="46"/>
        <v>1</v>
      </c>
      <c r="J246" s="942"/>
      <c r="K246" s="52">
        <f t="shared" si="47"/>
        <v>1</v>
      </c>
      <c r="L246" s="942"/>
      <c r="M246" s="52">
        <f t="shared" si="48"/>
        <v>1</v>
      </c>
      <c r="N246" s="942"/>
      <c r="O246" s="52">
        <f t="shared" si="49"/>
        <v>1</v>
      </c>
      <c r="P246" s="942"/>
      <c r="Q246" s="52">
        <f t="shared" si="50"/>
        <v>0</v>
      </c>
      <c r="R246" s="470">
        <f t="shared" si="51"/>
        <v>0</v>
      </c>
      <c r="S246" s="779">
        <f t="shared" si="52"/>
        <v>0</v>
      </c>
    </row>
    <row r="247" spans="1:19">
      <c r="A247" s="944"/>
      <c r="B247" s="131"/>
      <c r="C247" s="52">
        <f t="shared" si="43"/>
        <v>1</v>
      </c>
      <c r="D247" s="942"/>
      <c r="E247" s="52">
        <f t="shared" si="44"/>
        <v>2.5000000000000001E-2</v>
      </c>
      <c r="F247" s="942"/>
      <c r="G247" s="52">
        <f t="shared" si="45"/>
        <v>0.12</v>
      </c>
      <c r="H247" s="942"/>
      <c r="I247" s="52">
        <f t="shared" si="46"/>
        <v>1</v>
      </c>
      <c r="J247" s="942"/>
      <c r="K247" s="52">
        <f t="shared" si="47"/>
        <v>1</v>
      </c>
      <c r="L247" s="942"/>
      <c r="M247" s="52">
        <f t="shared" si="48"/>
        <v>1</v>
      </c>
      <c r="N247" s="942"/>
      <c r="O247" s="52">
        <f t="shared" si="49"/>
        <v>1</v>
      </c>
      <c r="P247" s="942"/>
      <c r="Q247" s="52">
        <f t="shared" si="50"/>
        <v>0</v>
      </c>
      <c r="R247" s="470">
        <f t="shared" si="51"/>
        <v>0</v>
      </c>
      <c r="S247" s="779">
        <f t="shared" si="52"/>
        <v>0</v>
      </c>
    </row>
    <row r="248" spans="1:19">
      <c r="A248" s="944"/>
      <c r="B248" s="131"/>
      <c r="C248" s="52">
        <f t="shared" si="43"/>
        <v>1</v>
      </c>
      <c r="D248" s="942"/>
      <c r="E248" s="52">
        <f t="shared" si="44"/>
        <v>2.5000000000000001E-2</v>
      </c>
      <c r="F248" s="942"/>
      <c r="G248" s="52">
        <f t="shared" si="45"/>
        <v>0.12</v>
      </c>
      <c r="H248" s="942"/>
      <c r="I248" s="52">
        <f t="shared" si="46"/>
        <v>1</v>
      </c>
      <c r="J248" s="942"/>
      <c r="K248" s="52">
        <f t="shared" si="47"/>
        <v>1</v>
      </c>
      <c r="L248" s="942"/>
      <c r="M248" s="52">
        <f t="shared" si="48"/>
        <v>1</v>
      </c>
      <c r="N248" s="942"/>
      <c r="O248" s="52">
        <f t="shared" si="49"/>
        <v>1</v>
      </c>
      <c r="P248" s="942"/>
      <c r="Q248" s="52">
        <f t="shared" si="50"/>
        <v>0</v>
      </c>
      <c r="R248" s="470">
        <f t="shared" si="51"/>
        <v>0</v>
      </c>
      <c r="S248" s="779">
        <f t="shared" si="52"/>
        <v>0</v>
      </c>
    </row>
    <row r="249" spans="1:19">
      <c r="A249" s="944"/>
      <c r="B249" s="131"/>
      <c r="C249" s="52">
        <f t="shared" si="43"/>
        <v>1</v>
      </c>
      <c r="D249" s="942"/>
      <c r="E249" s="52">
        <f t="shared" si="44"/>
        <v>2.5000000000000001E-2</v>
      </c>
      <c r="F249" s="942"/>
      <c r="G249" s="52">
        <f t="shared" si="45"/>
        <v>0.12</v>
      </c>
      <c r="H249" s="942"/>
      <c r="I249" s="52">
        <f t="shared" si="46"/>
        <v>1</v>
      </c>
      <c r="J249" s="942"/>
      <c r="K249" s="52">
        <f t="shared" si="47"/>
        <v>1</v>
      </c>
      <c r="L249" s="942"/>
      <c r="M249" s="52">
        <f t="shared" si="48"/>
        <v>1</v>
      </c>
      <c r="N249" s="942"/>
      <c r="O249" s="52">
        <f t="shared" si="49"/>
        <v>1</v>
      </c>
      <c r="P249" s="942"/>
      <c r="Q249" s="52">
        <f t="shared" si="50"/>
        <v>0</v>
      </c>
      <c r="R249" s="470">
        <f t="shared" si="51"/>
        <v>0</v>
      </c>
      <c r="S249" s="779">
        <f t="shared" si="52"/>
        <v>0</v>
      </c>
    </row>
    <row r="250" spans="1:19">
      <c r="A250" s="944"/>
      <c r="B250" s="131"/>
      <c r="C250" s="52">
        <f t="shared" si="43"/>
        <v>1</v>
      </c>
      <c r="D250" s="942"/>
      <c r="E250" s="52">
        <f t="shared" si="44"/>
        <v>2.5000000000000001E-2</v>
      </c>
      <c r="F250" s="942"/>
      <c r="G250" s="52">
        <f t="shared" si="45"/>
        <v>0.12</v>
      </c>
      <c r="H250" s="942"/>
      <c r="I250" s="52">
        <f t="shared" si="46"/>
        <v>1</v>
      </c>
      <c r="J250" s="942"/>
      <c r="K250" s="52">
        <f t="shared" si="47"/>
        <v>1</v>
      </c>
      <c r="L250" s="942"/>
      <c r="M250" s="52">
        <f t="shared" si="48"/>
        <v>1</v>
      </c>
      <c r="N250" s="942"/>
      <c r="O250" s="52">
        <f t="shared" si="49"/>
        <v>1</v>
      </c>
      <c r="P250" s="942"/>
      <c r="Q250" s="52">
        <f t="shared" si="50"/>
        <v>0</v>
      </c>
      <c r="R250" s="470">
        <f t="shared" si="51"/>
        <v>0</v>
      </c>
      <c r="S250" s="779">
        <f t="shared" si="52"/>
        <v>0</v>
      </c>
    </row>
    <row r="251" spans="1:19">
      <c r="A251" s="944"/>
      <c r="B251" s="131"/>
      <c r="C251" s="52">
        <f t="shared" si="43"/>
        <v>1</v>
      </c>
      <c r="D251" s="942"/>
      <c r="E251" s="52">
        <f t="shared" si="44"/>
        <v>2.5000000000000001E-2</v>
      </c>
      <c r="F251" s="942"/>
      <c r="G251" s="52">
        <f t="shared" si="45"/>
        <v>0.12</v>
      </c>
      <c r="H251" s="942"/>
      <c r="I251" s="52">
        <f t="shared" si="46"/>
        <v>1</v>
      </c>
      <c r="J251" s="942"/>
      <c r="K251" s="52">
        <f t="shared" si="47"/>
        <v>1</v>
      </c>
      <c r="L251" s="942"/>
      <c r="M251" s="52">
        <f t="shared" si="48"/>
        <v>1</v>
      </c>
      <c r="N251" s="942"/>
      <c r="O251" s="52">
        <f t="shared" si="49"/>
        <v>1</v>
      </c>
      <c r="P251" s="942"/>
      <c r="Q251" s="52">
        <f t="shared" si="50"/>
        <v>0</v>
      </c>
      <c r="R251" s="470">
        <f t="shared" si="51"/>
        <v>0</v>
      </c>
      <c r="S251" s="779">
        <f t="shared" si="52"/>
        <v>0</v>
      </c>
    </row>
    <row r="252" spans="1:19">
      <c r="A252" s="944"/>
      <c r="B252" s="131"/>
      <c r="C252" s="52">
        <f t="shared" si="43"/>
        <v>1</v>
      </c>
      <c r="D252" s="942"/>
      <c r="E252" s="52">
        <f t="shared" si="44"/>
        <v>2.5000000000000001E-2</v>
      </c>
      <c r="F252" s="942"/>
      <c r="G252" s="52">
        <f t="shared" si="45"/>
        <v>0.12</v>
      </c>
      <c r="H252" s="942"/>
      <c r="I252" s="52">
        <f t="shared" si="46"/>
        <v>1</v>
      </c>
      <c r="J252" s="942"/>
      <c r="K252" s="52">
        <f t="shared" si="47"/>
        <v>1</v>
      </c>
      <c r="L252" s="942"/>
      <c r="M252" s="52">
        <f t="shared" si="48"/>
        <v>1</v>
      </c>
      <c r="N252" s="942"/>
      <c r="O252" s="52">
        <f t="shared" si="49"/>
        <v>1</v>
      </c>
      <c r="P252" s="942"/>
      <c r="Q252" s="52">
        <f t="shared" si="50"/>
        <v>0</v>
      </c>
      <c r="R252" s="470">
        <f t="shared" si="51"/>
        <v>0</v>
      </c>
      <c r="S252" s="779">
        <f t="shared" si="52"/>
        <v>0</v>
      </c>
    </row>
    <row r="253" spans="1:19">
      <c r="A253" s="944"/>
      <c r="B253" s="131"/>
      <c r="C253" s="52">
        <f t="shared" si="43"/>
        <v>1</v>
      </c>
      <c r="D253" s="942"/>
      <c r="E253" s="52">
        <f t="shared" si="44"/>
        <v>2.5000000000000001E-2</v>
      </c>
      <c r="F253" s="942"/>
      <c r="G253" s="52">
        <f t="shared" si="45"/>
        <v>0.12</v>
      </c>
      <c r="H253" s="942"/>
      <c r="I253" s="52">
        <f t="shared" si="46"/>
        <v>1</v>
      </c>
      <c r="J253" s="942"/>
      <c r="K253" s="52">
        <f t="shared" si="47"/>
        <v>1</v>
      </c>
      <c r="L253" s="942"/>
      <c r="M253" s="52">
        <f t="shared" si="48"/>
        <v>1</v>
      </c>
      <c r="N253" s="942"/>
      <c r="O253" s="52">
        <f t="shared" si="49"/>
        <v>1</v>
      </c>
      <c r="P253" s="942"/>
      <c r="Q253" s="52">
        <f t="shared" si="50"/>
        <v>0</v>
      </c>
      <c r="R253" s="470">
        <f t="shared" si="51"/>
        <v>0</v>
      </c>
      <c r="S253" s="779">
        <f t="shared" si="52"/>
        <v>0</v>
      </c>
    </row>
    <row r="254" spans="1:19">
      <c r="A254" s="944"/>
      <c r="B254" s="131"/>
      <c r="C254" s="52">
        <f t="shared" si="43"/>
        <v>1</v>
      </c>
      <c r="D254" s="942"/>
      <c r="E254" s="52">
        <f t="shared" si="44"/>
        <v>2.5000000000000001E-2</v>
      </c>
      <c r="F254" s="942"/>
      <c r="G254" s="52">
        <f t="shared" si="45"/>
        <v>0.12</v>
      </c>
      <c r="H254" s="942"/>
      <c r="I254" s="52">
        <f t="shared" si="46"/>
        <v>1</v>
      </c>
      <c r="J254" s="942"/>
      <c r="K254" s="52">
        <f t="shared" si="47"/>
        <v>1</v>
      </c>
      <c r="L254" s="942"/>
      <c r="M254" s="52">
        <f t="shared" si="48"/>
        <v>1</v>
      </c>
      <c r="N254" s="942"/>
      <c r="O254" s="52">
        <f t="shared" si="49"/>
        <v>1</v>
      </c>
      <c r="P254" s="942"/>
      <c r="Q254" s="52">
        <f t="shared" si="50"/>
        <v>0</v>
      </c>
      <c r="R254" s="470">
        <f t="shared" si="51"/>
        <v>0</v>
      </c>
      <c r="S254" s="779">
        <f t="shared" si="52"/>
        <v>0</v>
      </c>
    </row>
    <row r="255" spans="1:19">
      <c r="A255" s="944"/>
      <c r="B255" s="131"/>
      <c r="C255" s="52">
        <f t="shared" si="43"/>
        <v>1</v>
      </c>
      <c r="D255" s="942"/>
      <c r="E255" s="52">
        <f t="shared" si="44"/>
        <v>2.5000000000000001E-2</v>
      </c>
      <c r="F255" s="942"/>
      <c r="G255" s="52">
        <f t="shared" si="45"/>
        <v>0.12</v>
      </c>
      <c r="H255" s="942"/>
      <c r="I255" s="52">
        <f t="shared" si="46"/>
        <v>1</v>
      </c>
      <c r="J255" s="942"/>
      <c r="K255" s="52">
        <f t="shared" si="47"/>
        <v>1</v>
      </c>
      <c r="L255" s="942"/>
      <c r="M255" s="52">
        <f t="shared" si="48"/>
        <v>1</v>
      </c>
      <c r="N255" s="942"/>
      <c r="O255" s="52">
        <f t="shared" si="49"/>
        <v>1</v>
      </c>
      <c r="P255" s="942"/>
      <c r="Q255" s="52">
        <f t="shared" si="50"/>
        <v>0</v>
      </c>
      <c r="R255" s="470">
        <f t="shared" si="51"/>
        <v>0</v>
      </c>
      <c r="S255" s="779">
        <f t="shared" si="52"/>
        <v>0</v>
      </c>
    </row>
    <row r="256" spans="1:19">
      <c r="A256" s="944"/>
      <c r="B256" s="131"/>
      <c r="C256" s="52">
        <f t="shared" si="43"/>
        <v>1</v>
      </c>
      <c r="D256" s="942"/>
      <c r="E256" s="52">
        <f t="shared" si="44"/>
        <v>2.5000000000000001E-2</v>
      </c>
      <c r="F256" s="942"/>
      <c r="G256" s="52">
        <f t="shared" si="45"/>
        <v>0.12</v>
      </c>
      <c r="H256" s="942"/>
      <c r="I256" s="52">
        <f t="shared" si="46"/>
        <v>1</v>
      </c>
      <c r="J256" s="942"/>
      <c r="K256" s="52">
        <f t="shared" si="47"/>
        <v>1</v>
      </c>
      <c r="L256" s="942"/>
      <c r="M256" s="52">
        <f t="shared" si="48"/>
        <v>1</v>
      </c>
      <c r="N256" s="942"/>
      <c r="O256" s="52">
        <f t="shared" si="49"/>
        <v>1</v>
      </c>
      <c r="P256" s="942"/>
      <c r="Q256" s="52">
        <f t="shared" si="50"/>
        <v>0</v>
      </c>
      <c r="R256" s="470">
        <f t="shared" si="51"/>
        <v>0</v>
      </c>
      <c r="S256" s="779">
        <f t="shared" si="52"/>
        <v>0</v>
      </c>
    </row>
    <row r="257" spans="1:19">
      <c r="A257" s="944"/>
      <c r="B257" s="131"/>
      <c r="C257" s="52">
        <f t="shared" si="43"/>
        <v>1</v>
      </c>
      <c r="D257" s="942"/>
      <c r="E257" s="52">
        <f t="shared" si="44"/>
        <v>2.5000000000000001E-2</v>
      </c>
      <c r="F257" s="942"/>
      <c r="G257" s="52">
        <f t="shared" si="45"/>
        <v>0.12</v>
      </c>
      <c r="H257" s="942"/>
      <c r="I257" s="52">
        <f t="shared" si="46"/>
        <v>1</v>
      </c>
      <c r="J257" s="942"/>
      <c r="K257" s="52">
        <f t="shared" si="47"/>
        <v>1</v>
      </c>
      <c r="L257" s="942"/>
      <c r="M257" s="52">
        <f t="shared" si="48"/>
        <v>1</v>
      </c>
      <c r="N257" s="942"/>
      <c r="O257" s="52">
        <f t="shared" si="49"/>
        <v>1</v>
      </c>
      <c r="P257" s="942"/>
      <c r="Q257" s="52">
        <f t="shared" si="50"/>
        <v>0</v>
      </c>
      <c r="R257" s="470">
        <f t="shared" si="51"/>
        <v>0</v>
      </c>
      <c r="S257" s="779">
        <f t="shared" si="52"/>
        <v>0</v>
      </c>
    </row>
    <row r="258" spans="1:19">
      <c r="A258" s="944"/>
      <c r="B258" s="131"/>
      <c r="C258" s="52">
        <f t="shared" si="43"/>
        <v>1</v>
      </c>
      <c r="D258" s="942"/>
      <c r="E258" s="52">
        <f t="shared" si="44"/>
        <v>2.5000000000000001E-2</v>
      </c>
      <c r="F258" s="942"/>
      <c r="G258" s="52">
        <f t="shared" si="45"/>
        <v>0.12</v>
      </c>
      <c r="H258" s="942"/>
      <c r="I258" s="52">
        <f t="shared" si="46"/>
        <v>1</v>
      </c>
      <c r="J258" s="942"/>
      <c r="K258" s="52">
        <f t="shared" si="47"/>
        <v>1</v>
      </c>
      <c r="L258" s="942"/>
      <c r="M258" s="52">
        <f t="shared" si="48"/>
        <v>1</v>
      </c>
      <c r="N258" s="942"/>
      <c r="O258" s="52">
        <f t="shared" si="49"/>
        <v>1</v>
      </c>
      <c r="P258" s="942"/>
      <c r="Q258" s="52">
        <f t="shared" si="50"/>
        <v>0</v>
      </c>
      <c r="R258" s="470">
        <f t="shared" si="51"/>
        <v>0</v>
      </c>
      <c r="S258" s="779">
        <f t="shared" si="52"/>
        <v>0</v>
      </c>
    </row>
    <row r="259" spans="1:19">
      <c r="A259" s="944"/>
      <c r="B259" s="131"/>
      <c r="C259" s="52">
        <f t="shared" si="43"/>
        <v>1</v>
      </c>
      <c r="D259" s="942"/>
      <c r="E259" s="52">
        <f t="shared" si="44"/>
        <v>2.5000000000000001E-2</v>
      </c>
      <c r="F259" s="942"/>
      <c r="G259" s="52">
        <f t="shared" si="45"/>
        <v>0.12</v>
      </c>
      <c r="H259" s="942"/>
      <c r="I259" s="52">
        <f t="shared" si="46"/>
        <v>1</v>
      </c>
      <c r="J259" s="942"/>
      <c r="K259" s="52">
        <f t="shared" si="47"/>
        <v>1</v>
      </c>
      <c r="L259" s="942"/>
      <c r="M259" s="52">
        <f t="shared" si="48"/>
        <v>1</v>
      </c>
      <c r="N259" s="942"/>
      <c r="O259" s="52">
        <f t="shared" si="49"/>
        <v>1</v>
      </c>
      <c r="P259" s="942"/>
      <c r="Q259" s="52">
        <f t="shared" si="50"/>
        <v>0</v>
      </c>
      <c r="R259" s="470">
        <f t="shared" si="51"/>
        <v>0</v>
      </c>
      <c r="S259" s="779">
        <f t="shared" si="52"/>
        <v>0</v>
      </c>
    </row>
    <row r="260" spans="1:19">
      <c r="A260" s="944"/>
      <c r="B260" s="131"/>
      <c r="C260" s="52">
        <f t="shared" si="43"/>
        <v>1</v>
      </c>
      <c r="D260" s="942"/>
      <c r="E260" s="52">
        <f t="shared" si="44"/>
        <v>2.5000000000000001E-2</v>
      </c>
      <c r="F260" s="942"/>
      <c r="G260" s="52">
        <f t="shared" si="45"/>
        <v>0.12</v>
      </c>
      <c r="H260" s="942"/>
      <c r="I260" s="52">
        <f t="shared" si="46"/>
        <v>1</v>
      </c>
      <c r="J260" s="942"/>
      <c r="K260" s="52">
        <f t="shared" si="47"/>
        <v>1</v>
      </c>
      <c r="L260" s="942"/>
      <c r="M260" s="52">
        <f t="shared" si="48"/>
        <v>1</v>
      </c>
      <c r="N260" s="942"/>
      <c r="O260" s="52">
        <f t="shared" si="49"/>
        <v>1</v>
      </c>
      <c r="P260" s="942"/>
      <c r="Q260" s="52">
        <f t="shared" si="50"/>
        <v>0</v>
      </c>
      <c r="R260" s="470">
        <f t="shared" si="51"/>
        <v>0</v>
      </c>
      <c r="S260" s="779">
        <f t="shared" si="52"/>
        <v>0</v>
      </c>
    </row>
    <row r="261" spans="1:19">
      <c r="A261" s="944"/>
      <c r="B261" s="131"/>
      <c r="C261" s="52">
        <f t="shared" si="43"/>
        <v>1</v>
      </c>
      <c r="D261" s="942"/>
      <c r="E261" s="52">
        <f t="shared" si="44"/>
        <v>2.5000000000000001E-2</v>
      </c>
      <c r="F261" s="942"/>
      <c r="G261" s="52">
        <f t="shared" si="45"/>
        <v>0.12</v>
      </c>
      <c r="H261" s="942"/>
      <c r="I261" s="52">
        <f t="shared" si="46"/>
        <v>1</v>
      </c>
      <c r="J261" s="942"/>
      <c r="K261" s="52">
        <f t="shared" si="47"/>
        <v>1</v>
      </c>
      <c r="L261" s="942"/>
      <c r="M261" s="52">
        <f t="shared" si="48"/>
        <v>1</v>
      </c>
      <c r="N261" s="942"/>
      <c r="O261" s="52">
        <f t="shared" si="49"/>
        <v>1</v>
      </c>
      <c r="P261" s="942"/>
      <c r="Q261" s="52">
        <f t="shared" si="50"/>
        <v>0</v>
      </c>
      <c r="R261" s="470">
        <f t="shared" si="51"/>
        <v>0</v>
      </c>
      <c r="S261" s="779">
        <f t="shared" si="52"/>
        <v>0</v>
      </c>
    </row>
    <row r="262" spans="1:19">
      <c r="A262" s="944"/>
      <c r="B262" s="131"/>
      <c r="C262" s="52">
        <f t="shared" si="43"/>
        <v>1</v>
      </c>
      <c r="D262" s="942"/>
      <c r="E262" s="52">
        <f t="shared" si="44"/>
        <v>2.5000000000000001E-2</v>
      </c>
      <c r="F262" s="942"/>
      <c r="G262" s="52">
        <f t="shared" si="45"/>
        <v>0.12</v>
      </c>
      <c r="H262" s="942"/>
      <c r="I262" s="52">
        <f t="shared" si="46"/>
        <v>1</v>
      </c>
      <c r="J262" s="942"/>
      <c r="K262" s="52">
        <f t="shared" si="47"/>
        <v>1</v>
      </c>
      <c r="L262" s="942"/>
      <c r="M262" s="52">
        <f t="shared" si="48"/>
        <v>1</v>
      </c>
      <c r="N262" s="942"/>
      <c r="O262" s="52">
        <f t="shared" si="49"/>
        <v>1</v>
      </c>
      <c r="P262" s="942"/>
      <c r="Q262" s="52">
        <f t="shared" si="50"/>
        <v>0</v>
      </c>
      <c r="R262" s="470">
        <f t="shared" si="51"/>
        <v>0</v>
      </c>
      <c r="S262" s="779">
        <f t="shared" si="52"/>
        <v>0</v>
      </c>
    </row>
    <row r="263" spans="1:19">
      <c r="A263" s="944"/>
      <c r="B263" s="131"/>
      <c r="C263" s="52">
        <f t="shared" si="43"/>
        <v>1</v>
      </c>
      <c r="D263" s="942"/>
      <c r="E263" s="52">
        <f t="shared" si="44"/>
        <v>2.5000000000000001E-2</v>
      </c>
      <c r="F263" s="942"/>
      <c r="G263" s="52">
        <f t="shared" si="45"/>
        <v>0.12</v>
      </c>
      <c r="H263" s="942"/>
      <c r="I263" s="52">
        <f t="shared" si="46"/>
        <v>1</v>
      </c>
      <c r="J263" s="942"/>
      <c r="K263" s="52">
        <f t="shared" si="47"/>
        <v>1</v>
      </c>
      <c r="L263" s="942"/>
      <c r="M263" s="52">
        <f t="shared" si="48"/>
        <v>1</v>
      </c>
      <c r="N263" s="942"/>
      <c r="O263" s="52">
        <f t="shared" si="49"/>
        <v>1</v>
      </c>
      <c r="P263" s="942"/>
      <c r="Q263" s="52">
        <f t="shared" si="50"/>
        <v>0</v>
      </c>
      <c r="R263" s="470">
        <f t="shared" si="51"/>
        <v>0</v>
      </c>
      <c r="S263" s="779">
        <f t="shared" si="52"/>
        <v>0</v>
      </c>
    </row>
    <row r="264" spans="1:19">
      <c r="A264" s="944"/>
      <c r="B264" s="131"/>
      <c r="C264" s="52">
        <f t="shared" si="43"/>
        <v>1</v>
      </c>
      <c r="D264" s="942"/>
      <c r="E264" s="52">
        <f t="shared" si="44"/>
        <v>2.5000000000000001E-2</v>
      </c>
      <c r="F264" s="942"/>
      <c r="G264" s="52">
        <f t="shared" si="45"/>
        <v>0.12</v>
      </c>
      <c r="H264" s="942"/>
      <c r="I264" s="52">
        <f t="shared" si="46"/>
        <v>1</v>
      </c>
      <c r="J264" s="942"/>
      <c r="K264" s="52">
        <f t="shared" si="47"/>
        <v>1</v>
      </c>
      <c r="L264" s="942"/>
      <c r="M264" s="52">
        <f t="shared" si="48"/>
        <v>1</v>
      </c>
      <c r="N264" s="942"/>
      <c r="O264" s="52">
        <f t="shared" si="49"/>
        <v>1</v>
      </c>
      <c r="P264" s="942"/>
      <c r="Q264" s="52">
        <f t="shared" si="50"/>
        <v>0</v>
      </c>
      <c r="R264" s="470">
        <f t="shared" si="51"/>
        <v>0</v>
      </c>
      <c r="S264" s="779">
        <f t="shared" si="52"/>
        <v>0</v>
      </c>
    </row>
    <row r="265" spans="1:19">
      <c r="A265" s="944"/>
      <c r="B265" s="131"/>
      <c r="C265" s="52">
        <f t="shared" si="43"/>
        <v>1</v>
      </c>
      <c r="D265" s="942"/>
      <c r="E265" s="52">
        <f t="shared" si="44"/>
        <v>2.5000000000000001E-2</v>
      </c>
      <c r="F265" s="942"/>
      <c r="G265" s="52">
        <f t="shared" si="45"/>
        <v>0.12</v>
      </c>
      <c r="H265" s="942"/>
      <c r="I265" s="52">
        <f t="shared" si="46"/>
        <v>1</v>
      </c>
      <c r="J265" s="942"/>
      <c r="K265" s="52">
        <f t="shared" si="47"/>
        <v>1</v>
      </c>
      <c r="L265" s="942"/>
      <c r="M265" s="52">
        <f t="shared" si="48"/>
        <v>1</v>
      </c>
      <c r="N265" s="942"/>
      <c r="O265" s="52">
        <f t="shared" si="49"/>
        <v>1</v>
      </c>
      <c r="P265" s="942"/>
      <c r="Q265" s="52">
        <f t="shared" si="50"/>
        <v>0</v>
      </c>
      <c r="R265" s="470">
        <f t="shared" si="51"/>
        <v>0</v>
      </c>
      <c r="S265" s="779">
        <f t="shared" si="52"/>
        <v>0</v>
      </c>
    </row>
    <row r="266" spans="1:19">
      <c r="A266" s="944"/>
      <c r="B266" s="131"/>
      <c r="C266" s="52">
        <f t="shared" si="43"/>
        <v>1</v>
      </c>
      <c r="D266" s="942"/>
      <c r="E266" s="52">
        <f t="shared" si="44"/>
        <v>2.5000000000000001E-2</v>
      </c>
      <c r="F266" s="942"/>
      <c r="G266" s="52">
        <f t="shared" si="45"/>
        <v>0.12</v>
      </c>
      <c r="H266" s="942"/>
      <c r="I266" s="52">
        <f t="shared" si="46"/>
        <v>1</v>
      </c>
      <c r="J266" s="942"/>
      <c r="K266" s="52">
        <f t="shared" si="47"/>
        <v>1</v>
      </c>
      <c r="L266" s="942"/>
      <c r="M266" s="52">
        <f t="shared" si="48"/>
        <v>1</v>
      </c>
      <c r="N266" s="942"/>
      <c r="O266" s="52">
        <f t="shared" si="49"/>
        <v>1</v>
      </c>
      <c r="P266" s="942"/>
      <c r="Q266" s="52">
        <f t="shared" si="50"/>
        <v>0</v>
      </c>
      <c r="R266" s="470">
        <f t="shared" si="51"/>
        <v>0</v>
      </c>
      <c r="S266" s="779">
        <f t="shared" si="52"/>
        <v>0</v>
      </c>
    </row>
    <row r="267" spans="1:19">
      <c r="A267" s="944"/>
      <c r="B267" s="131"/>
      <c r="C267" s="52">
        <f t="shared" si="43"/>
        <v>1</v>
      </c>
      <c r="D267" s="942"/>
      <c r="E267" s="52">
        <f t="shared" si="44"/>
        <v>2.5000000000000001E-2</v>
      </c>
      <c r="F267" s="942"/>
      <c r="G267" s="52">
        <f t="shared" si="45"/>
        <v>0.12</v>
      </c>
      <c r="H267" s="942"/>
      <c r="I267" s="52">
        <f t="shared" si="46"/>
        <v>1</v>
      </c>
      <c r="J267" s="942"/>
      <c r="K267" s="52">
        <f t="shared" si="47"/>
        <v>1</v>
      </c>
      <c r="L267" s="942"/>
      <c r="M267" s="52">
        <f t="shared" si="48"/>
        <v>1</v>
      </c>
      <c r="N267" s="942"/>
      <c r="O267" s="52">
        <f t="shared" si="49"/>
        <v>1</v>
      </c>
      <c r="P267" s="942"/>
      <c r="Q267" s="52">
        <f t="shared" si="50"/>
        <v>0</v>
      </c>
      <c r="R267" s="470">
        <f t="shared" si="51"/>
        <v>0</v>
      </c>
      <c r="S267" s="779">
        <f t="shared" si="52"/>
        <v>0</v>
      </c>
    </row>
    <row r="268" spans="1:19">
      <c r="A268" s="944"/>
      <c r="B268" s="131"/>
      <c r="C268" s="52">
        <f t="shared" si="43"/>
        <v>1</v>
      </c>
      <c r="D268" s="942"/>
      <c r="E268" s="52">
        <f t="shared" si="44"/>
        <v>2.5000000000000001E-2</v>
      </c>
      <c r="F268" s="942"/>
      <c r="G268" s="52">
        <f t="shared" si="45"/>
        <v>0.12</v>
      </c>
      <c r="H268" s="942"/>
      <c r="I268" s="52">
        <f t="shared" si="46"/>
        <v>1</v>
      </c>
      <c r="J268" s="942"/>
      <c r="K268" s="52">
        <f t="shared" si="47"/>
        <v>1</v>
      </c>
      <c r="L268" s="942"/>
      <c r="M268" s="52">
        <f t="shared" si="48"/>
        <v>1</v>
      </c>
      <c r="N268" s="942"/>
      <c r="O268" s="52">
        <f t="shared" si="49"/>
        <v>1</v>
      </c>
      <c r="P268" s="942"/>
      <c r="Q268" s="52">
        <f t="shared" si="50"/>
        <v>0</v>
      </c>
      <c r="R268" s="470">
        <f t="shared" si="51"/>
        <v>0</v>
      </c>
      <c r="S268" s="779">
        <f t="shared" si="52"/>
        <v>0</v>
      </c>
    </row>
    <row r="269" spans="1:19">
      <c r="A269" s="944"/>
      <c r="B269" s="131"/>
      <c r="C269" s="52">
        <f t="shared" si="43"/>
        <v>1</v>
      </c>
      <c r="D269" s="942"/>
      <c r="E269" s="52">
        <f t="shared" si="44"/>
        <v>2.5000000000000001E-2</v>
      </c>
      <c r="F269" s="942"/>
      <c r="G269" s="52">
        <f t="shared" si="45"/>
        <v>0.12</v>
      </c>
      <c r="H269" s="942"/>
      <c r="I269" s="52">
        <f t="shared" si="46"/>
        <v>1</v>
      </c>
      <c r="J269" s="942"/>
      <c r="K269" s="52">
        <f t="shared" si="47"/>
        <v>1</v>
      </c>
      <c r="L269" s="942"/>
      <c r="M269" s="52">
        <f t="shared" si="48"/>
        <v>1</v>
      </c>
      <c r="N269" s="942"/>
      <c r="O269" s="52">
        <f t="shared" si="49"/>
        <v>1</v>
      </c>
      <c r="P269" s="942"/>
      <c r="Q269" s="52">
        <f t="shared" si="50"/>
        <v>0</v>
      </c>
      <c r="R269" s="470">
        <f t="shared" si="51"/>
        <v>0</v>
      </c>
      <c r="S269" s="779">
        <f t="shared" si="52"/>
        <v>0</v>
      </c>
    </row>
    <row r="270" spans="1:19">
      <c r="A270" s="944"/>
      <c r="B270" s="131"/>
      <c r="C270" s="52">
        <f t="shared" si="43"/>
        <v>1</v>
      </c>
      <c r="D270" s="942"/>
      <c r="E270" s="52">
        <f t="shared" si="44"/>
        <v>2.5000000000000001E-2</v>
      </c>
      <c r="F270" s="942"/>
      <c r="G270" s="52">
        <f t="shared" si="45"/>
        <v>0.12</v>
      </c>
      <c r="H270" s="942"/>
      <c r="I270" s="52">
        <f t="shared" si="46"/>
        <v>1</v>
      </c>
      <c r="J270" s="942"/>
      <c r="K270" s="52">
        <f t="shared" si="47"/>
        <v>1</v>
      </c>
      <c r="L270" s="942"/>
      <c r="M270" s="52">
        <f t="shared" si="48"/>
        <v>1</v>
      </c>
      <c r="N270" s="942"/>
      <c r="O270" s="52">
        <f t="shared" si="49"/>
        <v>1</v>
      </c>
      <c r="P270" s="942"/>
      <c r="Q270" s="52">
        <f t="shared" si="50"/>
        <v>0</v>
      </c>
      <c r="R270" s="470">
        <f t="shared" si="51"/>
        <v>0</v>
      </c>
      <c r="S270" s="779">
        <f t="shared" si="52"/>
        <v>0</v>
      </c>
    </row>
    <row r="271" spans="1:19">
      <c r="A271" s="944"/>
      <c r="B271" s="131"/>
      <c r="C271" s="52">
        <f t="shared" si="43"/>
        <v>1</v>
      </c>
      <c r="D271" s="942"/>
      <c r="E271" s="52">
        <f t="shared" si="44"/>
        <v>2.5000000000000001E-2</v>
      </c>
      <c r="F271" s="942"/>
      <c r="G271" s="52">
        <f t="shared" si="45"/>
        <v>0.12</v>
      </c>
      <c r="H271" s="942"/>
      <c r="I271" s="52">
        <f t="shared" si="46"/>
        <v>1</v>
      </c>
      <c r="J271" s="942"/>
      <c r="K271" s="52">
        <f t="shared" si="47"/>
        <v>1</v>
      </c>
      <c r="L271" s="942"/>
      <c r="M271" s="52">
        <f t="shared" si="48"/>
        <v>1</v>
      </c>
      <c r="N271" s="942"/>
      <c r="O271" s="52">
        <f t="shared" si="49"/>
        <v>1</v>
      </c>
      <c r="P271" s="942"/>
      <c r="Q271" s="52">
        <f t="shared" si="50"/>
        <v>0</v>
      </c>
      <c r="R271" s="470">
        <f t="shared" si="51"/>
        <v>0</v>
      </c>
      <c r="S271" s="779">
        <f t="shared" si="52"/>
        <v>0</v>
      </c>
    </row>
    <row r="272" spans="1:19">
      <c r="A272" s="944"/>
      <c r="B272" s="131"/>
      <c r="C272" s="52">
        <f t="shared" si="43"/>
        <v>1</v>
      </c>
      <c r="D272" s="942"/>
      <c r="E272" s="52">
        <f t="shared" si="44"/>
        <v>2.5000000000000001E-2</v>
      </c>
      <c r="F272" s="942"/>
      <c r="G272" s="52">
        <f t="shared" si="45"/>
        <v>0.12</v>
      </c>
      <c r="H272" s="942"/>
      <c r="I272" s="52">
        <f t="shared" si="46"/>
        <v>1</v>
      </c>
      <c r="J272" s="942"/>
      <c r="K272" s="52">
        <f t="shared" si="47"/>
        <v>1</v>
      </c>
      <c r="L272" s="942"/>
      <c r="M272" s="52">
        <f t="shared" si="48"/>
        <v>1</v>
      </c>
      <c r="N272" s="942"/>
      <c r="O272" s="52">
        <f t="shared" si="49"/>
        <v>1</v>
      </c>
      <c r="P272" s="942"/>
      <c r="Q272" s="52">
        <f t="shared" si="50"/>
        <v>0</v>
      </c>
      <c r="R272" s="470">
        <f t="shared" si="51"/>
        <v>0</v>
      </c>
      <c r="S272" s="779">
        <f t="shared" si="52"/>
        <v>0</v>
      </c>
    </row>
    <row r="273" spans="1:19">
      <c r="A273" s="944"/>
      <c r="B273" s="131"/>
      <c r="C273" s="52">
        <f t="shared" si="43"/>
        <v>1</v>
      </c>
      <c r="D273" s="942"/>
      <c r="E273" s="52">
        <f t="shared" si="44"/>
        <v>2.5000000000000001E-2</v>
      </c>
      <c r="F273" s="942"/>
      <c r="G273" s="52">
        <f t="shared" si="45"/>
        <v>0.12</v>
      </c>
      <c r="H273" s="942"/>
      <c r="I273" s="52">
        <f t="shared" si="46"/>
        <v>1</v>
      </c>
      <c r="J273" s="942"/>
      <c r="K273" s="52">
        <f t="shared" si="47"/>
        <v>1</v>
      </c>
      <c r="L273" s="942"/>
      <c r="M273" s="52">
        <f t="shared" si="48"/>
        <v>1</v>
      </c>
      <c r="N273" s="942"/>
      <c r="O273" s="52">
        <f t="shared" si="49"/>
        <v>1</v>
      </c>
      <c r="P273" s="942"/>
      <c r="Q273" s="52">
        <f t="shared" si="50"/>
        <v>0</v>
      </c>
      <c r="R273" s="470">
        <f t="shared" si="51"/>
        <v>0</v>
      </c>
      <c r="S273" s="779">
        <f t="shared" si="52"/>
        <v>0</v>
      </c>
    </row>
    <row r="274" spans="1:19">
      <c r="A274" s="944"/>
      <c r="B274" s="131"/>
      <c r="C274" s="52">
        <f t="shared" si="43"/>
        <v>1</v>
      </c>
      <c r="D274" s="942"/>
      <c r="E274" s="52">
        <f t="shared" si="44"/>
        <v>2.5000000000000001E-2</v>
      </c>
      <c r="F274" s="942"/>
      <c r="G274" s="52">
        <f t="shared" si="45"/>
        <v>0.12</v>
      </c>
      <c r="H274" s="942"/>
      <c r="I274" s="52">
        <f t="shared" si="46"/>
        <v>1</v>
      </c>
      <c r="J274" s="942"/>
      <c r="K274" s="52">
        <f t="shared" si="47"/>
        <v>1</v>
      </c>
      <c r="L274" s="942"/>
      <c r="M274" s="52">
        <f t="shared" si="48"/>
        <v>1</v>
      </c>
      <c r="N274" s="942"/>
      <c r="O274" s="52">
        <f t="shared" si="49"/>
        <v>1</v>
      </c>
      <c r="P274" s="942"/>
      <c r="Q274" s="52">
        <f t="shared" si="50"/>
        <v>0</v>
      </c>
      <c r="R274" s="470">
        <f t="shared" si="51"/>
        <v>0</v>
      </c>
      <c r="S274" s="779">
        <f t="shared" si="52"/>
        <v>0</v>
      </c>
    </row>
    <row r="275" spans="1:19">
      <c r="A275" s="944"/>
      <c r="B275" s="131"/>
      <c r="C275" s="52">
        <f t="shared" si="43"/>
        <v>1</v>
      </c>
      <c r="D275" s="942"/>
      <c r="E275" s="52">
        <f t="shared" si="44"/>
        <v>2.5000000000000001E-2</v>
      </c>
      <c r="F275" s="942"/>
      <c r="G275" s="52">
        <f t="shared" si="45"/>
        <v>0.12</v>
      </c>
      <c r="H275" s="942"/>
      <c r="I275" s="52">
        <f t="shared" si="46"/>
        <v>1</v>
      </c>
      <c r="J275" s="942"/>
      <c r="K275" s="52">
        <f t="shared" si="47"/>
        <v>1</v>
      </c>
      <c r="L275" s="942"/>
      <c r="M275" s="52">
        <f t="shared" si="48"/>
        <v>1</v>
      </c>
      <c r="N275" s="942"/>
      <c r="O275" s="52">
        <f t="shared" si="49"/>
        <v>1</v>
      </c>
      <c r="P275" s="942"/>
      <c r="Q275" s="52">
        <f t="shared" si="50"/>
        <v>0</v>
      </c>
      <c r="R275" s="470">
        <f t="shared" si="51"/>
        <v>0</v>
      </c>
      <c r="S275" s="779">
        <f t="shared" si="52"/>
        <v>0</v>
      </c>
    </row>
    <row r="276" spans="1:19">
      <c r="A276" s="944"/>
      <c r="B276" s="131"/>
      <c r="C276" s="52">
        <f t="shared" si="43"/>
        <v>1</v>
      </c>
      <c r="D276" s="942"/>
      <c r="E276" s="52">
        <f t="shared" si="44"/>
        <v>2.5000000000000001E-2</v>
      </c>
      <c r="F276" s="942"/>
      <c r="G276" s="52">
        <f t="shared" si="45"/>
        <v>0.12</v>
      </c>
      <c r="H276" s="942"/>
      <c r="I276" s="52">
        <f t="shared" si="46"/>
        <v>1</v>
      </c>
      <c r="J276" s="942"/>
      <c r="K276" s="52">
        <f t="shared" si="47"/>
        <v>1</v>
      </c>
      <c r="L276" s="942"/>
      <c r="M276" s="52">
        <f t="shared" si="48"/>
        <v>1</v>
      </c>
      <c r="N276" s="942"/>
      <c r="O276" s="52">
        <f t="shared" si="49"/>
        <v>1</v>
      </c>
      <c r="P276" s="942"/>
      <c r="Q276" s="52">
        <f t="shared" si="50"/>
        <v>0</v>
      </c>
      <c r="R276" s="470">
        <f t="shared" si="51"/>
        <v>0</v>
      </c>
      <c r="S276" s="779">
        <f t="shared" si="52"/>
        <v>0</v>
      </c>
    </row>
    <row r="277" spans="1:19">
      <c r="A277" s="944"/>
      <c r="B277" s="131"/>
      <c r="C277" s="52">
        <f t="shared" si="43"/>
        <v>1</v>
      </c>
      <c r="D277" s="942"/>
      <c r="E277" s="52">
        <f t="shared" si="44"/>
        <v>2.5000000000000001E-2</v>
      </c>
      <c r="F277" s="942"/>
      <c r="G277" s="52">
        <f t="shared" si="45"/>
        <v>0.12</v>
      </c>
      <c r="H277" s="942"/>
      <c r="I277" s="52">
        <f t="shared" si="46"/>
        <v>1</v>
      </c>
      <c r="J277" s="942"/>
      <c r="K277" s="52">
        <f t="shared" si="47"/>
        <v>1</v>
      </c>
      <c r="L277" s="942"/>
      <c r="M277" s="52">
        <f t="shared" si="48"/>
        <v>1</v>
      </c>
      <c r="N277" s="942"/>
      <c r="O277" s="52">
        <f t="shared" si="49"/>
        <v>1</v>
      </c>
      <c r="P277" s="942"/>
      <c r="Q277" s="52">
        <f t="shared" si="50"/>
        <v>0</v>
      </c>
      <c r="R277" s="470">
        <f t="shared" si="51"/>
        <v>0</v>
      </c>
      <c r="S277" s="779">
        <f t="shared" si="52"/>
        <v>0</v>
      </c>
    </row>
    <row r="278" spans="1:19">
      <c r="A278" s="944"/>
      <c r="B278" s="131"/>
      <c r="C278" s="52">
        <f t="shared" si="43"/>
        <v>1</v>
      </c>
      <c r="D278" s="942"/>
      <c r="E278" s="52">
        <f t="shared" si="44"/>
        <v>2.5000000000000001E-2</v>
      </c>
      <c r="F278" s="942"/>
      <c r="G278" s="52">
        <f t="shared" si="45"/>
        <v>0.12</v>
      </c>
      <c r="H278" s="942"/>
      <c r="I278" s="52">
        <f t="shared" si="46"/>
        <v>1</v>
      </c>
      <c r="J278" s="942"/>
      <c r="K278" s="52">
        <f t="shared" si="47"/>
        <v>1</v>
      </c>
      <c r="L278" s="942"/>
      <c r="M278" s="52">
        <f t="shared" si="48"/>
        <v>1</v>
      </c>
      <c r="N278" s="942"/>
      <c r="O278" s="52">
        <f t="shared" si="49"/>
        <v>1</v>
      </c>
      <c r="P278" s="942"/>
      <c r="Q278" s="52">
        <f t="shared" si="50"/>
        <v>0</v>
      </c>
      <c r="R278" s="470">
        <f t="shared" si="51"/>
        <v>0</v>
      </c>
      <c r="S278" s="779">
        <f t="shared" si="52"/>
        <v>0</v>
      </c>
    </row>
    <row r="279" spans="1:19">
      <c r="A279" s="944"/>
      <c r="B279" s="131"/>
      <c r="C279" s="52">
        <f t="shared" si="43"/>
        <v>1</v>
      </c>
      <c r="D279" s="942"/>
      <c r="E279" s="52">
        <f t="shared" si="44"/>
        <v>2.5000000000000001E-2</v>
      </c>
      <c r="F279" s="942"/>
      <c r="G279" s="52">
        <f t="shared" si="45"/>
        <v>0.12</v>
      </c>
      <c r="H279" s="942"/>
      <c r="I279" s="52">
        <f t="shared" si="46"/>
        <v>1</v>
      </c>
      <c r="J279" s="942"/>
      <c r="K279" s="52">
        <f t="shared" si="47"/>
        <v>1</v>
      </c>
      <c r="L279" s="942"/>
      <c r="M279" s="52">
        <f t="shared" si="48"/>
        <v>1</v>
      </c>
      <c r="N279" s="942"/>
      <c r="O279" s="52">
        <f t="shared" si="49"/>
        <v>1</v>
      </c>
      <c r="P279" s="942"/>
      <c r="Q279" s="52">
        <f t="shared" si="50"/>
        <v>0</v>
      </c>
      <c r="R279" s="470">
        <f t="shared" si="51"/>
        <v>0</v>
      </c>
      <c r="S279" s="779">
        <f t="shared" si="52"/>
        <v>0</v>
      </c>
    </row>
    <row r="280" spans="1:19">
      <c r="A280" s="944"/>
      <c r="B280" s="131"/>
      <c r="C280" s="52">
        <f t="shared" si="43"/>
        <v>1</v>
      </c>
      <c r="D280" s="942"/>
      <c r="E280" s="52">
        <f t="shared" si="44"/>
        <v>2.5000000000000001E-2</v>
      </c>
      <c r="F280" s="942"/>
      <c r="G280" s="52">
        <f t="shared" si="45"/>
        <v>0.12</v>
      </c>
      <c r="H280" s="942"/>
      <c r="I280" s="52">
        <f t="shared" si="46"/>
        <v>1</v>
      </c>
      <c r="J280" s="942"/>
      <c r="K280" s="52">
        <f t="shared" si="47"/>
        <v>1</v>
      </c>
      <c r="L280" s="942"/>
      <c r="M280" s="52">
        <f t="shared" si="48"/>
        <v>1</v>
      </c>
      <c r="N280" s="942"/>
      <c r="O280" s="52">
        <f t="shared" si="49"/>
        <v>1</v>
      </c>
      <c r="P280" s="942"/>
      <c r="Q280" s="52">
        <f t="shared" si="50"/>
        <v>0</v>
      </c>
      <c r="R280" s="470">
        <f t="shared" si="51"/>
        <v>0</v>
      </c>
      <c r="S280" s="779">
        <f t="shared" si="52"/>
        <v>0</v>
      </c>
    </row>
    <row r="281" spans="1:19">
      <c r="A281" s="944"/>
      <c r="B281" s="131"/>
      <c r="C281" s="52">
        <f t="shared" si="43"/>
        <v>1</v>
      </c>
      <c r="D281" s="942"/>
      <c r="E281" s="52">
        <f t="shared" si="44"/>
        <v>2.5000000000000001E-2</v>
      </c>
      <c r="F281" s="942"/>
      <c r="G281" s="52">
        <f t="shared" si="45"/>
        <v>0.12</v>
      </c>
      <c r="H281" s="942"/>
      <c r="I281" s="52">
        <f t="shared" si="46"/>
        <v>1</v>
      </c>
      <c r="J281" s="942"/>
      <c r="K281" s="52">
        <f t="shared" si="47"/>
        <v>1</v>
      </c>
      <c r="L281" s="942"/>
      <c r="M281" s="52">
        <f t="shared" si="48"/>
        <v>1</v>
      </c>
      <c r="N281" s="942"/>
      <c r="O281" s="52">
        <f t="shared" si="49"/>
        <v>1</v>
      </c>
      <c r="P281" s="942"/>
      <c r="Q281" s="52">
        <f t="shared" si="50"/>
        <v>0</v>
      </c>
      <c r="R281" s="470">
        <f t="shared" si="51"/>
        <v>0</v>
      </c>
      <c r="S281" s="779">
        <f t="shared" si="52"/>
        <v>0</v>
      </c>
    </row>
    <row r="282" spans="1:19">
      <c r="A282" s="944"/>
      <c r="B282" s="131"/>
      <c r="C282" s="52">
        <f t="shared" ref="C282:C345" si="53">IF(B282="",1,(LOOKUP(B282,$3:$3,$4:$4)-LOOKUP($B$24,$3:$3,$4:$4)+100)/100)</f>
        <v>1</v>
      </c>
      <c r="D282" s="942"/>
      <c r="E282" s="52">
        <f t="shared" ref="E282:E345" si="54">(SUMIF($5:$5,D282,$6:$6)-SUMIF($5:$5,$D$24,$6:$6)+100)/100</f>
        <v>2.5000000000000001E-2</v>
      </c>
      <c r="F282" s="942"/>
      <c r="G282" s="52">
        <f t="shared" ref="G282:G345" si="55">(SUMIF($7:$7,F282,$8:$8)-SUMIF($7:$7,$F$24,$8:$8)+100)/100</f>
        <v>0.12</v>
      </c>
      <c r="H282" s="942"/>
      <c r="I282" s="52">
        <f t="shared" ref="I282:I345" si="56">(SUMIF($9:$9,H282,$10:$10)-SUMIF($9:$9,$H$24,$10:$10)+100)/100</f>
        <v>1</v>
      </c>
      <c r="J282" s="942"/>
      <c r="K282" s="52">
        <f t="shared" ref="K282:K345" si="57">(SUMIF($11:$11,J282,$12:$12)-SUMIF($11:$11,$J$24,$12:$12)+100)/100</f>
        <v>1</v>
      </c>
      <c r="L282" s="942"/>
      <c r="M282" s="52">
        <f t="shared" ref="M282:M345" si="58">(SUMIF($13:$13,L282,$14:$14)-SUMIF($13:$13,$L$24,$14:$14)+100)/100</f>
        <v>1</v>
      </c>
      <c r="N282" s="942"/>
      <c r="O282" s="52">
        <f t="shared" ref="O282:O345" si="59">(SUMIF($15:$15,N282,$16:$16)-SUMIF($15:$15,$N$24,$16:$16)+100)/100</f>
        <v>1</v>
      </c>
      <c r="P282" s="942"/>
      <c r="Q282" s="52">
        <f t="shared" ref="Q282:Q345" si="60">(SUMIF($17:$17,P282,$18:$18)-SUMIF($17:$17,$P$24,$18:$18)+100)/100</f>
        <v>0</v>
      </c>
      <c r="R282" s="470">
        <f t="shared" ref="R282:R345" si="61">IF(B282="",0,ROUND($R$24*C282*E282*G282*I282*K282*M282*O282*Q282,0))</f>
        <v>0</v>
      </c>
      <c r="S282" s="779">
        <f t="shared" si="52"/>
        <v>0</v>
      </c>
    </row>
    <row r="283" spans="1:19">
      <c r="A283" s="944"/>
      <c r="B283" s="131"/>
      <c r="C283" s="52">
        <f t="shared" si="53"/>
        <v>1</v>
      </c>
      <c r="D283" s="942"/>
      <c r="E283" s="52">
        <f t="shared" si="54"/>
        <v>2.5000000000000001E-2</v>
      </c>
      <c r="F283" s="942"/>
      <c r="G283" s="52">
        <f t="shared" si="55"/>
        <v>0.12</v>
      </c>
      <c r="H283" s="942"/>
      <c r="I283" s="52">
        <f t="shared" si="56"/>
        <v>1</v>
      </c>
      <c r="J283" s="942"/>
      <c r="K283" s="52">
        <f t="shared" si="57"/>
        <v>1</v>
      </c>
      <c r="L283" s="942"/>
      <c r="M283" s="52">
        <f t="shared" si="58"/>
        <v>1</v>
      </c>
      <c r="N283" s="942"/>
      <c r="O283" s="52">
        <f t="shared" si="59"/>
        <v>1</v>
      </c>
      <c r="P283" s="942"/>
      <c r="Q283" s="52">
        <f t="shared" si="60"/>
        <v>0</v>
      </c>
      <c r="R283" s="470">
        <f t="shared" si="61"/>
        <v>0</v>
      </c>
      <c r="S283" s="779">
        <f t="shared" si="52"/>
        <v>0</v>
      </c>
    </row>
    <row r="284" spans="1:19">
      <c r="A284" s="944"/>
      <c r="B284" s="131"/>
      <c r="C284" s="52">
        <f t="shared" si="53"/>
        <v>1</v>
      </c>
      <c r="D284" s="942"/>
      <c r="E284" s="52">
        <f t="shared" si="54"/>
        <v>2.5000000000000001E-2</v>
      </c>
      <c r="F284" s="942"/>
      <c r="G284" s="52">
        <f t="shared" si="55"/>
        <v>0.12</v>
      </c>
      <c r="H284" s="942"/>
      <c r="I284" s="52">
        <f t="shared" si="56"/>
        <v>1</v>
      </c>
      <c r="J284" s="942"/>
      <c r="K284" s="52">
        <f t="shared" si="57"/>
        <v>1</v>
      </c>
      <c r="L284" s="942"/>
      <c r="M284" s="52">
        <f t="shared" si="58"/>
        <v>1</v>
      </c>
      <c r="N284" s="942"/>
      <c r="O284" s="52">
        <f t="shared" si="59"/>
        <v>1</v>
      </c>
      <c r="P284" s="942"/>
      <c r="Q284" s="52">
        <f t="shared" si="60"/>
        <v>0</v>
      </c>
      <c r="R284" s="470">
        <f t="shared" si="61"/>
        <v>0</v>
      </c>
      <c r="S284" s="779">
        <f t="shared" si="52"/>
        <v>0</v>
      </c>
    </row>
    <row r="285" spans="1:19">
      <c r="A285" s="944"/>
      <c r="B285" s="131"/>
      <c r="C285" s="52">
        <f t="shared" si="53"/>
        <v>1</v>
      </c>
      <c r="D285" s="942"/>
      <c r="E285" s="52">
        <f t="shared" si="54"/>
        <v>2.5000000000000001E-2</v>
      </c>
      <c r="F285" s="942"/>
      <c r="G285" s="52">
        <f t="shared" si="55"/>
        <v>0.12</v>
      </c>
      <c r="H285" s="942"/>
      <c r="I285" s="52">
        <f t="shared" si="56"/>
        <v>1</v>
      </c>
      <c r="J285" s="942"/>
      <c r="K285" s="52">
        <f t="shared" si="57"/>
        <v>1</v>
      </c>
      <c r="L285" s="942"/>
      <c r="M285" s="52">
        <f t="shared" si="58"/>
        <v>1</v>
      </c>
      <c r="N285" s="942"/>
      <c r="O285" s="52">
        <f t="shared" si="59"/>
        <v>1</v>
      </c>
      <c r="P285" s="942"/>
      <c r="Q285" s="52">
        <f t="shared" si="60"/>
        <v>0</v>
      </c>
      <c r="R285" s="470">
        <f t="shared" si="61"/>
        <v>0</v>
      </c>
      <c r="S285" s="779">
        <f t="shared" si="52"/>
        <v>0</v>
      </c>
    </row>
    <row r="286" spans="1:19">
      <c r="A286" s="944"/>
      <c r="B286" s="131"/>
      <c r="C286" s="52">
        <f t="shared" si="53"/>
        <v>1</v>
      </c>
      <c r="D286" s="942"/>
      <c r="E286" s="52">
        <f t="shared" si="54"/>
        <v>2.5000000000000001E-2</v>
      </c>
      <c r="F286" s="942"/>
      <c r="G286" s="52">
        <f t="shared" si="55"/>
        <v>0.12</v>
      </c>
      <c r="H286" s="942"/>
      <c r="I286" s="52">
        <f t="shared" si="56"/>
        <v>1</v>
      </c>
      <c r="J286" s="942"/>
      <c r="K286" s="52">
        <f t="shared" si="57"/>
        <v>1</v>
      </c>
      <c r="L286" s="942"/>
      <c r="M286" s="52">
        <f t="shared" si="58"/>
        <v>1</v>
      </c>
      <c r="N286" s="942"/>
      <c r="O286" s="52">
        <f t="shared" si="59"/>
        <v>1</v>
      </c>
      <c r="P286" s="942"/>
      <c r="Q286" s="52">
        <f t="shared" si="60"/>
        <v>0</v>
      </c>
      <c r="R286" s="470">
        <f t="shared" si="61"/>
        <v>0</v>
      </c>
      <c r="S286" s="779">
        <f t="shared" si="52"/>
        <v>0</v>
      </c>
    </row>
    <row r="287" spans="1:19">
      <c r="A287" s="944"/>
      <c r="B287" s="131"/>
      <c r="C287" s="52">
        <f t="shared" si="53"/>
        <v>1</v>
      </c>
      <c r="D287" s="942"/>
      <c r="E287" s="52">
        <f t="shared" si="54"/>
        <v>2.5000000000000001E-2</v>
      </c>
      <c r="F287" s="942"/>
      <c r="G287" s="52">
        <f t="shared" si="55"/>
        <v>0.12</v>
      </c>
      <c r="H287" s="942"/>
      <c r="I287" s="52">
        <f t="shared" si="56"/>
        <v>1</v>
      </c>
      <c r="J287" s="942"/>
      <c r="K287" s="52">
        <f t="shared" si="57"/>
        <v>1</v>
      </c>
      <c r="L287" s="942"/>
      <c r="M287" s="52">
        <f t="shared" si="58"/>
        <v>1</v>
      </c>
      <c r="N287" s="942"/>
      <c r="O287" s="52">
        <f t="shared" si="59"/>
        <v>1</v>
      </c>
      <c r="P287" s="942"/>
      <c r="Q287" s="52">
        <f t="shared" si="60"/>
        <v>0</v>
      </c>
      <c r="R287" s="470">
        <f t="shared" si="61"/>
        <v>0</v>
      </c>
      <c r="S287" s="779">
        <f t="shared" ref="S287:S320" si="62">ROUND(R287*B287/10000,0)</f>
        <v>0</v>
      </c>
    </row>
    <row r="288" spans="1:19">
      <c r="A288" s="944"/>
      <c r="B288" s="131"/>
      <c r="C288" s="52">
        <f t="shared" si="53"/>
        <v>1</v>
      </c>
      <c r="D288" s="942"/>
      <c r="E288" s="52">
        <f t="shared" si="54"/>
        <v>2.5000000000000001E-2</v>
      </c>
      <c r="F288" s="942"/>
      <c r="G288" s="52">
        <f t="shared" si="55"/>
        <v>0.12</v>
      </c>
      <c r="H288" s="942"/>
      <c r="I288" s="52">
        <f t="shared" si="56"/>
        <v>1</v>
      </c>
      <c r="J288" s="942"/>
      <c r="K288" s="52">
        <f t="shared" si="57"/>
        <v>1</v>
      </c>
      <c r="L288" s="942"/>
      <c r="M288" s="52">
        <f t="shared" si="58"/>
        <v>1</v>
      </c>
      <c r="N288" s="942"/>
      <c r="O288" s="52">
        <f t="shared" si="59"/>
        <v>1</v>
      </c>
      <c r="P288" s="942"/>
      <c r="Q288" s="52">
        <f t="shared" si="60"/>
        <v>0</v>
      </c>
      <c r="R288" s="470">
        <f t="shared" si="61"/>
        <v>0</v>
      </c>
      <c r="S288" s="779">
        <f t="shared" si="62"/>
        <v>0</v>
      </c>
    </row>
    <row r="289" spans="1:19">
      <c r="A289" s="944"/>
      <c r="B289" s="131"/>
      <c r="C289" s="52">
        <f t="shared" si="53"/>
        <v>1</v>
      </c>
      <c r="D289" s="942"/>
      <c r="E289" s="52">
        <f t="shared" si="54"/>
        <v>2.5000000000000001E-2</v>
      </c>
      <c r="F289" s="942"/>
      <c r="G289" s="52">
        <f t="shared" si="55"/>
        <v>0.12</v>
      </c>
      <c r="H289" s="942"/>
      <c r="I289" s="52">
        <f t="shared" si="56"/>
        <v>1</v>
      </c>
      <c r="J289" s="942"/>
      <c r="K289" s="52">
        <f t="shared" si="57"/>
        <v>1</v>
      </c>
      <c r="L289" s="942"/>
      <c r="M289" s="52">
        <f t="shared" si="58"/>
        <v>1</v>
      </c>
      <c r="N289" s="942"/>
      <c r="O289" s="52">
        <f t="shared" si="59"/>
        <v>1</v>
      </c>
      <c r="P289" s="942"/>
      <c r="Q289" s="52">
        <f t="shared" si="60"/>
        <v>0</v>
      </c>
      <c r="R289" s="470">
        <f t="shared" si="61"/>
        <v>0</v>
      </c>
      <c r="S289" s="779">
        <f t="shared" si="62"/>
        <v>0</v>
      </c>
    </row>
    <row r="290" spans="1:19">
      <c r="A290" s="944"/>
      <c r="B290" s="131"/>
      <c r="C290" s="52">
        <f t="shared" si="53"/>
        <v>1</v>
      </c>
      <c r="D290" s="942"/>
      <c r="E290" s="52">
        <f t="shared" si="54"/>
        <v>2.5000000000000001E-2</v>
      </c>
      <c r="F290" s="942"/>
      <c r="G290" s="52">
        <f t="shared" si="55"/>
        <v>0.12</v>
      </c>
      <c r="H290" s="942"/>
      <c r="I290" s="52">
        <f t="shared" si="56"/>
        <v>1</v>
      </c>
      <c r="J290" s="942"/>
      <c r="K290" s="52">
        <f t="shared" si="57"/>
        <v>1</v>
      </c>
      <c r="L290" s="942"/>
      <c r="M290" s="52">
        <f t="shared" si="58"/>
        <v>1</v>
      </c>
      <c r="N290" s="942"/>
      <c r="O290" s="52">
        <f t="shared" si="59"/>
        <v>1</v>
      </c>
      <c r="P290" s="942"/>
      <c r="Q290" s="52">
        <f t="shared" si="60"/>
        <v>0</v>
      </c>
      <c r="R290" s="470">
        <f t="shared" si="61"/>
        <v>0</v>
      </c>
      <c r="S290" s="779">
        <f t="shared" si="62"/>
        <v>0</v>
      </c>
    </row>
    <row r="291" spans="1:19">
      <c r="A291" s="944"/>
      <c r="B291" s="131"/>
      <c r="C291" s="52">
        <f t="shared" si="53"/>
        <v>1</v>
      </c>
      <c r="D291" s="942"/>
      <c r="E291" s="52">
        <f t="shared" si="54"/>
        <v>2.5000000000000001E-2</v>
      </c>
      <c r="F291" s="942"/>
      <c r="G291" s="52">
        <f t="shared" si="55"/>
        <v>0.12</v>
      </c>
      <c r="H291" s="942"/>
      <c r="I291" s="52">
        <f t="shared" si="56"/>
        <v>1</v>
      </c>
      <c r="J291" s="942"/>
      <c r="K291" s="52">
        <f t="shared" si="57"/>
        <v>1</v>
      </c>
      <c r="L291" s="942"/>
      <c r="M291" s="52">
        <f t="shared" si="58"/>
        <v>1</v>
      </c>
      <c r="N291" s="942"/>
      <c r="O291" s="52">
        <f t="shared" si="59"/>
        <v>1</v>
      </c>
      <c r="P291" s="942"/>
      <c r="Q291" s="52">
        <f t="shared" si="60"/>
        <v>0</v>
      </c>
      <c r="R291" s="470">
        <f t="shared" si="61"/>
        <v>0</v>
      </c>
      <c r="S291" s="779">
        <f t="shared" si="62"/>
        <v>0</v>
      </c>
    </row>
    <row r="292" spans="1:19">
      <c r="A292" s="944"/>
      <c r="B292" s="131"/>
      <c r="C292" s="52">
        <f t="shared" si="53"/>
        <v>1</v>
      </c>
      <c r="D292" s="942"/>
      <c r="E292" s="52">
        <f t="shared" si="54"/>
        <v>2.5000000000000001E-2</v>
      </c>
      <c r="F292" s="942"/>
      <c r="G292" s="52">
        <f t="shared" si="55"/>
        <v>0.12</v>
      </c>
      <c r="H292" s="942"/>
      <c r="I292" s="52">
        <f t="shared" si="56"/>
        <v>1</v>
      </c>
      <c r="J292" s="942"/>
      <c r="K292" s="52">
        <f t="shared" si="57"/>
        <v>1</v>
      </c>
      <c r="L292" s="942"/>
      <c r="M292" s="52">
        <f t="shared" si="58"/>
        <v>1</v>
      </c>
      <c r="N292" s="942"/>
      <c r="O292" s="52">
        <f t="shared" si="59"/>
        <v>1</v>
      </c>
      <c r="P292" s="942"/>
      <c r="Q292" s="52">
        <f t="shared" si="60"/>
        <v>0</v>
      </c>
      <c r="R292" s="470">
        <f t="shared" si="61"/>
        <v>0</v>
      </c>
      <c r="S292" s="779">
        <f t="shared" si="62"/>
        <v>0</v>
      </c>
    </row>
    <row r="293" spans="1:19">
      <c r="A293" s="944"/>
      <c r="B293" s="131"/>
      <c r="C293" s="52">
        <f t="shared" si="53"/>
        <v>1</v>
      </c>
      <c r="D293" s="942"/>
      <c r="E293" s="52">
        <f t="shared" si="54"/>
        <v>2.5000000000000001E-2</v>
      </c>
      <c r="F293" s="942"/>
      <c r="G293" s="52">
        <f t="shared" si="55"/>
        <v>0.12</v>
      </c>
      <c r="H293" s="942"/>
      <c r="I293" s="52">
        <f t="shared" si="56"/>
        <v>1</v>
      </c>
      <c r="J293" s="942"/>
      <c r="K293" s="52">
        <f t="shared" si="57"/>
        <v>1</v>
      </c>
      <c r="L293" s="942"/>
      <c r="M293" s="52">
        <f t="shared" si="58"/>
        <v>1</v>
      </c>
      <c r="N293" s="942"/>
      <c r="O293" s="52">
        <f t="shared" si="59"/>
        <v>1</v>
      </c>
      <c r="P293" s="942"/>
      <c r="Q293" s="52">
        <f t="shared" si="60"/>
        <v>0</v>
      </c>
      <c r="R293" s="470">
        <f t="shared" si="61"/>
        <v>0</v>
      </c>
      <c r="S293" s="779">
        <f t="shared" si="62"/>
        <v>0</v>
      </c>
    </row>
    <row r="294" spans="1:19">
      <c r="A294" s="944"/>
      <c r="B294" s="131"/>
      <c r="C294" s="52">
        <f t="shared" si="53"/>
        <v>1</v>
      </c>
      <c r="D294" s="942"/>
      <c r="E294" s="52">
        <f t="shared" si="54"/>
        <v>2.5000000000000001E-2</v>
      </c>
      <c r="F294" s="942"/>
      <c r="G294" s="52">
        <f t="shared" si="55"/>
        <v>0.12</v>
      </c>
      <c r="H294" s="942"/>
      <c r="I294" s="52">
        <f t="shared" si="56"/>
        <v>1</v>
      </c>
      <c r="J294" s="942"/>
      <c r="K294" s="52">
        <f t="shared" si="57"/>
        <v>1</v>
      </c>
      <c r="L294" s="942"/>
      <c r="M294" s="52">
        <f t="shared" si="58"/>
        <v>1</v>
      </c>
      <c r="N294" s="942"/>
      <c r="O294" s="52">
        <f t="shared" si="59"/>
        <v>1</v>
      </c>
      <c r="P294" s="942"/>
      <c r="Q294" s="52">
        <f t="shared" si="60"/>
        <v>0</v>
      </c>
      <c r="R294" s="470">
        <f t="shared" si="61"/>
        <v>0</v>
      </c>
      <c r="S294" s="779">
        <f t="shared" si="62"/>
        <v>0</v>
      </c>
    </row>
    <row r="295" spans="1:19">
      <c r="A295" s="944"/>
      <c r="B295" s="131"/>
      <c r="C295" s="52">
        <f t="shared" si="53"/>
        <v>1</v>
      </c>
      <c r="D295" s="942"/>
      <c r="E295" s="52">
        <f t="shared" si="54"/>
        <v>2.5000000000000001E-2</v>
      </c>
      <c r="F295" s="942"/>
      <c r="G295" s="52">
        <f t="shared" si="55"/>
        <v>0.12</v>
      </c>
      <c r="H295" s="942"/>
      <c r="I295" s="52">
        <f t="shared" si="56"/>
        <v>1</v>
      </c>
      <c r="J295" s="942"/>
      <c r="K295" s="52">
        <f t="shared" si="57"/>
        <v>1</v>
      </c>
      <c r="L295" s="942"/>
      <c r="M295" s="52">
        <f t="shared" si="58"/>
        <v>1</v>
      </c>
      <c r="N295" s="942"/>
      <c r="O295" s="52">
        <f t="shared" si="59"/>
        <v>1</v>
      </c>
      <c r="P295" s="942"/>
      <c r="Q295" s="52">
        <f t="shared" si="60"/>
        <v>0</v>
      </c>
      <c r="R295" s="470">
        <f t="shared" si="61"/>
        <v>0</v>
      </c>
      <c r="S295" s="779">
        <f t="shared" si="62"/>
        <v>0</v>
      </c>
    </row>
    <row r="296" spans="1:19">
      <c r="A296" s="944"/>
      <c r="B296" s="131"/>
      <c r="C296" s="52">
        <f t="shared" si="53"/>
        <v>1</v>
      </c>
      <c r="D296" s="942"/>
      <c r="E296" s="52">
        <f t="shared" si="54"/>
        <v>2.5000000000000001E-2</v>
      </c>
      <c r="F296" s="942"/>
      <c r="G296" s="52">
        <f t="shared" si="55"/>
        <v>0.12</v>
      </c>
      <c r="H296" s="942"/>
      <c r="I296" s="52">
        <f t="shared" si="56"/>
        <v>1</v>
      </c>
      <c r="J296" s="942"/>
      <c r="K296" s="52">
        <f t="shared" si="57"/>
        <v>1</v>
      </c>
      <c r="L296" s="942"/>
      <c r="M296" s="52">
        <f t="shared" si="58"/>
        <v>1</v>
      </c>
      <c r="N296" s="942"/>
      <c r="O296" s="52">
        <f t="shared" si="59"/>
        <v>1</v>
      </c>
      <c r="P296" s="942"/>
      <c r="Q296" s="52">
        <f t="shared" si="60"/>
        <v>0</v>
      </c>
      <c r="R296" s="470">
        <f t="shared" si="61"/>
        <v>0</v>
      </c>
      <c r="S296" s="779">
        <f t="shared" si="62"/>
        <v>0</v>
      </c>
    </row>
    <row r="297" spans="1:19">
      <c r="A297" s="944"/>
      <c r="B297" s="131"/>
      <c r="C297" s="52">
        <f t="shared" si="53"/>
        <v>1</v>
      </c>
      <c r="D297" s="942"/>
      <c r="E297" s="52">
        <f t="shared" si="54"/>
        <v>2.5000000000000001E-2</v>
      </c>
      <c r="F297" s="942"/>
      <c r="G297" s="52">
        <f t="shared" si="55"/>
        <v>0.12</v>
      </c>
      <c r="H297" s="942"/>
      <c r="I297" s="52">
        <f t="shared" si="56"/>
        <v>1</v>
      </c>
      <c r="J297" s="942"/>
      <c r="K297" s="52">
        <f t="shared" si="57"/>
        <v>1</v>
      </c>
      <c r="L297" s="942"/>
      <c r="M297" s="52">
        <f t="shared" si="58"/>
        <v>1</v>
      </c>
      <c r="N297" s="942"/>
      <c r="O297" s="52">
        <f t="shared" si="59"/>
        <v>1</v>
      </c>
      <c r="P297" s="942"/>
      <c r="Q297" s="52">
        <f t="shared" si="60"/>
        <v>0</v>
      </c>
      <c r="R297" s="470">
        <f t="shared" si="61"/>
        <v>0</v>
      </c>
      <c r="S297" s="779">
        <f t="shared" si="62"/>
        <v>0</v>
      </c>
    </row>
    <row r="298" spans="1:19">
      <c r="A298" s="944"/>
      <c r="B298" s="131"/>
      <c r="C298" s="52">
        <f t="shared" si="53"/>
        <v>1</v>
      </c>
      <c r="D298" s="942"/>
      <c r="E298" s="52">
        <f t="shared" si="54"/>
        <v>2.5000000000000001E-2</v>
      </c>
      <c r="F298" s="942"/>
      <c r="G298" s="52">
        <f t="shared" si="55"/>
        <v>0.12</v>
      </c>
      <c r="H298" s="942"/>
      <c r="I298" s="52">
        <f t="shared" si="56"/>
        <v>1</v>
      </c>
      <c r="J298" s="942"/>
      <c r="K298" s="52">
        <f t="shared" si="57"/>
        <v>1</v>
      </c>
      <c r="L298" s="942"/>
      <c r="M298" s="52">
        <f t="shared" si="58"/>
        <v>1</v>
      </c>
      <c r="N298" s="942"/>
      <c r="O298" s="52">
        <f t="shared" si="59"/>
        <v>1</v>
      </c>
      <c r="P298" s="942"/>
      <c r="Q298" s="52">
        <f t="shared" si="60"/>
        <v>0</v>
      </c>
      <c r="R298" s="470">
        <f t="shared" si="61"/>
        <v>0</v>
      </c>
      <c r="S298" s="779">
        <f t="shared" si="62"/>
        <v>0</v>
      </c>
    </row>
    <row r="299" spans="1:19">
      <c r="A299" s="944"/>
      <c r="B299" s="131"/>
      <c r="C299" s="52">
        <f t="shared" si="53"/>
        <v>1</v>
      </c>
      <c r="D299" s="942"/>
      <c r="E299" s="52">
        <f t="shared" si="54"/>
        <v>2.5000000000000001E-2</v>
      </c>
      <c r="F299" s="942"/>
      <c r="G299" s="52">
        <f t="shared" si="55"/>
        <v>0.12</v>
      </c>
      <c r="H299" s="942"/>
      <c r="I299" s="52">
        <f t="shared" si="56"/>
        <v>1</v>
      </c>
      <c r="J299" s="942"/>
      <c r="K299" s="52">
        <f t="shared" si="57"/>
        <v>1</v>
      </c>
      <c r="L299" s="942"/>
      <c r="M299" s="52">
        <f t="shared" si="58"/>
        <v>1</v>
      </c>
      <c r="N299" s="942"/>
      <c r="O299" s="52">
        <f t="shared" si="59"/>
        <v>1</v>
      </c>
      <c r="P299" s="942"/>
      <c r="Q299" s="52">
        <f t="shared" si="60"/>
        <v>0</v>
      </c>
      <c r="R299" s="470">
        <f t="shared" si="61"/>
        <v>0</v>
      </c>
      <c r="S299" s="779">
        <f t="shared" si="62"/>
        <v>0</v>
      </c>
    </row>
    <row r="300" spans="1:19">
      <c r="A300" s="944"/>
      <c r="B300" s="131"/>
      <c r="C300" s="52">
        <f t="shared" si="53"/>
        <v>1</v>
      </c>
      <c r="D300" s="942"/>
      <c r="E300" s="52">
        <f t="shared" si="54"/>
        <v>2.5000000000000001E-2</v>
      </c>
      <c r="F300" s="942"/>
      <c r="G300" s="52">
        <f t="shared" si="55"/>
        <v>0.12</v>
      </c>
      <c r="H300" s="942"/>
      <c r="I300" s="52">
        <f t="shared" si="56"/>
        <v>1</v>
      </c>
      <c r="J300" s="942"/>
      <c r="K300" s="52">
        <f t="shared" si="57"/>
        <v>1</v>
      </c>
      <c r="L300" s="942"/>
      <c r="M300" s="52">
        <f t="shared" si="58"/>
        <v>1</v>
      </c>
      <c r="N300" s="942"/>
      <c r="O300" s="52">
        <f t="shared" si="59"/>
        <v>1</v>
      </c>
      <c r="P300" s="942"/>
      <c r="Q300" s="52">
        <f t="shared" si="60"/>
        <v>0</v>
      </c>
      <c r="R300" s="470">
        <f t="shared" si="61"/>
        <v>0</v>
      </c>
      <c r="S300" s="779">
        <f t="shared" si="62"/>
        <v>0</v>
      </c>
    </row>
    <row r="301" spans="1:19">
      <c r="A301" s="944"/>
      <c r="B301" s="131"/>
      <c r="C301" s="52">
        <f t="shared" si="53"/>
        <v>1</v>
      </c>
      <c r="D301" s="942"/>
      <c r="E301" s="52">
        <f t="shared" si="54"/>
        <v>2.5000000000000001E-2</v>
      </c>
      <c r="F301" s="942"/>
      <c r="G301" s="52">
        <f t="shared" si="55"/>
        <v>0.12</v>
      </c>
      <c r="H301" s="942"/>
      <c r="I301" s="52">
        <f t="shared" si="56"/>
        <v>1</v>
      </c>
      <c r="J301" s="942"/>
      <c r="K301" s="52">
        <f t="shared" si="57"/>
        <v>1</v>
      </c>
      <c r="L301" s="942"/>
      <c r="M301" s="52">
        <f t="shared" si="58"/>
        <v>1</v>
      </c>
      <c r="N301" s="942"/>
      <c r="O301" s="52">
        <f t="shared" si="59"/>
        <v>1</v>
      </c>
      <c r="P301" s="942"/>
      <c r="Q301" s="52">
        <f t="shared" si="60"/>
        <v>0</v>
      </c>
      <c r="R301" s="470">
        <f t="shared" si="61"/>
        <v>0</v>
      </c>
      <c r="S301" s="779">
        <f t="shared" si="62"/>
        <v>0</v>
      </c>
    </row>
    <row r="302" spans="1:19">
      <c r="A302" s="944"/>
      <c r="B302" s="131"/>
      <c r="C302" s="52">
        <f t="shared" si="53"/>
        <v>1</v>
      </c>
      <c r="D302" s="942"/>
      <c r="E302" s="52">
        <f t="shared" si="54"/>
        <v>2.5000000000000001E-2</v>
      </c>
      <c r="F302" s="942"/>
      <c r="G302" s="52">
        <f t="shared" si="55"/>
        <v>0.12</v>
      </c>
      <c r="H302" s="942"/>
      <c r="I302" s="52">
        <f t="shared" si="56"/>
        <v>1</v>
      </c>
      <c r="J302" s="942"/>
      <c r="K302" s="52">
        <f t="shared" si="57"/>
        <v>1</v>
      </c>
      <c r="L302" s="942"/>
      <c r="M302" s="52">
        <f t="shared" si="58"/>
        <v>1</v>
      </c>
      <c r="N302" s="942"/>
      <c r="O302" s="52">
        <f t="shared" si="59"/>
        <v>1</v>
      </c>
      <c r="P302" s="942"/>
      <c r="Q302" s="52">
        <f t="shared" si="60"/>
        <v>0</v>
      </c>
      <c r="R302" s="470">
        <f t="shared" si="61"/>
        <v>0</v>
      </c>
      <c r="S302" s="779">
        <f t="shared" si="62"/>
        <v>0</v>
      </c>
    </row>
    <row r="303" spans="1:19">
      <c r="A303" s="944"/>
      <c r="B303" s="131"/>
      <c r="C303" s="52">
        <f t="shared" si="53"/>
        <v>1</v>
      </c>
      <c r="D303" s="942"/>
      <c r="E303" s="52">
        <f t="shared" si="54"/>
        <v>2.5000000000000001E-2</v>
      </c>
      <c r="F303" s="942"/>
      <c r="G303" s="52">
        <f t="shared" si="55"/>
        <v>0.12</v>
      </c>
      <c r="H303" s="942"/>
      <c r="I303" s="52">
        <f t="shared" si="56"/>
        <v>1</v>
      </c>
      <c r="J303" s="942"/>
      <c r="K303" s="52">
        <f t="shared" si="57"/>
        <v>1</v>
      </c>
      <c r="L303" s="942"/>
      <c r="M303" s="52">
        <f t="shared" si="58"/>
        <v>1</v>
      </c>
      <c r="N303" s="942"/>
      <c r="O303" s="52">
        <f t="shared" si="59"/>
        <v>1</v>
      </c>
      <c r="P303" s="942"/>
      <c r="Q303" s="52">
        <f t="shared" si="60"/>
        <v>0</v>
      </c>
      <c r="R303" s="470">
        <f t="shared" si="61"/>
        <v>0</v>
      </c>
      <c r="S303" s="779">
        <f t="shared" si="62"/>
        <v>0</v>
      </c>
    </row>
    <row r="304" spans="1:19">
      <c r="A304" s="944"/>
      <c r="B304" s="131"/>
      <c r="C304" s="52">
        <f t="shared" si="53"/>
        <v>1</v>
      </c>
      <c r="D304" s="942"/>
      <c r="E304" s="52">
        <f t="shared" si="54"/>
        <v>2.5000000000000001E-2</v>
      </c>
      <c r="F304" s="942"/>
      <c r="G304" s="52">
        <f t="shared" si="55"/>
        <v>0.12</v>
      </c>
      <c r="H304" s="942"/>
      <c r="I304" s="52">
        <f t="shared" si="56"/>
        <v>1</v>
      </c>
      <c r="J304" s="942"/>
      <c r="K304" s="52">
        <f t="shared" si="57"/>
        <v>1</v>
      </c>
      <c r="L304" s="942"/>
      <c r="M304" s="52">
        <f t="shared" si="58"/>
        <v>1</v>
      </c>
      <c r="N304" s="942"/>
      <c r="O304" s="52">
        <f t="shared" si="59"/>
        <v>1</v>
      </c>
      <c r="P304" s="942"/>
      <c r="Q304" s="52">
        <f t="shared" si="60"/>
        <v>0</v>
      </c>
      <c r="R304" s="470">
        <f t="shared" si="61"/>
        <v>0</v>
      </c>
      <c r="S304" s="779">
        <f t="shared" si="62"/>
        <v>0</v>
      </c>
    </row>
    <row r="305" spans="1:19">
      <c r="A305" s="944"/>
      <c r="B305" s="131"/>
      <c r="C305" s="52">
        <f t="shared" si="53"/>
        <v>1</v>
      </c>
      <c r="D305" s="942"/>
      <c r="E305" s="52">
        <f t="shared" si="54"/>
        <v>2.5000000000000001E-2</v>
      </c>
      <c r="F305" s="942"/>
      <c r="G305" s="52">
        <f t="shared" si="55"/>
        <v>0.12</v>
      </c>
      <c r="H305" s="942"/>
      <c r="I305" s="52">
        <f t="shared" si="56"/>
        <v>1</v>
      </c>
      <c r="J305" s="942"/>
      <c r="K305" s="52">
        <f t="shared" si="57"/>
        <v>1</v>
      </c>
      <c r="L305" s="942"/>
      <c r="M305" s="52">
        <f t="shared" si="58"/>
        <v>1</v>
      </c>
      <c r="N305" s="942"/>
      <c r="O305" s="52">
        <f t="shared" si="59"/>
        <v>1</v>
      </c>
      <c r="P305" s="942"/>
      <c r="Q305" s="52">
        <f t="shared" si="60"/>
        <v>0</v>
      </c>
      <c r="R305" s="470">
        <f t="shared" si="61"/>
        <v>0</v>
      </c>
      <c r="S305" s="779">
        <f t="shared" si="62"/>
        <v>0</v>
      </c>
    </row>
    <row r="306" spans="1:19">
      <c r="A306" s="944"/>
      <c r="B306" s="131"/>
      <c r="C306" s="52">
        <f t="shared" si="53"/>
        <v>1</v>
      </c>
      <c r="D306" s="942"/>
      <c r="E306" s="52">
        <f t="shared" si="54"/>
        <v>2.5000000000000001E-2</v>
      </c>
      <c r="F306" s="942"/>
      <c r="G306" s="52">
        <f t="shared" si="55"/>
        <v>0.12</v>
      </c>
      <c r="H306" s="942"/>
      <c r="I306" s="52">
        <f t="shared" si="56"/>
        <v>1</v>
      </c>
      <c r="J306" s="942"/>
      <c r="K306" s="52">
        <f t="shared" si="57"/>
        <v>1</v>
      </c>
      <c r="L306" s="942"/>
      <c r="M306" s="52">
        <f t="shared" si="58"/>
        <v>1</v>
      </c>
      <c r="N306" s="942"/>
      <c r="O306" s="52">
        <f t="shared" si="59"/>
        <v>1</v>
      </c>
      <c r="P306" s="942"/>
      <c r="Q306" s="52">
        <f t="shared" si="60"/>
        <v>0</v>
      </c>
      <c r="R306" s="470">
        <f t="shared" si="61"/>
        <v>0</v>
      </c>
      <c r="S306" s="779">
        <f t="shared" si="62"/>
        <v>0</v>
      </c>
    </row>
    <row r="307" spans="1:19">
      <c r="A307" s="944"/>
      <c r="B307" s="131"/>
      <c r="C307" s="52">
        <f t="shared" si="53"/>
        <v>1</v>
      </c>
      <c r="D307" s="942"/>
      <c r="E307" s="52">
        <f t="shared" si="54"/>
        <v>2.5000000000000001E-2</v>
      </c>
      <c r="F307" s="942"/>
      <c r="G307" s="52">
        <f t="shared" si="55"/>
        <v>0.12</v>
      </c>
      <c r="H307" s="942"/>
      <c r="I307" s="52">
        <f t="shared" si="56"/>
        <v>1</v>
      </c>
      <c r="J307" s="942"/>
      <c r="K307" s="52">
        <f t="shared" si="57"/>
        <v>1</v>
      </c>
      <c r="L307" s="942"/>
      <c r="M307" s="52">
        <f t="shared" si="58"/>
        <v>1</v>
      </c>
      <c r="N307" s="942"/>
      <c r="O307" s="52">
        <f t="shared" si="59"/>
        <v>1</v>
      </c>
      <c r="P307" s="942"/>
      <c r="Q307" s="52">
        <f t="shared" si="60"/>
        <v>0</v>
      </c>
      <c r="R307" s="470">
        <f t="shared" si="61"/>
        <v>0</v>
      </c>
      <c r="S307" s="779">
        <f t="shared" si="62"/>
        <v>0</v>
      </c>
    </row>
    <row r="308" spans="1:19">
      <c r="A308" s="944"/>
      <c r="B308" s="131"/>
      <c r="C308" s="52">
        <f t="shared" si="53"/>
        <v>1</v>
      </c>
      <c r="D308" s="942"/>
      <c r="E308" s="52">
        <f t="shared" si="54"/>
        <v>2.5000000000000001E-2</v>
      </c>
      <c r="F308" s="942"/>
      <c r="G308" s="52">
        <f t="shared" si="55"/>
        <v>0.12</v>
      </c>
      <c r="H308" s="942"/>
      <c r="I308" s="52">
        <f t="shared" si="56"/>
        <v>1</v>
      </c>
      <c r="J308" s="942"/>
      <c r="K308" s="52">
        <f t="shared" si="57"/>
        <v>1</v>
      </c>
      <c r="L308" s="942"/>
      <c r="M308" s="52">
        <f t="shared" si="58"/>
        <v>1</v>
      </c>
      <c r="N308" s="942"/>
      <c r="O308" s="52">
        <f t="shared" si="59"/>
        <v>1</v>
      </c>
      <c r="P308" s="942"/>
      <c r="Q308" s="52">
        <f t="shared" si="60"/>
        <v>0</v>
      </c>
      <c r="R308" s="470">
        <f t="shared" si="61"/>
        <v>0</v>
      </c>
      <c r="S308" s="779">
        <f t="shared" si="62"/>
        <v>0</v>
      </c>
    </row>
    <row r="309" spans="1:19">
      <c r="A309" s="944"/>
      <c r="B309" s="131"/>
      <c r="C309" s="52">
        <f t="shared" si="53"/>
        <v>1</v>
      </c>
      <c r="D309" s="942"/>
      <c r="E309" s="52">
        <f t="shared" si="54"/>
        <v>2.5000000000000001E-2</v>
      </c>
      <c r="F309" s="942"/>
      <c r="G309" s="52">
        <f t="shared" si="55"/>
        <v>0.12</v>
      </c>
      <c r="H309" s="942"/>
      <c r="I309" s="52">
        <f t="shared" si="56"/>
        <v>1</v>
      </c>
      <c r="J309" s="942"/>
      <c r="K309" s="52">
        <f t="shared" si="57"/>
        <v>1</v>
      </c>
      <c r="L309" s="942"/>
      <c r="M309" s="52">
        <f t="shared" si="58"/>
        <v>1</v>
      </c>
      <c r="N309" s="942"/>
      <c r="O309" s="52">
        <f t="shared" si="59"/>
        <v>1</v>
      </c>
      <c r="P309" s="942"/>
      <c r="Q309" s="52">
        <f t="shared" si="60"/>
        <v>0</v>
      </c>
      <c r="R309" s="470">
        <f t="shared" si="61"/>
        <v>0</v>
      </c>
      <c r="S309" s="779">
        <f t="shared" si="62"/>
        <v>0</v>
      </c>
    </row>
    <row r="310" spans="1:19">
      <c r="A310" s="944"/>
      <c r="B310" s="131"/>
      <c r="C310" s="52">
        <f t="shared" si="53"/>
        <v>1</v>
      </c>
      <c r="D310" s="942"/>
      <c r="E310" s="52">
        <f t="shared" si="54"/>
        <v>2.5000000000000001E-2</v>
      </c>
      <c r="F310" s="942"/>
      <c r="G310" s="52">
        <f t="shared" si="55"/>
        <v>0.12</v>
      </c>
      <c r="H310" s="942"/>
      <c r="I310" s="52">
        <f t="shared" si="56"/>
        <v>1</v>
      </c>
      <c r="J310" s="942"/>
      <c r="K310" s="52">
        <f t="shared" si="57"/>
        <v>1</v>
      </c>
      <c r="L310" s="942"/>
      <c r="M310" s="52">
        <f t="shared" si="58"/>
        <v>1</v>
      </c>
      <c r="N310" s="942"/>
      <c r="O310" s="52">
        <f t="shared" si="59"/>
        <v>1</v>
      </c>
      <c r="P310" s="942"/>
      <c r="Q310" s="52">
        <f t="shared" si="60"/>
        <v>0</v>
      </c>
      <c r="R310" s="470">
        <f t="shared" si="61"/>
        <v>0</v>
      </c>
      <c r="S310" s="779">
        <f t="shared" si="62"/>
        <v>0</v>
      </c>
    </row>
    <row r="311" spans="1:19">
      <c r="A311" s="944"/>
      <c r="B311" s="131"/>
      <c r="C311" s="52">
        <f t="shared" si="53"/>
        <v>1</v>
      </c>
      <c r="D311" s="942"/>
      <c r="E311" s="52">
        <f t="shared" si="54"/>
        <v>2.5000000000000001E-2</v>
      </c>
      <c r="F311" s="942"/>
      <c r="G311" s="52">
        <f t="shared" si="55"/>
        <v>0.12</v>
      </c>
      <c r="H311" s="942"/>
      <c r="I311" s="52">
        <f t="shared" si="56"/>
        <v>1</v>
      </c>
      <c r="J311" s="942"/>
      <c r="K311" s="52">
        <f t="shared" si="57"/>
        <v>1</v>
      </c>
      <c r="L311" s="942"/>
      <c r="M311" s="52">
        <f t="shared" si="58"/>
        <v>1</v>
      </c>
      <c r="N311" s="942"/>
      <c r="O311" s="52">
        <f t="shared" si="59"/>
        <v>1</v>
      </c>
      <c r="P311" s="942"/>
      <c r="Q311" s="52">
        <f t="shared" si="60"/>
        <v>0</v>
      </c>
      <c r="R311" s="470">
        <f t="shared" si="61"/>
        <v>0</v>
      </c>
      <c r="S311" s="779">
        <f t="shared" si="62"/>
        <v>0</v>
      </c>
    </row>
    <row r="312" spans="1:19">
      <c r="A312" s="944"/>
      <c r="B312" s="131"/>
      <c r="C312" s="52">
        <f t="shared" si="53"/>
        <v>1</v>
      </c>
      <c r="D312" s="942"/>
      <c r="E312" s="52">
        <f t="shared" si="54"/>
        <v>2.5000000000000001E-2</v>
      </c>
      <c r="F312" s="942"/>
      <c r="G312" s="52">
        <f t="shared" si="55"/>
        <v>0.12</v>
      </c>
      <c r="H312" s="942"/>
      <c r="I312" s="52">
        <f t="shared" si="56"/>
        <v>1</v>
      </c>
      <c r="J312" s="942"/>
      <c r="K312" s="52">
        <f t="shared" si="57"/>
        <v>1</v>
      </c>
      <c r="L312" s="942"/>
      <c r="M312" s="52">
        <f t="shared" si="58"/>
        <v>1</v>
      </c>
      <c r="N312" s="942"/>
      <c r="O312" s="52">
        <f t="shared" si="59"/>
        <v>1</v>
      </c>
      <c r="P312" s="942"/>
      <c r="Q312" s="52">
        <f t="shared" si="60"/>
        <v>0</v>
      </c>
      <c r="R312" s="470">
        <f t="shared" si="61"/>
        <v>0</v>
      </c>
      <c r="S312" s="779">
        <f t="shared" si="62"/>
        <v>0</v>
      </c>
    </row>
    <row r="313" spans="1:19">
      <c r="A313" s="944"/>
      <c r="B313" s="131"/>
      <c r="C313" s="52">
        <f t="shared" si="53"/>
        <v>1</v>
      </c>
      <c r="D313" s="942"/>
      <c r="E313" s="52">
        <f t="shared" si="54"/>
        <v>2.5000000000000001E-2</v>
      </c>
      <c r="F313" s="942"/>
      <c r="G313" s="52">
        <f t="shared" si="55"/>
        <v>0.12</v>
      </c>
      <c r="H313" s="942"/>
      <c r="I313" s="52">
        <f t="shared" si="56"/>
        <v>1</v>
      </c>
      <c r="J313" s="942"/>
      <c r="K313" s="52">
        <f t="shared" si="57"/>
        <v>1</v>
      </c>
      <c r="L313" s="942"/>
      <c r="M313" s="52">
        <f t="shared" si="58"/>
        <v>1</v>
      </c>
      <c r="N313" s="942"/>
      <c r="O313" s="52">
        <f t="shared" si="59"/>
        <v>1</v>
      </c>
      <c r="P313" s="942"/>
      <c r="Q313" s="52">
        <f t="shared" si="60"/>
        <v>0</v>
      </c>
      <c r="R313" s="470">
        <f t="shared" si="61"/>
        <v>0</v>
      </c>
      <c r="S313" s="779">
        <f t="shared" si="62"/>
        <v>0</v>
      </c>
    </row>
    <row r="314" spans="1:19">
      <c r="A314" s="944"/>
      <c r="B314" s="131"/>
      <c r="C314" s="52">
        <f t="shared" si="53"/>
        <v>1</v>
      </c>
      <c r="D314" s="942"/>
      <c r="E314" s="52">
        <f t="shared" si="54"/>
        <v>2.5000000000000001E-2</v>
      </c>
      <c r="F314" s="942"/>
      <c r="G314" s="52">
        <f t="shared" si="55"/>
        <v>0.12</v>
      </c>
      <c r="H314" s="942"/>
      <c r="I314" s="52">
        <f t="shared" si="56"/>
        <v>1</v>
      </c>
      <c r="J314" s="942"/>
      <c r="K314" s="52">
        <f t="shared" si="57"/>
        <v>1</v>
      </c>
      <c r="L314" s="942"/>
      <c r="M314" s="52">
        <f t="shared" si="58"/>
        <v>1</v>
      </c>
      <c r="N314" s="942"/>
      <c r="O314" s="52">
        <f t="shared" si="59"/>
        <v>1</v>
      </c>
      <c r="P314" s="942"/>
      <c r="Q314" s="52">
        <f t="shared" si="60"/>
        <v>0</v>
      </c>
      <c r="R314" s="470">
        <f t="shared" si="61"/>
        <v>0</v>
      </c>
      <c r="S314" s="779">
        <f t="shared" si="62"/>
        <v>0</v>
      </c>
    </row>
    <row r="315" spans="1:19">
      <c r="A315" s="944"/>
      <c r="B315" s="131"/>
      <c r="C315" s="52">
        <f t="shared" si="53"/>
        <v>1</v>
      </c>
      <c r="D315" s="942"/>
      <c r="E315" s="52">
        <f t="shared" si="54"/>
        <v>2.5000000000000001E-2</v>
      </c>
      <c r="F315" s="942"/>
      <c r="G315" s="52">
        <f t="shared" si="55"/>
        <v>0.12</v>
      </c>
      <c r="H315" s="942"/>
      <c r="I315" s="52">
        <f t="shared" si="56"/>
        <v>1</v>
      </c>
      <c r="J315" s="942"/>
      <c r="K315" s="52">
        <f t="shared" si="57"/>
        <v>1</v>
      </c>
      <c r="L315" s="942"/>
      <c r="M315" s="52">
        <f t="shared" si="58"/>
        <v>1</v>
      </c>
      <c r="N315" s="942"/>
      <c r="O315" s="52">
        <f t="shared" si="59"/>
        <v>1</v>
      </c>
      <c r="P315" s="942"/>
      <c r="Q315" s="52">
        <f t="shared" si="60"/>
        <v>0</v>
      </c>
      <c r="R315" s="470">
        <f t="shared" si="61"/>
        <v>0</v>
      </c>
      <c r="S315" s="779">
        <f t="shared" si="62"/>
        <v>0</v>
      </c>
    </row>
    <row r="316" spans="1:19">
      <c r="A316" s="944"/>
      <c r="B316" s="131"/>
      <c r="C316" s="52">
        <f t="shared" si="53"/>
        <v>1</v>
      </c>
      <c r="D316" s="942"/>
      <c r="E316" s="52">
        <f t="shared" si="54"/>
        <v>2.5000000000000001E-2</v>
      </c>
      <c r="F316" s="942"/>
      <c r="G316" s="52">
        <f t="shared" si="55"/>
        <v>0.12</v>
      </c>
      <c r="H316" s="942"/>
      <c r="I316" s="52">
        <f t="shared" si="56"/>
        <v>1</v>
      </c>
      <c r="J316" s="942"/>
      <c r="K316" s="52">
        <f t="shared" si="57"/>
        <v>1</v>
      </c>
      <c r="L316" s="942"/>
      <c r="M316" s="52">
        <f t="shared" si="58"/>
        <v>1</v>
      </c>
      <c r="N316" s="942"/>
      <c r="O316" s="52">
        <f t="shared" si="59"/>
        <v>1</v>
      </c>
      <c r="P316" s="942"/>
      <c r="Q316" s="52">
        <f t="shared" si="60"/>
        <v>0</v>
      </c>
      <c r="R316" s="470">
        <f t="shared" si="61"/>
        <v>0</v>
      </c>
      <c r="S316" s="779">
        <f t="shared" si="62"/>
        <v>0</v>
      </c>
    </row>
    <row r="317" spans="1:19">
      <c r="A317" s="944"/>
      <c r="B317" s="131"/>
      <c r="C317" s="52">
        <f t="shared" si="53"/>
        <v>1</v>
      </c>
      <c r="D317" s="942"/>
      <c r="E317" s="52">
        <f t="shared" si="54"/>
        <v>2.5000000000000001E-2</v>
      </c>
      <c r="F317" s="942"/>
      <c r="G317" s="52">
        <f t="shared" si="55"/>
        <v>0.12</v>
      </c>
      <c r="H317" s="942"/>
      <c r="I317" s="52">
        <f t="shared" si="56"/>
        <v>1</v>
      </c>
      <c r="J317" s="942"/>
      <c r="K317" s="52">
        <f t="shared" si="57"/>
        <v>1</v>
      </c>
      <c r="L317" s="942"/>
      <c r="M317" s="52">
        <f t="shared" si="58"/>
        <v>1</v>
      </c>
      <c r="N317" s="942"/>
      <c r="O317" s="52">
        <f t="shared" si="59"/>
        <v>1</v>
      </c>
      <c r="P317" s="942"/>
      <c r="Q317" s="52">
        <f t="shared" si="60"/>
        <v>0</v>
      </c>
      <c r="R317" s="470">
        <f t="shared" si="61"/>
        <v>0</v>
      </c>
      <c r="S317" s="779">
        <f t="shared" si="62"/>
        <v>0</v>
      </c>
    </row>
    <row r="318" spans="1:19">
      <c r="A318" s="944"/>
      <c r="B318" s="131"/>
      <c r="C318" s="52">
        <f t="shared" si="53"/>
        <v>1</v>
      </c>
      <c r="D318" s="942"/>
      <c r="E318" s="52">
        <f t="shared" si="54"/>
        <v>2.5000000000000001E-2</v>
      </c>
      <c r="F318" s="942"/>
      <c r="G318" s="52">
        <f t="shared" si="55"/>
        <v>0.12</v>
      </c>
      <c r="H318" s="942"/>
      <c r="I318" s="52">
        <f t="shared" si="56"/>
        <v>1</v>
      </c>
      <c r="J318" s="942"/>
      <c r="K318" s="52">
        <f t="shared" si="57"/>
        <v>1</v>
      </c>
      <c r="L318" s="942"/>
      <c r="M318" s="52">
        <f t="shared" si="58"/>
        <v>1</v>
      </c>
      <c r="N318" s="942"/>
      <c r="O318" s="52">
        <f t="shared" si="59"/>
        <v>1</v>
      </c>
      <c r="P318" s="942"/>
      <c r="Q318" s="52">
        <f t="shared" si="60"/>
        <v>0</v>
      </c>
      <c r="R318" s="470">
        <f t="shared" si="61"/>
        <v>0</v>
      </c>
      <c r="S318" s="779">
        <f t="shared" si="62"/>
        <v>0</v>
      </c>
    </row>
    <row r="319" spans="1:19">
      <c r="A319" s="944"/>
      <c r="B319" s="131"/>
      <c r="C319" s="52">
        <f t="shared" si="53"/>
        <v>1</v>
      </c>
      <c r="D319" s="942"/>
      <c r="E319" s="52">
        <f t="shared" si="54"/>
        <v>2.5000000000000001E-2</v>
      </c>
      <c r="F319" s="942"/>
      <c r="G319" s="52">
        <f t="shared" si="55"/>
        <v>0.12</v>
      </c>
      <c r="H319" s="942"/>
      <c r="I319" s="52">
        <f t="shared" si="56"/>
        <v>1</v>
      </c>
      <c r="J319" s="942"/>
      <c r="K319" s="52">
        <f t="shared" si="57"/>
        <v>1</v>
      </c>
      <c r="L319" s="942"/>
      <c r="M319" s="52">
        <f t="shared" si="58"/>
        <v>1</v>
      </c>
      <c r="N319" s="942"/>
      <c r="O319" s="52">
        <f t="shared" si="59"/>
        <v>1</v>
      </c>
      <c r="P319" s="942"/>
      <c r="Q319" s="52">
        <f t="shared" si="60"/>
        <v>0</v>
      </c>
      <c r="R319" s="470">
        <f t="shared" si="61"/>
        <v>0</v>
      </c>
      <c r="S319" s="779">
        <f t="shared" si="62"/>
        <v>0</v>
      </c>
    </row>
    <row r="320" spans="1:19">
      <c r="A320" s="944"/>
      <c r="B320" s="131"/>
      <c r="C320" s="52">
        <f t="shared" si="53"/>
        <v>1</v>
      </c>
      <c r="D320" s="942"/>
      <c r="E320" s="52">
        <f t="shared" si="54"/>
        <v>2.5000000000000001E-2</v>
      </c>
      <c r="F320" s="942"/>
      <c r="G320" s="52">
        <f t="shared" si="55"/>
        <v>0.12</v>
      </c>
      <c r="H320" s="942"/>
      <c r="I320" s="52">
        <f t="shared" si="56"/>
        <v>1</v>
      </c>
      <c r="J320" s="942"/>
      <c r="K320" s="52">
        <f t="shared" si="57"/>
        <v>1</v>
      </c>
      <c r="L320" s="942"/>
      <c r="M320" s="52">
        <f t="shared" si="58"/>
        <v>1</v>
      </c>
      <c r="N320" s="942"/>
      <c r="O320" s="52">
        <f t="shared" si="59"/>
        <v>1</v>
      </c>
      <c r="P320" s="942"/>
      <c r="Q320" s="52">
        <f t="shared" si="60"/>
        <v>0</v>
      </c>
      <c r="R320" s="470">
        <f t="shared" si="61"/>
        <v>0</v>
      </c>
      <c r="S320" s="779">
        <f t="shared" si="62"/>
        <v>0</v>
      </c>
    </row>
    <row r="321" spans="1:19">
      <c r="A321" s="944"/>
      <c r="B321" s="131"/>
      <c r="C321" s="52">
        <f t="shared" si="53"/>
        <v>1</v>
      </c>
      <c r="D321" s="942"/>
      <c r="E321" s="52">
        <f t="shared" si="54"/>
        <v>2.5000000000000001E-2</v>
      </c>
      <c r="F321" s="942"/>
      <c r="G321" s="52">
        <f t="shared" si="55"/>
        <v>0.12</v>
      </c>
      <c r="H321" s="942"/>
      <c r="I321" s="52">
        <f t="shared" si="56"/>
        <v>1</v>
      </c>
      <c r="J321" s="942"/>
      <c r="K321" s="52">
        <f t="shared" si="57"/>
        <v>1</v>
      </c>
      <c r="L321" s="942"/>
      <c r="M321" s="52">
        <f t="shared" si="58"/>
        <v>1</v>
      </c>
      <c r="N321" s="942"/>
      <c r="O321" s="52">
        <f t="shared" si="59"/>
        <v>1</v>
      </c>
      <c r="P321" s="942"/>
      <c r="Q321" s="52">
        <f t="shared" si="60"/>
        <v>0</v>
      </c>
      <c r="R321" s="470">
        <f t="shared" si="61"/>
        <v>0</v>
      </c>
      <c r="S321" s="779">
        <f t="shared" ref="S321:S384" si="63">ROUND(R321*B321/10000,0)</f>
        <v>0</v>
      </c>
    </row>
    <row r="322" spans="1:19">
      <c r="A322" s="944"/>
      <c r="B322" s="131"/>
      <c r="C322" s="52">
        <f t="shared" si="53"/>
        <v>1</v>
      </c>
      <c r="D322" s="942"/>
      <c r="E322" s="52">
        <f t="shared" si="54"/>
        <v>2.5000000000000001E-2</v>
      </c>
      <c r="F322" s="942"/>
      <c r="G322" s="52">
        <f t="shared" si="55"/>
        <v>0.12</v>
      </c>
      <c r="H322" s="942"/>
      <c r="I322" s="52">
        <f t="shared" si="56"/>
        <v>1</v>
      </c>
      <c r="J322" s="942"/>
      <c r="K322" s="52">
        <f t="shared" si="57"/>
        <v>1</v>
      </c>
      <c r="L322" s="942"/>
      <c r="M322" s="52">
        <f t="shared" si="58"/>
        <v>1</v>
      </c>
      <c r="N322" s="942"/>
      <c r="O322" s="52">
        <f t="shared" si="59"/>
        <v>1</v>
      </c>
      <c r="P322" s="942"/>
      <c r="Q322" s="52">
        <f t="shared" si="60"/>
        <v>0</v>
      </c>
      <c r="R322" s="470">
        <f t="shared" si="61"/>
        <v>0</v>
      </c>
      <c r="S322" s="779">
        <f t="shared" si="63"/>
        <v>0</v>
      </c>
    </row>
    <row r="323" spans="1:19">
      <c r="A323" s="944"/>
      <c r="B323" s="131"/>
      <c r="C323" s="52">
        <f t="shared" si="53"/>
        <v>1</v>
      </c>
      <c r="D323" s="942"/>
      <c r="E323" s="52">
        <f t="shared" si="54"/>
        <v>2.5000000000000001E-2</v>
      </c>
      <c r="F323" s="942"/>
      <c r="G323" s="52">
        <f t="shared" si="55"/>
        <v>0.12</v>
      </c>
      <c r="H323" s="942"/>
      <c r="I323" s="52">
        <f t="shared" si="56"/>
        <v>1</v>
      </c>
      <c r="J323" s="942"/>
      <c r="K323" s="52">
        <f t="shared" si="57"/>
        <v>1</v>
      </c>
      <c r="L323" s="942"/>
      <c r="M323" s="52">
        <f t="shared" si="58"/>
        <v>1</v>
      </c>
      <c r="N323" s="942"/>
      <c r="O323" s="52">
        <f t="shared" si="59"/>
        <v>1</v>
      </c>
      <c r="P323" s="942"/>
      <c r="Q323" s="52">
        <f t="shared" si="60"/>
        <v>0</v>
      </c>
      <c r="R323" s="470">
        <f t="shared" si="61"/>
        <v>0</v>
      </c>
      <c r="S323" s="779">
        <f t="shared" si="63"/>
        <v>0</v>
      </c>
    </row>
    <row r="324" spans="1:19">
      <c r="A324" s="944"/>
      <c r="B324" s="131"/>
      <c r="C324" s="52">
        <f t="shared" si="53"/>
        <v>1</v>
      </c>
      <c r="D324" s="942"/>
      <c r="E324" s="52">
        <f t="shared" si="54"/>
        <v>2.5000000000000001E-2</v>
      </c>
      <c r="F324" s="942"/>
      <c r="G324" s="52">
        <f t="shared" si="55"/>
        <v>0.12</v>
      </c>
      <c r="H324" s="942"/>
      <c r="I324" s="52">
        <f t="shared" si="56"/>
        <v>1</v>
      </c>
      <c r="J324" s="942"/>
      <c r="K324" s="52">
        <f t="shared" si="57"/>
        <v>1</v>
      </c>
      <c r="L324" s="942"/>
      <c r="M324" s="52">
        <f t="shared" si="58"/>
        <v>1</v>
      </c>
      <c r="N324" s="942"/>
      <c r="O324" s="52">
        <f t="shared" si="59"/>
        <v>1</v>
      </c>
      <c r="P324" s="942"/>
      <c r="Q324" s="52">
        <f t="shared" si="60"/>
        <v>0</v>
      </c>
      <c r="R324" s="470">
        <f t="shared" si="61"/>
        <v>0</v>
      </c>
      <c r="S324" s="779">
        <f t="shared" si="63"/>
        <v>0</v>
      </c>
    </row>
    <row r="325" spans="1:19">
      <c r="A325" s="944"/>
      <c r="B325" s="131"/>
      <c r="C325" s="52">
        <f t="shared" si="53"/>
        <v>1</v>
      </c>
      <c r="D325" s="942"/>
      <c r="E325" s="52">
        <f t="shared" si="54"/>
        <v>2.5000000000000001E-2</v>
      </c>
      <c r="F325" s="942"/>
      <c r="G325" s="52">
        <f t="shared" si="55"/>
        <v>0.12</v>
      </c>
      <c r="H325" s="942"/>
      <c r="I325" s="52">
        <f t="shared" si="56"/>
        <v>1</v>
      </c>
      <c r="J325" s="942"/>
      <c r="K325" s="52">
        <f t="shared" si="57"/>
        <v>1</v>
      </c>
      <c r="L325" s="942"/>
      <c r="M325" s="52">
        <f t="shared" si="58"/>
        <v>1</v>
      </c>
      <c r="N325" s="942"/>
      <c r="O325" s="52">
        <f t="shared" si="59"/>
        <v>1</v>
      </c>
      <c r="P325" s="942"/>
      <c r="Q325" s="52">
        <f t="shared" si="60"/>
        <v>0</v>
      </c>
      <c r="R325" s="470">
        <f t="shared" si="61"/>
        <v>0</v>
      </c>
      <c r="S325" s="779">
        <f t="shared" si="63"/>
        <v>0</v>
      </c>
    </row>
    <row r="326" spans="1:19">
      <c r="A326" s="944"/>
      <c r="B326" s="131"/>
      <c r="C326" s="52">
        <f t="shared" si="53"/>
        <v>1</v>
      </c>
      <c r="D326" s="942"/>
      <c r="E326" s="52">
        <f t="shared" si="54"/>
        <v>2.5000000000000001E-2</v>
      </c>
      <c r="F326" s="942"/>
      <c r="G326" s="52">
        <f t="shared" si="55"/>
        <v>0.12</v>
      </c>
      <c r="H326" s="942"/>
      <c r="I326" s="52">
        <f t="shared" si="56"/>
        <v>1</v>
      </c>
      <c r="J326" s="942"/>
      <c r="K326" s="52">
        <f t="shared" si="57"/>
        <v>1</v>
      </c>
      <c r="L326" s="942"/>
      <c r="M326" s="52">
        <f t="shared" si="58"/>
        <v>1</v>
      </c>
      <c r="N326" s="942"/>
      <c r="O326" s="52">
        <f t="shared" si="59"/>
        <v>1</v>
      </c>
      <c r="P326" s="942"/>
      <c r="Q326" s="52">
        <f t="shared" si="60"/>
        <v>0</v>
      </c>
      <c r="R326" s="470">
        <f t="shared" si="61"/>
        <v>0</v>
      </c>
      <c r="S326" s="779">
        <f t="shared" si="63"/>
        <v>0</v>
      </c>
    </row>
    <row r="327" spans="1:19">
      <c r="A327" s="944"/>
      <c r="B327" s="131"/>
      <c r="C327" s="52">
        <f t="shared" si="53"/>
        <v>1</v>
      </c>
      <c r="D327" s="942"/>
      <c r="E327" s="52">
        <f t="shared" si="54"/>
        <v>2.5000000000000001E-2</v>
      </c>
      <c r="F327" s="942"/>
      <c r="G327" s="52">
        <f t="shared" si="55"/>
        <v>0.12</v>
      </c>
      <c r="H327" s="942"/>
      <c r="I327" s="52">
        <f t="shared" si="56"/>
        <v>1</v>
      </c>
      <c r="J327" s="942"/>
      <c r="K327" s="52">
        <f t="shared" si="57"/>
        <v>1</v>
      </c>
      <c r="L327" s="942"/>
      <c r="M327" s="52">
        <f t="shared" si="58"/>
        <v>1</v>
      </c>
      <c r="N327" s="942"/>
      <c r="O327" s="52">
        <f t="shared" si="59"/>
        <v>1</v>
      </c>
      <c r="P327" s="942"/>
      <c r="Q327" s="52">
        <f t="shared" si="60"/>
        <v>0</v>
      </c>
      <c r="R327" s="470">
        <f t="shared" si="61"/>
        <v>0</v>
      </c>
      <c r="S327" s="779">
        <f t="shared" si="63"/>
        <v>0</v>
      </c>
    </row>
    <row r="328" spans="1:19">
      <c r="A328" s="944"/>
      <c r="B328" s="131"/>
      <c r="C328" s="52">
        <f t="shared" si="53"/>
        <v>1</v>
      </c>
      <c r="D328" s="942"/>
      <c r="E328" s="52">
        <f t="shared" si="54"/>
        <v>2.5000000000000001E-2</v>
      </c>
      <c r="F328" s="942"/>
      <c r="G328" s="52">
        <f t="shared" si="55"/>
        <v>0.12</v>
      </c>
      <c r="H328" s="942"/>
      <c r="I328" s="52">
        <f t="shared" si="56"/>
        <v>1</v>
      </c>
      <c r="J328" s="942"/>
      <c r="K328" s="52">
        <f t="shared" si="57"/>
        <v>1</v>
      </c>
      <c r="L328" s="942"/>
      <c r="M328" s="52">
        <f t="shared" si="58"/>
        <v>1</v>
      </c>
      <c r="N328" s="942"/>
      <c r="O328" s="52">
        <f t="shared" si="59"/>
        <v>1</v>
      </c>
      <c r="P328" s="942"/>
      <c r="Q328" s="52">
        <f t="shared" si="60"/>
        <v>0</v>
      </c>
      <c r="R328" s="470">
        <f t="shared" si="61"/>
        <v>0</v>
      </c>
      <c r="S328" s="779">
        <f t="shared" si="63"/>
        <v>0</v>
      </c>
    </row>
    <row r="329" spans="1:19">
      <c r="A329" s="944"/>
      <c r="B329" s="131"/>
      <c r="C329" s="52">
        <f t="shared" si="53"/>
        <v>1</v>
      </c>
      <c r="D329" s="942"/>
      <c r="E329" s="52">
        <f t="shared" si="54"/>
        <v>2.5000000000000001E-2</v>
      </c>
      <c r="F329" s="942"/>
      <c r="G329" s="52">
        <f t="shared" si="55"/>
        <v>0.12</v>
      </c>
      <c r="H329" s="942"/>
      <c r="I329" s="52">
        <f t="shared" si="56"/>
        <v>1</v>
      </c>
      <c r="J329" s="942"/>
      <c r="K329" s="52">
        <f t="shared" si="57"/>
        <v>1</v>
      </c>
      <c r="L329" s="942"/>
      <c r="M329" s="52">
        <f t="shared" si="58"/>
        <v>1</v>
      </c>
      <c r="N329" s="942"/>
      <c r="O329" s="52">
        <f t="shared" si="59"/>
        <v>1</v>
      </c>
      <c r="P329" s="942"/>
      <c r="Q329" s="52">
        <f t="shared" si="60"/>
        <v>0</v>
      </c>
      <c r="R329" s="470">
        <f t="shared" si="61"/>
        <v>0</v>
      </c>
      <c r="S329" s="779">
        <f t="shared" si="63"/>
        <v>0</v>
      </c>
    </row>
    <row r="330" spans="1:19">
      <c r="A330" s="944"/>
      <c r="B330" s="131"/>
      <c r="C330" s="52">
        <f t="shared" si="53"/>
        <v>1</v>
      </c>
      <c r="D330" s="942"/>
      <c r="E330" s="52">
        <f t="shared" si="54"/>
        <v>2.5000000000000001E-2</v>
      </c>
      <c r="F330" s="942"/>
      <c r="G330" s="52">
        <f t="shared" si="55"/>
        <v>0.12</v>
      </c>
      <c r="H330" s="942"/>
      <c r="I330" s="52">
        <f t="shared" si="56"/>
        <v>1</v>
      </c>
      <c r="J330" s="942"/>
      <c r="K330" s="52">
        <f t="shared" si="57"/>
        <v>1</v>
      </c>
      <c r="L330" s="942"/>
      <c r="M330" s="52">
        <f t="shared" si="58"/>
        <v>1</v>
      </c>
      <c r="N330" s="942"/>
      <c r="O330" s="52">
        <f t="shared" si="59"/>
        <v>1</v>
      </c>
      <c r="P330" s="942"/>
      <c r="Q330" s="52">
        <f t="shared" si="60"/>
        <v>0</v>
      </c>
      <c r="R330" s="470">
        <f t="shared" si="61"/>
        <v>0</v>
      </c>
      <c r="S330" s="779">
        <f t="shared" si="63"/>
        <v>0</v>
      </c>
    </row>
    <row r="331" spans="1:19">
      <c r="A331" s="944"/>
      <c r="B331" s="131"/>
      <c r="C331" s="52">
        <f t="shared" si="53"/>
        <v>1</v>
      </c>
      <c r="D331" s="942"/>
      <c r="E331" s="52">
        <f t="shared" si="54"/>
        <v>2.5000000000000001E-2</v>
      </c>
      <c r="F331" s="942"/>
      <c r="G331" s="52">
        <f t="shared" si="55"/>
        <v>0.12</v>
      </c>
      <c r="H331" s="942"/>
      <c r="I331" s="52">
        <f t="shared" si="56"/>
        <v>1</v>
      </c>
      <c r="J331" s="942"/>
      <c r="K331" s="52">
        <f t="shared" si="57"/>
        <v>1</v>
      </c>
      <c r="L331" s="942"/>
      <c r="M331" s="52">
        <f t="shared" si="58"/>
        <v>1</v>
      </c>
      <c r="N331" s="942"/>
      <c r="O331" s="52">
        <f t="shared" si="59"/>
        <v>1</v>
      </c>
      <c r="P331" s="942"/>
      <c r="Q331" s="52">
        <f t="shared" si="60"/>
        <v>0</v>
      </c>
      <c r="R331" s="470">
        <f t="shared" si="61"/>
        <v>0</v>
      </c>
      <c r="S331" s="779">
        <f t="shared" si="63"/>
        <v>0</v>
      </c>
    </row>
    <row r="332" spans="1:19">
      <c r="A332" s="944"/>
      <c r="B332" s="131"/>
      <c r="C332" s="52">
        <f t="shared" si="53"/>
        <v>1</v>
      </c>
      <c r="D332" s="942"/>
      <c r="E332" s="52">
        <f t="shared" si="54"/>
        <v>2.5000000000000001E-2</v>
      </c>
      <c r="F332" s="942"/>
      <c r="G332" s="52">
        <f t="shared" si="55"/>
        <v>0.12</v>
      </c>
      <c r="H332" s="942"/>
      <c r="I332" s="52">
        <f t="shared" si="56"/>
        <v>1</v>
      </c>
      <c r="J332" s="942"/>
      <c r="K332" s="52">
        <f t="shared" si="57"/>
        <v>1</v>
      </c>
      <c r="L332" s="942"/>
      <c r="M332" s="52">
        <f t="shared" si="58"/>
        <v>1</v>
      </c>
      <c r="N332" s="942"/>
      <c r="O332" s="52">
        <f t="shared" si="59"/>
        <v>1</v>
      </c>
      <c r="P332" s="942"/>
      <c r="Q332" s="52">
        <f t="shared" si="60"/>
        <v>0</v>
      </c>
      <c r="R332" s="470">
        <f t="shared" si="61"/>
        <v>0</v>
      </c>
      <c r="S332" s="779">
        <f t="shared" si="63"/>
        <v>0</v>
      </c>
    </row>
    <row r="333" spans="1:19">
      <c r="A333" s="944"/>
      <c r="B333" s="131"/>
      <c r="C333" s="52">
        <f t="shared" si="53"/>
        <v>1</v>
      </c>
      <c r="D333" s="942"/>
      <c r="E333" s="52">
        <f t="shared" si="54"/>
        <v>2.5000000000000001E-2</v>
      </c>
      <c r="F333" s="942"/>
      <c r="G333" s="52">
        <f t="shared" si="55"/>
        <v>0.12</v>
      </c>
      <c r="H333" s="942"/>
      <c r="I333" s="52">
        <f t="shared" si="56"/>
        <v>1</v>
      </c>
      <c r="J333" s="942"/>
      <c r="K333" s="52">
        <f t="shared" si="57"/>
        <v>1</v>
      </c>
      <c r="L333" s="942"/>
      <c r="M333" s="52">
        <f t="shared" si="58"/>
        <v>1</v>
      </c>
      <c r="N333" s="942"/>
      <c r="O333" s="52">
        <f t="shared" si="59"/>
        <v>1</v>
      </c>
      <c r="P333" s="942"/>
      <c r="Q333" s="52">
        <f t="shared" si="60"/>
        <v>0</v>
      </c>
      <c r="R333" s="470">
        <f t="shared" si="61"/>
        <v>0</v>
      </c>
      <c r="S333" s="779">
        <f t="shared" si="63"/>
        <v>0</v>
      </c>
    </row>
    <row r="334" spans="1:19">
      <c r="A334" s="944"/>
      <c r="B334" s="131"/>
      <c r="C334" s="52">
        <f t="shared" si="53"/>
        <v>1</v>
      </c>
      <c r="D334" s="942"/>
      <c r="E334" s="52">
        <f t="shared" si="54"/>
        <v>2.5000000000000001E-2</v>
      </c>
      <c r="F334" s="942"/>
      <c r="G334" s="52">
        <f t="shared" si="55"/>
        <v>0.12</v>
      </c>
      <c r="H334" s="942"/>
      <c r="I334" s="52">
        <f t="shared" si="56"/>
        <v>1</v>
      </c>
      <c r="J334" s="942"/>
      <c r="K334" s="52">
        <f t="shared" si="57"/>
        <v>1</v>
      </c>
      <c r="L334" s="942"/>
      <c r="M334" s="52">
        <f t="shared" si="58"/>
        <v>1</v>
      </c>
      <c r="N334" s="942"/>
      <c r="O334" s="52">
        <f t="shared" si="59"/>
        <v>1</v>
      </c>
      <c r="P334" s="942"/>
      <c r="Q334" s="52">
        <f t="shared" si="60"/>
        <v>0</v>
      </c>
      <c r="R334" s="470">
        <f t="shared" si="61"/>
        <v>0</v>
      </c>
      <c r="S334" s="779">
        <f t="shared" si="63"/>
        <v>0</v>
      </c>
    </row>
    <row r="335" spans="1:19">
      <c r="A335" s="944"/>
      <c r="B335" s="131"/>
      <c r="C335" s="52">
        <f t="shared" si="53"/>
        <v>1</v>
      </c>
      <c r="D335" s="942"/>
      <c r="E335" s="52">
        <f t="shared" si="54"/>
        <v>2.5000000000000001E-2</v>
      </c>
      <c r="F335" s="942"/>
      <c r="G335" s="52">
        <f t="shared" si="55"/>
        <v>0.12</v>
      </c>
      <c r="H335" s="942"/>
      <c r="I335" s="52">
        <f t="shared" si="56"/>
        <v>1</v>
      </c>
      <c r="J335" s="942"/>
      <c r="K335" s="52">
        <f t="shared" si="57"/>
        <v>1</v>
      </c>
      <c r="L335" s="942"/>
      <c r="M335" s="52">
        <f t="shared" si="58"/>
        <v>1</v>
      </c>
      <c r="N335" s="942"/>
      <c r="O335" s="52">
        <f t="shared" si="59"/>
        <v>1</v>
      </c>
      <c r="P335" s="942"/>
      <c r="Q335" s="52">
        <f t="shared" si="60"/>
        <v>0</v>
      </c>
      <c r="R335" s="470">
        <f t="shared" si="61"/>
        <v>0</v>
      </c>
      <c r="S335" s="779">
        <f t="shared" si="63"/>
        <v>0</v>
      </c>
    </row>
    <row r="336" spans="1:19">
      <c r="A336" s="944"/>
      <c r="B336" s="131"/>
      <c r="C336" s="52">
        <f t="shared" si="53"/>
        <v>1</v>
      </c>
      <c r="D336" s="942"/>
      <c r="E336" s="52">
        <f t="shared" si="54"/>
        <v>2.5000000000000001E-2</v>
      </c>
      <c r="F336" s="942"/>
      <c r="G336" s="52">
        <f t="shared" si="55"/>
        <v>0.12</v>
      </c>
      <c r="H336" s="942"/>
      <c r="I336" s="52">
        <f t="shared" si="56"/>
        <v>1</v>
      </c>
      <c r="J336" s="942"/>
      <c r="K336" s="52">
        <f t="shared" si="57"/>
        <v>1</v>
      </c>
      <c r="L336" s="942"/>
      <c r="M336" s="52">
        <f t="shared" si="58"/>
        <v>1</v>
      </c>
      <c r="N336" s="942"/>
      <c r="O336" s="52">
        <f t="shared" si="59"/>
        <v>1</v>
      </c>
      <c r="P336" s="942"/>
      <c r="Q336" s="52">
        <f t="shared" si="60"/>
        <v>0</v>
      </c>
      <c r="R336" s="470">
        <f t="shared" si="61"/>
        <v>0</v>
      </c>
      <c r="S336" s="779">
        <f t="shared" si="63"/>
        <v>0</v>
      </c>
    </row>
    <row r="337" spans="1:19">
      <c r="A337" s="944"/>
      <c r="B337" s="131"/>
      <c r="C337" s="52">
        <f t="shared" si="53"/>
        <v>1</v>
      </c>
      <c r="D337" s="942"/>
      <c r="E337" s="52">
        <f t="shared" si="54"/>
        <v>2.5000000000000001E-2</v>
      </c>
      <c r="F337" s="942"/>
      <c r="G337" s="52">
        <f t="shared" si="55"/>
        <v>0.12</v>
      </c>
      <c r="H337" s="942"/>
      <c r="I337" s="52">
        <f t="shared" si="56"/>
        <v>1</v>
      </c>
      <c r="J337" s="942"/>
      <c r="K337" s="52">
        <f t="shared" si="57"/>
        <v>1</v>
      </c>
      <c r="L337" s="942"/>
      <c r="M337" s="52">
        <f t="shared" si="58"/>
        <v>1</v>
      </c>
      <c r="N337" s="942"/>
      <c r="O337" s="52">
        <f t="shared" si="59"/>
        <v>1</v>
      </c>
      <c r="P337" s="942"/>
      <c r="Q337" s="52">
        <f t="shared" si="60"/>
        <v>0</v>
      </c>
      <c r="R337" s="470">
        <f t="shared" si="61"/>
        <v>0</v>
      </c>
      <c r="S337" s="779">
        <f t="shared" si="63"/>
        <v>0</v>
      </c>
    </row>
    <row r="338" spans="1:19">
      <c r="A338" s="944"/>
      <c r="B338" s="131"/>
      <c r="C338" s="52">
        <f t="shared" si="53"/>
        <v>1</v>
      </c>
      <c r="D338" s="942"/>
      <c r="E338" s="52">
        <f t="shared" si="54"/>
        <v>2.5000000000000001E-2</v>
      </c>
      <c r="F338" s="942"/>
      <c r="G338" s="52">
        <f t="shared" si="55"/>
        <v>0.12</v>
      </c>
      <c r="H338" s="942"/>
      <c r="I338" s="52">
        <f t="shared" si="56"/>
        <v>1</v>
      </c>
      <c r="J338" s="942"/>
      <c r="K338" s="52">
        <f t="shared" si="57"/>
        <v>1</v>
      </c>
      <c r="L338" s="942"/>
      <c r="M338" s="52">
        <f t="shared" si="58"/>
        <v>1</v>
      </c>
      <c r="N338" s="942"/>
      <c r="O338" s="52">
        <f t="shared" si="59"/>
        <v>1</v>
      </c>
      <c r="P338" s="942"/>
      <c r="Q338" s="52">
        <f t="shared" si="60"/>
        <v>0</v>
      </c>
      <c r="R338" s="470">
        <f t="shared" si="61"/>
        <v>0</v>
      </c>
      <c r="S338" s="779">
        <f t="shared" si="63"/>
        <v>0</v>
      </c>
    </row>
    <row r="339" spans="1:19">
      <c r="A339" s="944"/>
      <c r="B339" s="131"/>
      <c r="C339" s="52">
        <f t="shared" si="53"/>
        <v>1</v>
      </c>
      <c r="D339" s="942"/>
      <c r="E339" s="52">
        <f t="shared" si="54"/>
        <v>2.5000000000000001E-2</v>
      </c>
      <c r="F339" s="942"/>
      <c r="G339" s="52">
        <f t="shared" si="55"/>
        <v>0.12</v>
      </c>
      <c r="H339" s="942"/>
      <c r="I339" s="52">
        <f t="shared" si="56"/>
        <v>1</v>
      </c>
      <c r="J339" s="942"/>
      <c r="K339" s="52">
        <f t="shared" si="57"/>
        <v>1</v>
      </c>
      <c r="L339" s="942"/>
      <c r="M339" s="52">
        <f t="shared" si="58"/>
        <v>1</v>
      </c>
      <c r="N339" s="942"/>
      <c r="O339" s="52">
        <f t="shared" si="59"/>
        <v>1</v>
      </c>
      <c r="P339" s="942"/>
      <c r="Q339" s="52">
        <f t="shared" si="60"/>
        <v>0</v>
      </c>
      <c r="R339" s="470">
        <f t="shared" si="61"/>
        <v>0</v>
      </c>
      <c r="S339" s="779">
        <f t="shared" si="63"/>
        <v>0</v>
      </c>
    </row>
    <row r="340" spans="1:19">
      <c r="A340" s="944"/>
      <c r="B340" s="131"/>
      <c r="C340" s="52">
        <f t="shared" si="53"/>
        <v>1</v>
      </c>
      <c r="D340" s="942"/>
      <c r="E340" s="52">
        <f t="shared" si="54"/>
        <v>2.5000000000000001E-2</v>
      </c>
      <c r="F340" s="942"/>
      <c r="G340" s="52">
        <f t="shared" si="55"/>
        <v>0.12</v>
      </c>
      <c r="H340" s="942"/>
      <c r="I340" s="52">
        <f t="shared" si="56"/>
        <v>1</v>
      </c>
      <c r="J340" s="942"/>
      <c r="K340" s="52">
        <f t="shared" si="57"/>
        <v>1</v>
      </c>
      <c r="L340" s="942"/>
      <c r="M340" s="52">
        <f t="shared" si="58"/>
        <v>1</v>
      </c>
      <c r="N340" s="942"/>
      <c r="O340" s="52">
        <f t="shared" si="59"/>
        <v>1</v>
      </c>
      <c r="P340" s="942"/>
      <c r="Q340" s="52">
        <f t="shared" si="60"/>
        <v>0</v>
      </c>
      <c r="R340" s="470">
        <f t="shared" si="61"/>
        <v>0</v>
      </c>
      <c r="S340" s="779">
        <f t="shared" si="63"/>
        <v>0</v>
      </c>
    </row>
    <row r="341" spans="1:19">
      <c r="A341" s="944"/>
      <c r="B341" s="131"/>
      <c r="C341" s="52">
        <f t="shared" si="53"/>
        <v>1</v>
      </c>
      <c r="D341" s="942"/>
      <c r="E341" s="52">
        <f t="shared" si="54"/>
        <v>2.5000000000000001E-2</v>
      </c>
      <c r="F341" s="942"/>
      <c r="G341" s="52">
        <f t="shared" si="55"/>
        <v>0.12</v>
      </c>
      <c r="H341" s="942"/>
      <c r="I341" s="52">
        <f t="shared" si="56"/>
        <v>1</v>
      </c>
      <c r="J341" s="942"/>
      <c r="K341" s="52">
        <f t="shared" si="57"/>
        <v>1</v>
      </c>
      <c r="L341" s="942"/>
      <c r="M341" s="52">
        <f t="shared" si="58"/>
        <v>1</v>
      </c>
      <c r="N341" s="942"/>
      <c r="O341" s="52">
        <f t="shared" si="59"/>
        <v>1</v>
      </c>
      <c r="P341" s="942"/>
      <c r="Q341" s="52">
        <f t="shared" si="60"/>
        <v>0</v>
      </c>
      <c r="R341" s="470">
        <f t="shared" si="61"/>
        <v>0</v>
      </c>
      <c r="S341" s="779">
        <f t="shared" si="63"/>
        <v>0</v>
      </c>
    </row>
    <row r="342" spans="1:19">
      <c r="A342" s="944"/>
      <c r="B342" s="131"/>
      <c r="C342" s="52">
        <f t="shared" si="53"/>
        <v>1</v>
      </c>
      <c r="D342" s="942"/>
      <c r="E342" s="52">
        <f t="shared" si="54"/>
        <v>2.5000000000000001E-2</v>
      </c>
      <c r="F342" s="942"/>
      <c r="G342" s="52">
        <f t="shared" si="55"/>
        <v>0.12</v>
      </c>
      <c r="H342" s="942"/>
      <c r="I342" s="52">
        <f t="shared" si="56"/>
        <v>1</v>
      </c>
      <c r="J342" s="942"/>
      <c r="K342" s="52">
        <f t="shared" si="57"/>
        <v>1</v>
      </c>
      <c r="L342" s="942"/>
      <c r="M342" s="52">
        <f t="shared" si="58"/>
        <v>1</v>
      </c>
      <c r="N342" s="942"/>
      <c r="O342" s="52">
        <f t="shared" si="59"/>
        <v>1</v>
      </c>
      <c r="P342" s="942"/>
      <c r="Q342" s="52">
        <f t="shared" si="60"/>
        <v>0</v>
      </c>
      <c r="R342" s="470">
        <f t="shared" si="61"/>
        <v>0</v>
      </c>
      <c r="S342" s="779">
        <f t="shared" si="63"/>
        <v>0</v>
      </c>
    </row>
    <row r="343" spans="1:19">
      <c r="A343" s="944"/>
      <c r="B343" s="131"/>
      <c r="C343" s="52">
        <f t="shared" si="53"/>
        <v>1</v>
      </c>
      <c r="D343" s="942"/>
      <c r="E343" s="52">
        <f t="shared" si="54"/>
        <v>2.5000000000000001E-2</v>
      </c>
      <c r="F343" s="942"/>
      <c r="G343" s="52">
        <f t="shared" si="55"/>
        <v>0.12</v>
      </c>
      <c r="H343" s="942"/>
      <c r="I343" s="52">
        <f t="shared" si="56"/>
        <v>1</v>
      </c>
      <c r="J343" s="942"/>
      <c r="K343" s="52">
        <f t="shared" si="57"/>
        <v>1</v>
      </c>
      <c r="L343" s="942"/>
      <c r="M343" s="52">
        <f t="shared" si="58"/>
        <v>1</v>
      </c>
      <c r="N343" s="942"/>
      <c r="O343" s="52">
        <f t="shared" si="59"/>
        <v>1</v>
      </c>
      <c r="P343" s="942"/>
      <c r="Q343" s="52">
        <f t="shared" si="60"/>
        <v>0</v>
      </c>
      <c r="R343" s="470">
        <f t="shared" si="61"/>
        <v>0</v>
      </c>
      <c r="S343" s="779">
        <f t="shared" si="63"/>
        <v>0</v>
      </c>
    </row>
    <row r="344" spans="1:19">
      <c r="A344" s="944"/>
      <c r="B344" s="131"/>
      <c r="C344" s="52">
        <f t="shared" si="53"/>
        <v>1</v>
      </c>
      <c r="D344" s="942"/>
      <c r="E344" s="52">
        <f t="shared" si="54"/>
        <v>2.5000000000000001E-2</v>
      </c>
      <c r="F344" s="942"/>
      <c r="G344" s="52">
        <f t="shared" si="55"/>
        <v>0.12</v>
      </c>
      <c r="H344" s="942"/>
      <c r="I344" s="52">
        <f t="shared" si="56"/>
        <v>1</v>
      </c>
      <c r="J344" s="942"/>
      <c r="K344" s="52">
        <f t="shared" si="57"/>
        <v>1</v>
      </c>
      <c r="L344" s="942"/>
      <c r="M344" s="52">
        <f t="shared" si="58"/>
        <v>1</v>
      </c>
      <c r="N344" s="942"/>
      <c r="O344" s="52">
        <f t="shared" si="59"/>
        <v>1</v>
      </c>
      <c r="P344" s="942"/>
      <c r="Q344" s="52">
        <f t="shared" si="60"/>
        <v>0</v>
      </c>
      <c r="R344" s="470">
        <f t="shared" si="61"/>
        <v>0</v>
      </c>
      <c r="S344" s="779">
        <f t="shared" si="63"/>
        <v>0</v>
      </c>
    </row>
    <row r="345" spans="1:19">
      <c r="A345" s="944"/>
      <c r="B345" s="131"/>
      <c r="C345" s="52">
        <f t="shared" si="53"/>
        <v>1</v>
      </c>
      <c r="D345" s="942"/>
      <c r="E345" s="52">
        <f t="shared" si="54"/>
        <v>2.5000000000000001E-2</v>
      </c>
      <c r="F345" s="942"/>
      <c r="G345" s="52">
        <f t="shared" si="55"/>
        <v>0.12</v>
      </c>
      <c r="H345" s="942"/>
      <c r="I345" s="52">
        <f t="shared" si="56"/>
        <v>1</v>
      </c>
      <c r="J345" s="942"/>
      <c r="K345" s="52">
        <f t="shared" si="57"/>
        <v>1</v>
      </c>
      <c r="L345" s="942"/>
      <c r="M345" s="52">
        <f t="shared" si="58"/>
        <v>1</v>
      </c>
      <c r="N345" s="942"/>
      <c r="O345" s="52">
        <f t="shared" si="59"/>
        <v>1</v>
      </c>
      <c r="P345" s="942"/>
      <c r="Q345" s="52">
        <f t="shared" si="60"/>
        <v>0</v>
      </c>
      <c r="R345" s="470">
        <f t="shared" si="61"/>
        <v>0</v>
      </c>
      <c r="S345" s="779">
        <f t="shared" si="63"/>
        <v>0</v>
      </c>
    </row>
    <row r="346" spans="1:19">
      <c r="A346" s="944"/>
      <c r="B346" s="131"/>
      <c r="C346" s="52">
        <f t="shared" ref="C346:C409" si="64">IF(B346="",1,(LOOKUP(B346,$3:$3,$4:$4)-LOOKUP($B$24,$3:$3,$4:$4)+100)/100)</f>
        <v>1</v>
      </c>
      <c r="D346" s="942"/>
      <c r="E346" s="52">
        <f t="shared" ref="E346:E409" si="65">(SUMIF($5:$5,D346,$6:$6)-SUMIF($5:$5,$D$24,$6:$6)+100)/100</f>
        <v>2.5000000000000001E-2</v>
      </c>
      <c r="F346" s="942"/>
      <c r="G346" s="52">
        <f t="shared" ref="G346:G409" si="66">(SUMIF($7:$7,F346,$8:$8)-SUMIF($7:$7,$F$24,$8:$8)+100)/100</f>
        <v>0.12</v>
      </c>
      <c r="H346" s="942"/>
      <c r="I346" s="52">
        <f t="shared" ref="I346:I409" si="67">(SUMIF($9:$9,H346,$10:$10)-SUMIF($9:$9,$H$24,$10:$10)+100)/100</f>
        <v>1</v>
      </c>
      <c r="J346" s="942"/>
      <c r="K346" s="52">
        <f t="shared" ref="K346:K409" si="68">(SUMIF($11:$11,J346,$12:$12)-SUMIF($11:$11,$J$24,$12:$12)+100)/100</f>
        <v>1</v>
      </c>
      <c r="L346" s="942"/>
      <c r="M346" s="52">
        <f t="shared" ref="M346:M409" si="69">(SUMIF($13:$13,L346,$14:$14)-SUMIF($13:$13,$L$24,$14:$14)+100)/100</f>
        <v>1</v>
      </c>
      <c r="N346" s="942"/>
      <c r="O346" s="52">
        <f t="shared" ref="O346:O409" si="70">(SUMIF($15:$15,N346,$16:$16)-SUMIF($15:$15,$N$24,$16:$16)+100)/100</f>
        <v>1</v>
      </c>
      <c r="P346" s="942"/>
      <c r="Q346" s="52">
        <f t="shared" ref="Q346:Q409" si="71">(SUMIF($17:$17,P346,$18:$18)-SUMIF($17:$17,$P$24,$18:$18)+100)/100</f>
        <v>0</v>
      </c>
      <c r="R346" s="470">
        <f t="shared" ref="R346:R409" si="72">IF(B346="",0,ROUND($R$24*C346*E346*G346*I346*K346*M346*O346*Q346,0))</f>
        <v>0</v>
      </c>
      <c r="S346" s="779">
        <f t="shared" si="63"/>
        <v>0</v>
      </c>
    </row>
    <row r="347" spans="1:19">
      <c r="A347" s="944"/>
      <c r="B347" s="131"/>
      <c r="C347" s="52">
        <f t="shared" si="64"/>
        <v>1</v>
      </c>
      <c r="D347" s="942"/>
      <c r="E347" s="52">
        <f t="shared" si="65"/>
        <v>2.5000000000000001E-2</v>
      </c>
      <c r="F347" s="942"/>
      <c r="G347" s="52">
        <f t="shared" si="66"/>
        <v>0.12</v>
      </c>
      <c r="H347" s="942"/>
      <c r="I347" s="52">
        <f t="shared" si="67"/>
        <v>1</v>
      </c>
      <c r="J347" s="942"/>
      <c r="K347" s="52">
        <f t="shared" si="68"/>
        <v>1</v>
      </c>
      <c r="L347" s="942"/>
      <c r="M347" s="52">
        <f t="shared" si="69"/>
        <v>1</v>
      </c>
      <c r="N347" s="942"/>
      <c r="O347" s="52">
        <f t="shared" si="70"/>
        <v>1</v>
      </c>
      <c r="P347" s="942"/>
      <c r="Q347" s="52">
        <f t="shared" si="71"/>
        <v>0</v>
      </c>
      <c r="R347" s="470">
        <f t="shared" si="72"/>
        <v>0</v>
      </c>
      <c r="S347" s="779">
        <f t="shared" si="63"/>
        <v>0</v>
      </c>
    </row>
    <row r="348" spans="1:19">
      <c r="A348" s="944"/>
      <c r="B348" s="131"/>
      <c r="C348" s="52">
        <f t="shared" si="64"/>
        <v>1</v>
      </c>
      <c r="D348" s="942"/>
      <c r="E348" s="52">
        <f t="shared" si="65"/>
        <v>2.5000000000000001E-2</v>
      </c>
      <c r="F348" s="942"/>
      <c r="G348" s="52">
        <f t="shared" si="66"/>
        <v>0.12</v>
      </c>
      <c r="H348" s="942"/>
      <c r="I348" s="52">
        <f t="shared" si="67"/>
        <v>1</v>
      </c>
      <c r="J348" s="942"/>
      <c r="K348" s="52">
        <f t="shared" si="68"/>
        <v>1</v>
      </c>
      <c r="L348" s="942"/>
      <c r="M348" s="52">
        <f t="shared" si="69"/>
        <v>1</v>
      </c>
      <c r="N348" s="942"/>
      <c r="O348" s="52">
        <f t="shared" si="70"/>
        <v>1</v>
      </c>
      <c r="P348" s="942"/>
      <c r="Q348" s="52">
        <f t="shared" si="71"/>
        <v>0</v>
      </c>
      <c r="R348" s="470">
        <f t="shared" si="72"/>
        <v>0</v>
      </c>
      <c r="S348" s="779">
        <f t="shared" si="63"/>
        <v>0</v>
      </c>
    </row>
    <row r="349" spans="1:19">
      <c r="A349" s="944"/>
      <c r="B349" s="131"/>
      <c r="C349" s="52">
        <f t="shared" si="64"/>
        <v>1</v>
      </c>
      <c r="D349" s="942"/>
      <c r="E349" s="52">
        <f t="shared" si="65"/>
        <v>2.5000000000000001E-2</v>
      </c>
      <c r="F349" s="942"/>
      <c r="G349" s="52">
        <f t="shared" si="66"/>
        <v>0.12</v>
      </c>
      <c r="H349" s="942"/>
      <c r="I349" s="52">
        <f t="shared" si="67"/>
        <v>1</v>
      </c>
      <c r="J349" s="942"/>
      <c r="K349" s="52">
        <f t="shared" si="68"/>
        <v>1</v>
      </c>
      <c r="L349" s="942"/>
      <c r="M349" s="52">
        <f t="shared" si="69"/>
        <v>1</v>
      </c>
      <c r="N349" s="942"/>
      <c r="O349" s="52">
        <f t="shared" si="70"/>
        <v>1</v>
      </c>
      <c r="P349" s="942"/>
      <c r="Q349" s="52">
        <f t="shared" si="71"/>
        <v>0</v>
      </c>
      <c r="R349" s="470">
        <f t="shared" si="72"/>
        <v>0</v>
      </c>
      <c r="S349" s="779">
        <f t="shared" si="63"/>
        <v>0</v>
      </c>
    </row>
    <row r="350" spans="1:19">
      <c r="A350" s="944"/>
      <c r="B350" s="131"/>
      <c r="C350" s="52">
        <f t="shared" si="64"/>
        <v>1</v>
      </c>
      <c r="D350" s="942"/>
      <c r="E350" s="52">
        <f t="shared" si="65"/>
        <v>2.5000000000000001E-2</v>
      </c>
      <c r="F350" s="942"/>
      <c r="G350" s="52">
        <f t="shared" si="66"/>
        <v>0.12</v>
      </c>
      <c r="H350" s="942"/>
      <c r="I350" s="52">
        <f t="shared" si="67"/>
        <v>1</v>
      </c>
      <c r="J350" s="942"/>
      <c r="K350" s="52">
        <f t="shared" si="68"/>
        <v>1</v>
      </c>
      <c r="L350" s="942"/>
      <c r="M350" s="52">
        <f t="shared" si="69"/>
        <v>1</v>
      </c>
      <c r="N350" s="942"/>
      <c r="O350" s="52">
        <f t="shared" si="70"/>
        <v>1</v>
      </c>
      <c r="P350" s="942"/>
      <c r="Q350" s="52">
        <f t="shared" si="71"/>
        <v>0</v>
      </c>
      <c r="R350" s="470">
        <f t="shared" si="72"/>
        <v>0</v>
      </c>
      <c r="S350" s="779">
        <f t="shared" si="63"/>
        <v>0</v>
      </c>
    </row>
    <row r="351" spans="1:19">
      <c r="A351" s="944"/>
      <c r="B351" s="131"/>
      <c r="C351" s="52">
        <f t="shared" si="64"/>
        <v>1</v>
      </c>
      <c r="D351" s="942"/>
      <c r="E351" s="52">
        <f t="shared" si="65"/>
        <v>2.5000000000000001E-2</v>
      </c>
      <c r="F351" s="942"/>
      <c r="G351" s="52">
        <f t="shared" si="66"/>
        <v>0.12</v>
      </c>
      <c r="H351" s="942"/>
      <c r="I351" s="52">
        <f t="shared" si="67"/>
        <v>1</v>
      </c>
      <c r="J351" s="942"/>
      <c r="K351" s="52">
        <f t="shared" si="68"/>
        <v>1</v>
      </c>
      <c r="L351" s="942"/>
      <c r="M351" s="52">
        <f t="shared" si="69"/>
        <v>1</v>
      </c>
      <c r="N351" s="942"/>
      <c r="O351" s="52">
        <f t="shared" si="70"/>
        <v>1</v>
      </c>
      <c r="P351" s="942"/>
      <c r="Q351" s="52">
        <f t="shared" si="71"/>
        <v>0</v>
      </c>
      <c r="R351" s="470">
        <f t="shared" si="72"/>
        <v>0</v>
      </c>
      <c r="S351" s="779">
        <f t="shared" si="63"/>
        <v>0</v>
      </c>
    </row>
    <row r="352" spans="1:19">
      <c r="A352" s="944"/>
      <c r="B352" s="131"/>
      <c r="C352" s="52">
        <f t="shared" si="64"/>
        <v>1</v>
      </c>
      <c r="D352" s="942"/>
      <c r="E352" s="52">
        <f t="shared" si="65"/>
        <v>2.5000000000000001E-2</v>
      </c>
      <c r="F352" s="942"/>
      <c r="G352" s="52">
        <f t="shared" si="66"/>
        <v>0.12</v>
      </c>
      <c r="H352" s="942"/>
      <c r="I352" s="52">
        <f t="shared" si="67"/>
        <v>1</v>
      </c>
      <c r="J352" s="942"/>
      <c r="K352" s="52">
        <f t="shared" si="68"/>
        <v>1</v>
      </c>
      <c r="L352" s="942"/>
      <c r="M352" s="52">
        <f t="shared" si="69"/>
        <v>1</v>
      </c>
      <c r="N352" s="942"/>
      <c r="O352" s="52">
        <f t="shared" si="70"/>
        <v>1</v>
      </c>
      <c r="P352" s="942"/>
      <c r="Q352" s="52">
        <f t="shared" si="71"/>
        <v>0</v>
      </c>
      <c r="R352" s="470">
        <f t="shared" si="72"/>
        <v>0</v>
      </c>
      <c r="S352" s="779">
        <f t="shared" si="63"/>
        <v>0</v>
      </c>
    </row>
    <row r="353" spans="1:19">
      <c r="A353" s="944"/>
      <c r="B353" s="131"/>
      <c r="C353" s="52">
        <f t="shared" si="64"/>
        <v>1</v>
      </c>
      <c r="D353" s="942"/>
      <c r="E353" s="52">
        <f t="shared" si="65"/>
        <v>2.5000000000000001E-2</v>
      </c>
      <c r="F353" s="942"/>
      <c r="G353" s="52">
        <f t="shared" si="66"/>
        <v>0.12</v>
      </c>
      <c r="H353" s="942"/>
      <c r="I353" s="52">
        <f t="shared" si="67"/>
        <v>1</v>
      </c>
      <c r="J353" s="942"/>
      <c r="K353" s="52">
        <f t="shared" si="68"/>
        <v>1</v>
      </c>
      <c r="L353" s="942"/>
      <c r="M353" s="52">
        <f t="shared" si="69"/>
        <v>1</v>
      </c>
      <c r="N353" s="942"/>
      <c r="O353" s="52">
        <f t="shared" si="70"/>
        <v>1</v>
      </c>
      <c r="P353" s="942"/>
      <c r="Q353" s="52">
        <f t="shared" si="71"/>
        <v>0</v>
      </c>
      <c r="R353" s="470">
        <f t="shared" si="72"/>
        <v>0</v>
      </c>
      <c r="S353" s="779">
        <f t="shared" si="63"/>
        <v>0</v>
      </c>
    </row>
    <row r="354" spans="1:19">
      <c r="A354" s="944"/>
      <c r="B354" s="131"/>
      <c r="C354" s="52">
        <f t="shared" si="64"/>
        <v>1</v>
      </c>
      <c r="D354" s="942"/>
      <c r="E354" s="52">
        <f t="shared" si="65"/>
        <v>2.5000000000000001E-2</v>
      </c>
      <c r="F354" s="942"/>
      <c r="G354" s="52">
        <f t="shared" si="66"/>
        <v>0.12</v>
      </c>
      <c r="H354" s="942"/>
      <c r="I354" s="52">
        <f t="shared" si="67"/>
        <v>1</v>
      </c>
      <c r="J354" s="942"/>
      <c r="K354" s="52">
        <f t="shared" si="68"/>
        <v>1</v>
      </c>
      <c r="L354" s="942"/>
      <c r="M354" s="52">
        <f t="shared" si="69"/>
        <v>1</v>
      </c>
      <c r="N354" s="942"/>
      <c r="O354" s="52">
        <f t="shared" si="70"/>
        <v>1</v>
      </c>
      <c r="P354" s="942"/>
      <c r="Q354" s="52">
        <f t="shared" si="71"/>
        <v>0</v>
      </c>
      <c r="R354" s="470">
        <f t="shared" si="72"/>
        <v>0</v>
      </c>
      <c r="S354" s="779">
        <f t="shared" si="63"/>
        <v>0</v>
      </c>
    </row>
    <row r="355" spans="1:19">
      <c r="A355" s="944"/>
      <c r="B355" s="131"/>
      <c r="C355" s="52">
        <f t="shared" si="64"/>
        <v>1</v>
      </c>
      <c r="D355" s="942"/>
      <c r="E355" s="52">
        <f t="shared" si="65"/>
        <v>2.5000000000000001E-2</v>
      </c>
      <c r="F355" s="942"/>
      <c r="G355" s="52">
        <f t="shared" si="66"/>
        <v>0.12</v>
      </c>
      <c r="H355" s="942"/>
      <c r="I355" s="52">
        <f t="shared" si="67"/>
        <v>1</v>
      </c>
      <c r="J355" s="942"/>
      <c r="K355" s="52">
        <f t="shared" si="68"/>
        <v>1</v>
      </c>
      <c r="L355" s="942"/>
      <c r="M355" s="52">
        <f t="shared" si="69"/>
        <v>1</v>
      </c>
      <c r="N355" s="942"/>
      <c r="O355" s="52">
        <f t="shared" si="70"/>
        <v>1</v>
      </c>
      <c r="P355" s="942"/>
      <c r="Q355" s="52">
        <f t="shared" si="71"/>
        <v>0</v>
      </c>
      <c r="R355" s="470">
        <f t="shared" si="72"/>
        <v>0</v>
      </c>
      <c r="S355" s="779">
        <f t="shared" si="63"/>
        <v>0</v>
      </c>
    </row>
    <row r="356" spans="1:19">
      <c r="A356" s="944"/>
      <c r="B356" s="131"/>
      <c r="C356" s="52">
        <f t="shared" si="64"/>
        <v>1</v>
      </c>
      <c r="D356" s="942"/>
      <c r="E356" s="52">
        <f t="shared" si="65"/>
        <v>2.5000000000000001E-2</v>
      </c>
      <c r="F356" s="942"/>
      <c r="G356" s="52">
        <f t="shared" si="66"/>
        <v>0.12</v>
      </c>
      <c r="H356" s="942"/>
      <c r="I356" s="52">
        <f t="shared" si="67"/>
        <v>1</v>
      </c>
      <c r="J356" s="942"/>
      <c r="K356" s="52">
        <f t="shared" si="68"/>
        <v>1</v>
      </c>
      <c r="L356" s="942"/>
      <c r="M356" s="52">
        <f t="shared" si="69"/>
        <v>1</v>
      </c>
      <c r="N356" s="942"/>
      <c r="O356" s="52">
        <f t="shared" si="70"/>
        <v>1</v>
      </c>
      <c r="P356" s="942"/>
      <c r="Q356" s="52">
        <f t="shared" si="71"/>
        <v>0</v>
      </c>
      <c r="R356" s="470">
        <f t="shared" si="72"/>
        <v>0</v>
      </c>
      <c r="S356" s="779">
        <f t="shared" si="63"/>
        <v>0</v>
      </c>
    </row>
    <row r="357" spans="1:19">
      <c r="A357" s="944"/>
      <c r="B357" s="131"/>
      <c r="C357" s="52">
        <f t="shared" si="64"/>
        <v>1</v>
      </c>
      <c r="D357" s="942"/>
      <c r="E357" s="52">
        <f t="shared" si="65"/>
        <v>2.5000000000000001E-2</v>
      </c>
      <c r="F357" s="942"/>
      <c r="G357" s="52">
        <f t="shared" si="66"/>
        <v>0.12</v>
      </c>
      <c r="H357" s="942"/>
      <c r="I357" s="52">
        <f t="shared" si="67"/>
        <v>1</v>
      </c>
      <c r="J357" s="942"/>
      <c r="K357" s="52">
        <f t="shared" si="68"/>
        <v>1</v>
      </c>
      <c r="L357" s="942"/>
      <c r="M357" s="52">
        <f t="shared" si="69"/>
        <v>1</v>
      </c>
      <c r="N357" s="942"/>
      <c r="O357" s="52">
        <f t="shared" si="70"/>
        <v>1</v>
      </c>
      <c r="P357" s="942"/>
      <c r="Q357" s="52">
        <f t="shared" si="71"/>
        <v>0</v>
      </c>
      <c r="R357" s="470">
        <f t="shared" si="72"/>
        <v>0</v>
      </c>
      <c r="S357" s="779">
        <f t="shared" si="63"/>
        <v>0</v>
      </c>
    </row>
    <row r="358" spans="1:19">
      <c r="A358" s="944"/>
      <c r="B358" s="131"/>
      <c r="C358" s="52">
        <f t="shared" si="64"/>
        <v>1</v>
      </c>
      <c r="D358" s="942"/>
      <c r="E358" s="52">
        <f t="shared" si="65"/>
        <v>2.5000000000000001E-2</v>
      </c>
      <c r="F358" s="942"/>
      <c r="G358" s="52">
        <f t="shared" si="66"/>
        <v>0.12</v>
      </c>
      <c r="H358" s="942"/>
      <c r="I358" s="52">
        <f t="shared" si="67"/>
        <v>1</v>
      </c>
      <c r="J358" s="942"/>
      <c r="K358" s="52">
        <f t="shared" si="68"/>
        <v>1</v>
      </c>
      <c r="L358" s="942"/>
      <c r="M358" s="52">
        <f t="shared" si="69"/>
        <v>1</v>
      </c>
      <c r="N358" s="942"/>
      <c r="O358" s="52">
        <f t="shared" si="70"/>
        <v>1</v>
      </c>
      <c r="P358" s="942"/>
      <c r="Q358" s="52">
        <f t="shared" si="71"/>
        <v>0</v>
      </c>
      <c r="R358" s="470">
        <f t="shared" si="72"/>
        <v>0</v>
      </c>
      <c r="S358" s="779">
        <f t="shared" si="63"/>
        <v>0</v>
      </c>
    </row>
    <row r="359" spans="1:19">
      <c r="A359" s="944"/>
      <c r="B359" s="131"/>
      <c r="C359" s="52">
        <f t="shared" si="64"/>
        <v>1</v>
      </c>
      <c r="D359" s="942"/>
      <c r="E359" s="52">
        <f t="shared" si="65"/>
        <v>2.5000000000000001E-2</v>
      </c>
      <c r="F359" s="942"/>
      <c r="G359" s="52">
        <f t="shared" si="66"/>
        <v>0.12</v>
      </c>
      <c r="H359" s="942"/>
      <c r="I359" s="52">
        <f t="shared" si="67"/>
        <v>1</v>
      </c>
      <c r="J359" s="942"/>
      <c r="K359" s="52">
        <f t="shared" si="68"/>
        <v>1</v>
      </c>
      <c r="L359" s="942"/>
      <c r="M359" s="52">
        <f t="shared" si="69"/>
        <v>1</v>
      </c>
      <c r="N359" s="942"/>
      <c r="O359" s="52">
        <f t="shared" si="70"/>
        <v>1</v>
      </c>
      <c r="P359" s="942"/>
      <c r="Q359" s="52">
        <f t="shared" si="71"/>
        <v>0</v>
      </c>
      <c r="R359" s="470">
        <f t="shared" si="72"/>
        <v>0</v>
      </c>
      <c r="S359" s="779">
        <f t="shared" si="63"/>
        <v>0</v>
      </c>
    </row>
    <row r="360" spans="1:19">
      <c r="A360" s="944"/>
      <c r="B360" s="131"/>
      <c r="C360" s="52">
        <f t="shared" si="64"/>
        <v>1</v>
      </c>
      <c r="D360" s="942"/>
      <c r="E360" s="52">
        <f t="shared" si="65"/>
        <v>2.5000000000000001E-2</v>
      </c>
      <c r="F360" s="942"/>
      <c r="G360" s="52">
        <f t="shared" si="66"/>
        <v>0.12</v>
      </c>
      <c r="H360" s="942"/>
      <c r="I360" s="52">
        <f t="shared" si="67"/>
        <v>1</v>
      </c>
      <c r="J360" s="942"/>
      <c r="K360" s="52">
        <f t="shared" si="68"/>
        <v>1</v>
      </c>
      <c r="L360" s="942"/>
      <c r="M360" s="52">
        <f t="shared" si="69"/>
        <v>1</v>
      </c>
      <c r="N360" s="942"/>
      <c r="O360" s="52">
        <f t="shared" si="70"/>
        <v>1</v>
      </c>
      <c r="P360" s="942"/>
      <c r="Q360" s="52">
        <f t="shared" si="71"/>
        <v>0</v>
      </c>
      <c r="R360" s="470">
        <f t="shared" si="72"/>
        <v>0</v>
      </c>
      <c r="S360" s="779">
        <f t="shared" si="63"/>
        <v>0</v>
      </c>
    </row>
    <row r="361" spans="1:19">
      <c r="A361" s="944"/>
      <c r="B361" s="131"/>
      <c r="C361" s="52">
        <f t="shared" si="64"/>
        <v>1</v>
      </c>
      <c r="D361" s="942"/>
      <c r="E361" s="52">
        <f t="shared" si="65"/>
        <v>2.5000000000000001E-2</v>
      </c>
      <c r="F361" s="942"/>
      <c r="G361" s="52">
        <f t="shared" si="66"/>
        <v>0.12</v>
      </c>
      <c r="H361" s="942"/>
      <c r="I361" s="52">
        <f t="shared" si="67"/>
        <v>1</v>
      </c>
      <c r="J361" s="942"/>
      <c r="K361" s="52">
        <f t="shared" si="68"/>
        <v>1</v>
      </c>
      <c r="L361" s="942"/>
      <c r="M361" s="52">
        <f t="shared" si="69"/>
        <v>1</v>
      </c>
      <c r="N361" s="942"/>
      <c r="O361" s="52">
        <f t="shared" si="70"/>
        <v>1</v>
      </c>
      <c r="P361" s="942"/>
      <c r="Q361" s="52">
        <f t="shared" si="71"/>
        <v>0</v>
      </c>
      <c r="R361" s="470">
        <f t="shared" si="72"/>
        <v>0</v>
      </c>
      <c r="S361" s="779">
        <f t="shared" si="63"/>
        <v>0</v>
      </c>
    </row>
    <row r="362" spans="1:19">
      <c r="A362" s="944"/>
      <c r="B362" s="131"/>
      <c r="C362" s="52">
        <f t="shared" si="64"/>
        <v>1</v>
      </c>
      <c r="D362" s="942"/>
      <c r="E362" s="52">
        <f t="shared" si="65"/>
        <v>2.5000000000000001E-2</v>
      </c>
      <c r="F362" s="942"/>
      <c r="G362" s="52">
        <f t="shared" si="66"/>
        <v>0.12</v>
      </c>
      <c r="H362" s="942"/>
      <c r="I362" s="52">
        <f t="shared" si="67"/>
        <v>1</v>
      </c>
      <c r="J362" s="942"/>
      <c r="K362" s="52">
        <f t="shared" si="68"/>
        <v>1</v>
      </c>
      <c r="L362" s="942"/>
      <c r="M362" s="52">
        <f t="shared" si="69"/>
        <v>1</v>
      </c>
      <c r="N362" s="942"/>
      <c r="O362" s="52">
        <f t="shared" si="70"/>
        <v>1</v>
      </c>
      <c r="P362" s="942"/>
      <c r="Q362" s="52">
        <f t="shared" si="71"/>
        <v>0</v>
      </c>
      <c r="R362" s="470">
        <f t="shared" si="72"/>
        <v>0</v>
      </c>
      <c r="S362" s="779">
        <f t="shared" si="63"/>
        <v>0</v>
      </c>
    </row>
    <row r="363" spans="1:19">
      <c r="A363" s="944"/>
      <c r="B363" s="131"/>
      <c r="C363" s="52">
        <f t="shared" si="64"/>
        <v>1</v>
      </c>
      <c r="D363" s="942"/>
      <c r="E363" s="52">
        <f t="shared" si="65"/>
        <v>2.5000000000000001E-2</v>
      </c>
      <c r="F363" s="942"/>
      <c r="G363" s="52">
        <f t="shared" si="66"/>
        <v>0.12</v>
      </c>
      <c r="H363" s="942"/>
      <c r="I363" s="52">
        <f t="shared" si="67"/>
        <v>1</v>
      </c>
      <c r="J363" s="942"/>
      <c r="K363" s="52">
        <f t="shared" si="68"/>
        <v>1</v>
      </c>
      <c r="L363" s="942"/>
      <c r="M363" s="52">
        <f t="shared" si="69"/>
        <v>1</v>
      </c>
      <c r="N363" s="942"/>
      <c r="O363" s="52">
        <f t="shared" si="70"/>
        <v>1</v>
      </c>
      <c r="P363" s="942"/>
      <c r="Q363" s="52">
        <f t="shared" si="71"/>
        <v>0</v>
      </c>
      <c r="R363" s="470">
        <f t="shared" si="72"/>
        <v>0</v>
      </c>
      <c r="S363" s="779">
        <f t="shared" si="63"/>
        <v>0</v>
      </c>
    </row>
    <row r="364" spans="1:19">
      <c r="A364" s="944"/>
      <c r="B364" s="131"/>
      <c r="C364" s="52">
        <f t="shared" si="64"/>
        <v>1</v>
      </c>
      <c r="D364" s="942"/>
      <c r="E364" s="52">
        <f t="shared" si="65"/>
        <v>2.5000000000000001E-2</v>
      </c>
      <c r="F364" s="942"/>
      <c r="G364" s="52">
        <f t="shared" si="66"/>
        <v>0.12</v>
      </c>
      <c r="H364" s="942"/>
      <c r="I364" s="52">
        <f t="shared" si="67"/>
        <v>1</v>
      </c>
      <c r="J364" s="942"/>
      <c r="K364" s="52">
        <f t="shared" si="68"/>
        <v>1</v>
      </c>
      <c r="L364" s="942"/>
      <c r="M364" s="52">
        <f t="shared" si="69"/>
        <v>1</v>
      </c>
      <c r="N364" s="942"/>
      <c r="O364" s="52">
        <f t="shared" si="70"/>
        <v>1</v>
      </c>
      <c r="P364" s="942"/>
      <c r="Q364" s="52">
        <f t="shared" si="71"/>
        <v>0</v>
      </c>
      <c r="R364" s="470">
        <f t="shared" si="72"/>
        <v>0</v>
      </c>
      <c r="S364" s="779">
        <f t="shared" si="63"/>
        <v>0</v>
      </c>
    </row>
    <row r="365" spans="1:19">
      <c r="A365" s="944"/>
      <c r="B365" s="131"/>
      <c r="C365" s="52">
        <f t="shared" si="64"/>
        <v>1</v>
      </c>
      <c r="D365" s="942"/>
      <c r="E365" s="52">
        <f t="shared" si="65"/>
        <v>2.5000000000000001E-2</v>
      </c>
      <c r="F365" s="942"/>
      <c r="G365" s="52">
        <f t="shared" si="66"/>
        <v>0.12</v>
      </c>
      <c r="H365" s="942"/>
      <c r="I365" s="52">
        <f t="shared" si="67"/>
        <v>1</v>
      </c>
      <c r="J365" s="942"/>
      <c r="K365" s="52">
        <f t="shared" si="68"/>
        <v>1</v>
      </c>
      <c r="L365" s="942"/>
      <c r="M365" s="52">
        <f t="shared" si="69"/>
        <v>1</v>
      </c>
      <c r="N365" s="942"/>
      <c r="O365" s="52">
        <f t="shared" si="70"/>
        <v>1</v>
      </c>
      <c r="P365" s="942"/>
      <c r="Q365" s="52">
        <f t="shared" si="71"/>
        <v>0</v>
      </c>
      <c r="R365" s="470">
        <f t="shared" si="72"/>
        <v>0</v>
      </c>
      <c r="S365" s="779">
        <f t="shared" si="63"/>
        <v>0</v>
      </c>
    </row>
    <row r="366" spans="1:19">
      <c r="A366" s="944"/>
      <c r="B366" s="131"/>
      <c r="C366" s="52">
        <f t="shared" si="64"/>
        <v>1</v>
      </c>
      <c r="D366" s="942"/>
      <c r="E366" s="52">
        <f t="shared" si="65"/>
        <v>2.5000000000000001E-2</v>
      </c>
      <c r="F366" s="942"/>
      <c r="G366" s="52">
        <f t="shared" si="66"/>
        <v>0.12</v>
      </c>
      <c r="H366" s="942"/>
      <c r="I366" s="52">
        <f t="shared" si="67"/>
        <v>1</v>
      </c>
      <c r="J366" s="942"/>
      <c r="K366" s="52">
        <f t="shared" si="68"/>
        <v>1</v>
      </c>
      <c r="L366" s="942"/>
      <c r="M366" s="52">
        <f t="shared" si="69"/>
        <v>1</v>
      </c>
      <c r="N366" s="942"/>
      <c r="O366" s="52">
        <f t="shared" si="70"/>
        <v>1</v>
      </c>
      <c r="P366" s="942"/>
      <c r="Q366" s="52">
        <f t="shared" si="71"/>
        <v>0</v>
      </c>
      <c r="R366" s="470">
        <f t="shared" si="72"/>
        <v>0</v>
      </c>
      <c r="S366" s="779">
        <f t="shared" si="63"/>
        <v>0</v>
      </c>
    </row>
    <row r="367" spans="1:19">
      <c r="A367" s="944"/>
      <c r="B367" s="131"/>
      <c r="C367" s="52">
        <f t="shared" si="64"/>
        <v>1</v>
      </c>
      <c r="D367" s="942"/>
      <c r="E367" s="52">
        <f t="shared" si="65"/>
        <v>2.5000000000000001E-2</v>
      </c>
      <c r="F367" s="942"/>
      <c r="G367" s="52">
        <f t="shared" si="66"/>
        <v>0.12</v>
      </c>
      <c r="H367" s="942"/>
      <c r="I367" s="52">
        <f t="shared" si="67"/>
        <v>1</v>
      </c>
      <c r="J367" s="942"/>
      <c r="K367" s="52">
        <f t="shared" si="68"/>
        <v>1</v>
      </c>
      <c r="L367" s="942"/>
      <c r="M367" s="52">
        <f t="shared" si="69"/>
        <v>1</v>
      </c>
      <c r="N367" s="942"/>
      <c r="O367" s="52">
        <f t="shared" si="70"/>
        <v>1</v>
      </c>
      <c r="P367" s="942"/>
      <c r="Q367" s="52">
        <f t="shared" si="71"/>
        <v>0</v>
      </c>
      <c r="R367" s="470">
        <f t="shared" si="72"/>
        <v>0</v>
      </c>
      <c r="S367" s="779">
        <f t="shared" si="63"/>
        <v>0</v>
      </c>
    </row>
    <row r="368" spans="1:19">
      <c r="A368" s="944"/>
      <c r="B368" s="131"/>
      <c r="C368" s="52">
        <f t="shared" si="64"/>
        <v>1</v>
      </c>
      <c r="D368" s="942"/>
      <c r="E368" s="52">
        <f t="shared" si="65"/>
        <v>2.5000000000000001E-2</v>
      </c>
      <c r="F368" s="942"/>
      <c r="G368" s="52">
        <f t="shared" si="66"/>
        <v>0.12</v>
      </c>
      <c r="H368" s="942"/>
      <c r="I368" s="52">
        <f t="shared" si="67"/>
        <v>1</v>
      </c>
      <c r="J368" s="942"/>
      <c r="K368" s="52">
        <f t="shared" si="68"/>
        <v>1</v>
      </c>
      <c r="L368" s="942"/>
      <c r="M368" s="52">
        <f t="shared" si="69"/>
        <v>1</v>
      </c>
      <c r="N368" s="942"/>
      <c r="O368" s="52">
        <f t="shared" si="70"/>
        <v>1</v>
      </c>
      <c r="P368" s="942"/>
      <c r="Q368" s="52">
        <f t="shared" si="71"/>
        <v>0</v>
      </c>
      <c r="R368" s="470">
        <f t="shared" si="72"/>
        <v>0</v>
      </c>
      <c r="S368" s="779">
        <f t="shared" si="63"/>
        <v>0</v>
      </c>
    </row>
    <row r="369" spans="1:19">
      <c r="A369" s="944"/>
      <c r="B369" s="131"/>
      <c r="C369" s="52">
        <f t="shared" si="64"/>
        <v>1</v>
      </c>
      <c r="D369" s="942"/>
      <c r="E369" s="52">
        <f t="shared" si="65"/>
        <v>2.5000000000000001E-2</v>
      </c>
      <c r="F369" s="942"/>
      <c r="G369" s="52">
        <f t="shared" si="66"/>
        <v>0.12</v>
      </c>
      <c r="H369" s="942"/>
      <c r="I369" s="52">
        <f t="shared" si="67"/>
        <v>1</v>
      </c>
      <c r="J369" s="942"/>
      <c r="K369" s="52">
        <f t="shared" si="68"/>
        <v>1</v>
      </c>
      <c r="L369" s="942"/>
      <c r="M369" s="52">
        <f t="shared" si="69"/>
        <v>1</v>
      </c>
      <c r="N369" s="942"/>
      <c r="O369" s="52">
        <f t="shared" si="70"/>
        <v>1</v>
      </c>
      <c r="P369" s="942"/>
      <c r="Q369" s="52">
        <f t="shared" si="71"/>
        <v>0</v>
      </c>
      <c r="R369" s="470">
        <f t="shared" si="72"/>
        <v>0</v>
      </c>
      <c r="S369" s="779">
        <f t="shared" si="63"/>
        <v>0</v>
      </c>
    </row>
    <row r="370" spans="1:19">
      <c r="A370" s="944"/>
      <c r="B370" s="131"/>
      <c r="C370" s="52">
        <f t="shared" si="64"/>
        <v>1</v>
      </c>
      <c r="D370" s="942"/>
      <c r="E370" s="52">
        <f t="shared" si="65"/>
        <v>2.5000000000000001E-2</v>
      </c>
      <c r="F370" s="942"/>
      <c r="G370" s="52">
        <f t="shared" si="66"/>
        <v>0.12</v>
      </c>
      <c r="H370" s="942"/>
      <c r="I370" s="52">
        <f t="shared" si="67"/>
        <v>1</v>
      </c>
      <c r="J370" s="942"/>
      <c r="K370" s="52">
        <f t="shared" si="68"/>
        <v>1</v>
      </c>
      <c r="L370" s="942"/>
      <c r="M370" s="52">
        <f t="shared" si="69"/>
        <v>1</v>
      </c>
      <c r="N370" s="942"/>
      <c r="O370" s="52">
        <f t="shared" si="70"/>
        <v>1</v>
      </c>
      <c r="P370" s="942"/>
      <c r="Q370" s="52">
        <f t="shared" si="71"/>
        <v>0</v>
      </c>
      <c r="R370" s="470">
        <f t="shared" si="72"/>
        <v>0</v>
      </c>
      <c r="S370" s="779">
        <f t="shared" si="63"/>
        <v>0</v>
      </c>
    </row>
    <row r="371" spans="1:19">
      <c r="A371" s="944"/>
      <c r="B371" s="131"/>
      <c r="C371" s="52">
        <f t="shared" si="64"/>
        <v>1</v>
      </c>
      <c r="D371" s="942"/>
      <c r="E371" s="52">
        <f t="shared" si="65"/>
        <v>2.5000000000000001E-2</v>
      </c>
      <c r="F371" s="942"/>
      <c r="G371" s="52">
        <f t="shared" si="66"/>
        <v>0.12</v>
      </c>
      <c r="H371" s="942"/>
      <c r="I371" s="52">
        <f t="shared" si="67"/>
        <v>1</v>
      </c>
      <c r="J371" s="942"/>
      <c r="K371" s="52">
        <f t="shared" si="68"/>
        <v>1</v>
      </c>
      <c r="L371" s="942"/>
      <c r="M371" s="52">
        <f t="shared" si="69"/>
        <v>1</v>
      </c>
      <c r="N371" s="942"/>
      <c r="O371" s="52">
        <f t="shared" si="70"/>
        <v>1</v>
      </c>
      <c r="P371" s="942"/>
      <c r="Q371" s="52">
        <f t="shared" si="71"/>
        <v>0</v>
      </c>
      <c r="R371" s="470">
        <f t="shared" si="72"/>
        <v>0</v>
      </c>
      <c r="S371" s="779">
        <f t="shared" si="63"/>
        <v>0</v>
      </c>
    </row>
    <row r="372" spans="1:19">
      <c r="A372" s="944"/>
      <c r="B372" s="131"/>
      <c r="C372" s="52">
        <f t="shared" si="64"/>
        <v>1</v>
      </c>
      <c r="D372" s="942"/>
      <c r="E372" s="52">
        <f t="shared" si="65"/>
        <v>2.5000000000000001E-2</v>
      </c>
      <c r="F372" s="942"/>
      <c r="G372" s="52">
        <f t="shared" si="66"/>
        <v>0.12</v>
      </c>
      <c r="H372" s="942"/>
      <c r="I372" s="52">
        <f t="shared" si="67"/>
        <v>1</v>
      </c>
      <c r="J372" s="942"/>
      <c r="K372" s="52">
        <f t="shared" si="68"/>
        <v>1</v>
      </c>
      <c r="L372" s="942"/>
      <c r="M372" s="52">
        <f t="shared" si="69"/>
        <v>1</v>
      </c>
      <c r="N372" s="942"/>
      <c r="O372" s="52">
        <f t="shared" si="70"/>
        <v>1</v>
      </c>
      <c r="P372" s="942"/>
      <c r="Q372" s="52">
        <f t="shared" si="71"/>
        <v>0</v>
      </c>
      <c r="R372" s="470">
        <f t="shared" si="72"/>
        <v>0</v>
      </c>
      <c r="S372" s="779">
        <f t="shared" si="63"/>
        <v>0</v>
      </c>
    </row>
    <row r="373" spans="1:19">
      <c r="A373" s="944"/>
      <c r="B373" s="131"/>
      <c r="C373" s="52">
        <f t="shared" si="64"/>
        <v>1</v>
      </c>
      <c r="D373" s="942"/>
      <c r="E373" s="52">
        <f t="shared" si="65"/>
        <v>2.5000000000000001E-2</v>
      </c>
      <c r="F373" s="942"/>
      <c r="G373" s="52">
        <f t="shared" si="66"/>
        <v>0.12</v>
      </c>
      <c r="H373" s="942"/>
      <c r="I373" s="52">
        <f t="shared" si="67"/>
        <v>1</v>
      </c>
      <c r="J373" s="942"/>
      <c r="K373" s="52">
        <f t="shared" si="68"/>
        <v>1</v>
      </c>
      <c r="L373" s="942"/>
      <c r="M373" s="52">
        <f t="shared" si="69"/>
        <v>1</v>
      </c>
      <c r="N373" s="942"/>
      <c r="O373" s="52">
        <f t="shared" si="70"/>
        <v>1</v>
      </c>
      <c r="P373" s="942"/>
      <c r="Q373" s="52">
        <f t="shared" si="71"/>
        <v>0</v>
      </c>
      <c r="R373" s="470">
        <f t="shared" si="72"/>
        <v>0</v>
      </c>
      <c r="S373" s="779">
        <f t="shared" si="63"/>
        <v>0</v>
      </c>
    </row>
    <row r="374" spans="1:19">
      <c r="A374" s="944"/>
      <c r="B374" s="131"/>
      <c r="C374" s="52">
        <f t="shared" si="64"/>
        <v>1</v>
      </c>
      <c r="D374" s="942"/>
      <c r="E374" s="52">
        <f t="shared" si="65"/>
        <v>2.5000000000000001E-2</v>
      </c>
      <c r="F374" s="942"/>
      <c r="G374" s="52">
        <f t="shared" si="66"/>
        <v>0.12</v>
      </c>
      <c r="H374" s="942"/>
      <c r="I374" s="52">
        <f t="shared" si="67"/>
        <v>1</v>
      </c>
      <c r="J374" s="942"/>
      <c r="K374" s="52">
        <f t="shared" si="68"/>
        <v>1</v>
      </c>
      <c r="L374" s="942"/>
      <c r="M374" s="52">
        <f t="shared" si="69"/>
        <v>1</v>
      </c>
      <c r="N374" s="942"/>
      <c r="O374" s="52">
        <f t="shared" si="70"/>
        <v>1</v>
      </c>
      <c r="P374" s="942"/>
      <c r="Q374" s="52">
        <f t="shared" si="71"/>
        <v>0</v>
      </c>
      <c r="R374" s="470">
        <f t="shared" si="72"/>
        <v>0</v>
      </c>
      <c r="S374" s="779">
        <f t="shared" si="63"/>
        <v>0</v>
      </c>
    </row>
    <row r="375" spans="1:19">
      <c r="A375" s="944"/>
      <c r="B375" s="131"/>
      <c r="C375" s="52">
        <f t="shared" si="64"/>
        <v>1</v>
      </c>
      <c r="D375" s="942"/>
      <c r="E375" s="52">
        <f t="shared" si="65"/>
        <v>2.5000000000000001E-2</v>
      </c>
      <c r="F375" s="942"/>
      <c r="G375" s="52">
        <f t="shared" si="66"/>
        <v>0.12</v>
      </c>
      <c r="H375" s="942"/>
      <c r="I375" s="52">
        <f t="shared" si="67"/>
        <v>1</v>
      </c>
      <c r="J375" s="942"/>
      <c r="K375" s="52">
        <f t="shared" si="68"/>
        <v>1</v>
      </c>
      <c r="L375" s="942"/>
      <c r="M375" s="52">
        <f t="shared" si="69"/>
        <v>1</v>
      </c>
      <c r="N375" s="942"/>
      <c r="O375" s="52">
        <f t="shared" si="70"/>
        <v>1</v>
      </c>
      <c r="P375" s="942"/>
      <c r="Q375" s="52">
        <f t="shared" si="71"/>
        <v>0</v>
      </c>
      <c r="R375" s="470">
        <f t="shared" si="72"/>
        <v>0</v>
      </c>
      <c r="S375" s="779">
        <f t="shared" si="63"/>
        <v>0</v>
      </c>
    </row>
    <row r="376" spans="1:19">
      <c r="A376" s="944"/>
      <c r="B376" s="131"/>
      <c r="C376" s="52">
        <f t="shared" si="64"/>
        <v>1</v>
      </c>
      <c r="D376" s="942"/>
      <c r="E376" s="52">
        <f t="shared" si="65"/>
        <v>2.5000000000000001E-2</v>
      </c>
      <c r="F376" s="942"/>
      <c r="G376" s="52">
        <f t="shared" si="66"/>
        <v>0.12</v>
      </c>
      <c r="H376" s="942"/>
      <c r="I376" s="52">
        <f t="shared" si="67"/>
        <v>1</v>
      </c>
      <c r="J376" s="942"/>
      <c r="K376" s="52">
        <f t="shared" si="68"/>
        <v>1</v>
      </c>
      <c r="L376" s="942"/>
      <c r="M376" s="52">
        <f t="shared" si="69"/>
        <v>1</v>
      </c>
      <c r="N376" s="942"/>
      <c r="O376" s="52">
        <f t="shared" si="70"/>
        <v>1</v>
      </c>
      <c r="P376" s="942"/>
      <c r="Q376" s="52">
        <f t="shared" si="71"/>
        <v>0</v>
      </c>
      <c r="R376" s="470">
        <f t="shared" si="72"/>
        <v>0</v>
      </c>
      <c r="S376" s="779">
        <f t="shared" si="63"/>
        <v>0</v>
      </c>
    </row>
    <row r="377" spans="1:19">
      <c r="A377" s="944"/>
      <c r="B377" s="131"/>
      <c r="C377" s="52">
        <f t="shared" si="64"/>
        <v>1</v>
      </c>
      <c r="D377" s="942"/>
      <c r="E377" s="52">
        <f t="shared" si="65"/>
        <v>2.5000000000000001E-2</v>
      </c>
      <c r="F377" s="942"/>
      <c r="G377" s="52">
        <f t="shared" si="66"/>
        <v>0.12</v>
      </c>
      <c r="H377" s="942"/>
      <c r="I377" s="52">
        <f t="shared" si="67"/>
        <v>1</v>
      </c>
      <c r="J377" s="942"/>
      <c r="K377" s="52">
        <f t="shared" si="68"/>
        <v>1</v>
      </c>
      <c r="L377" s="942"/>
      <c r="M377" s="52">
        <f t="shared" si="69"/>
        <v>1</v>
      </c>
      <c r="N377" s="942"/>
      <c r="O377" s="52">
        <f t="shared" si="70"/>
        <v>1</v>
      </c>
      <c r="P377" s="942"/>
      <c r="Q377" s="52">
        <f t="shared" si="71"/>
        <v>0</v>
      </c>
      <c r="R377" s="470">
        <f t="shared" si="72"/>
        <v>0</v>
      </c>
      <c r="S377" s="779">
        <f t="shared" si="63"/>
        <v>0</v>
      </c>
    </row>
    <row r="378" spans="1:19">
      <c r="A378" s="944"/>
      <c r="B378" s="131"/>
      <c r="C378" s="52">
        <f t="shared" si="64"/>
        <v>1</v>
      </c>
      <c r="D378" s="942"/>
      <c r="E378" s="52">
        <f t="shared" si="65"/>
        <v>2.5000000000000001E-2</v>
      </c>
      <c r="F378" s="942"/>
      <c r="G378" s="52">
        <f t="shared" si="66"/>
        <v>0.12</v>
      </c>
      <c r="H378" s="942"/>
      <c r="I378" s="52">
        <f t="shared" si="67"/>
        <v>1</v>
      </c>
      <c r="J378" s="942"/>
      <c r="K378" s="52">
        <f t="shared" si="68"/>
        <v>1</v>
      </c>
      <c r="L378" s="942"/>
      <c r="M378" s="52">
        <f t="shared" si="69"/>
        <v>1</v>
      </c>
      <c r="N378" s="942"/>
      <c r="O378" s="52">
        <f t="shared" si="70"/>
        <v>1</v>
      </c>
      <c r="P378" s="942"/>
      <c r="Q378" s="52">
        <f t="shared" si="71"/>
        <v>0</v>
      </c>
      <c r="R378" s="470">
        <f t="shared" si="72"/>
        <v>0</v>
      </c>
      <c r="S378" s="779">
        <f t="shared" si="63"/>
        <v>0</v>
      </c>
    </row>
    <row r="379" spans="1:19">
      <c r="A379" s="944"/>
      <c r="B379" s="131"/>
      <c r="C379" s="52">
        <f t="shared" si="64"/>
        <v>1</v>
      </c>
      <c r="D379" s="942"/>
      <c r="E379" s="52">
        <f t="shared" si="65"/>
        <v>2.5000000000000001E-2</v>
      </c>
      <c r="F379" s="942"/>
      <c r="G379" s="52">
        <f t="shared" si="66"/>
        <v>0.12</v>
      </c>
      <c r="H379" s="942"/>
      <c r="I379" s="52">
        <f t="shared" si="67"/>
        <v>1</v>
      </c>
      <c r="J379" s="942"/>
      <c r="K379" s="52">
        <f t="shared" si="68"/>
        <v>1</v>
      </c>
      <c r="L379" s="942"/>
      <c r="M379" s="52">
        <f t="shared" si="69"/>
        <v>1</v>
      </c>
      <c r="N379" s="942"/>
      <c r="O379" s="52">
        <f t="shared" si="70"/>
        <v>1</v>
      </c>
      <c r="P379" s="942"/>
      <c r="Q379" s="52">
        <f t="shared" si="71"/>
        <v>0</v>
      </c>
      <c r="R379" s="470">
        <f t="shared" si="72"/>
        <v>0</v>
      </c>
      <c r="S379" s="779">
        <f t="shared" si="63"/>
        <v>0</v>
      </c>
    </row>
    <row r="380" spans="1:19">
      <c r="A380" s="944"/>
      <c r="B380" s="131"/>
      <c r="C380" s="52">
        <f t="shared" si="64"/>
        <v>1</v>
      </c>
      <c r="D380" s="942"/>
      <c r="E380" s="52">
        <f t="shared" si="65"/>
        <v>2.5000000000000001E-2</v>
      </c>
      <c r="F380" s="942"/>
      <c r="G380" s="52">
        <f t="shared" si="66"/>
        <v>0.12</v>
      </c>
      <c r="H380" s="942"/>
      <c r="I380" s="52">
        <f t="shared" si="67"/>
        <v>1</v>
      </c>
      <c r="J380" s="942"/>
      <c r="K380" s="52">
        <f t="shared" si="68"/>
        <v>1</v>
      </c>
      <c r="L380" s="942"/>
      <c r="M380" s="52">
        <f t="shared" si="69"/>
        <v>1</v>
      </c>
      <c r="N380" s="942"/>
      <c r="O380" s="52">
        <f t="shared" si="70"/>
        <v>1</v>
      </c>
      <c r="P380" s="942"/>
      <c r="Q380" s="52">
        <f t="shared" si="71"/>
        <v>0</v>
      </c>
      <c r="R380" s="470">
        <f t="shared" si="72"/>
        <v>0</v>
      </c>
      <c r="S380" s="779">
        <f t="shared" si="63"/>
        <v>0</v>
      </c>
    </row>
    <row r="381" spans="1:19">
      <c r="A381" s="944"/>
      <c r="B381" s="131"/>
      <c r="C381" s="52">
        <f t="shared" si="64"/>
        <v>1</v>
      </c>
      <c r="D381" s="942"/>
      <c r="E381" s="52">
        <f t="shared" si="65"/>
        <v>2.5000000000000001E-2</v>
      </c>
      <c r="F381" s="942"/>
      <c r="G381" s="52">
        <f t="shared" si="66"/>
        <v>0.12</v>
      </c>
      <c r="H381" s="942"/>
      <c r="I381" s="52">
        <f t="shared" si="67"/>
        <v>1</v>
      </c>
      <c r="J381" s="942"/>
      <c r="K381" s="52">
        <f t="shared" si="68"/>
        <v>1</v>
      </c>
      <c r="L381" s="942"/>
      <c r="M381" s="52">
        <f t="shared" si="69"/>
        <v>1</v>
      </c>
      <c r="N381" s="942"/>
      <c r="O381" s="52">
        <f t="shared" si="70"/>
        <v>1</v>
      </c>
      <c r="P381" s="942"/>
      <c r="Q381" s="52">
        <f t="shared" si="71"/>
        <v>0</v>
      </c>
      <c r="R381" s="470">
        <f t="shared" si="72"/>
        <v>0</v>
      </c>
      <c r="S381" s="779">
        <f t="shared" si="63"/>
        <v>0</v>
      </c>
    </row>
    <row r="382" spans="1:19">
      <c r="A382" s="944"/>
      <c r="B382" s="131"/>
      <c r="C382" s="52">
        <f t="shared" si="64"/>
        <v>1</v>
      </c>
      <c r="D382" s="942"/>
      <c r="E382" s="52">
        <f t="shared" si="65"/>
        <v>2.5000000000000001E-2</v>
      </c>
      <c r="F382" s="942"/>
      <c r="G382" s="52">
        <f t="shared" si="66"/>
        <v>0.12</v>
      </c>
      <c r="H382" s="942"/>
      <c r="I382" s="52">
        <f t="shared" si="67"/>
        <v>1</v>
      </c>
      <c r="J382" s="942"/>
      <c r="K382" s="52">
        <f t="shared" si="68"/>
        <v>1</v>
      </c>
      <c r="L382" s="942"/>
      <c r="M382" s="52">
        <f t="shared" si="69"/>
        <v>1</v>
      </c>
      <c r="N382" s="942"/>
      <c r="O382" s="52">
        <f t="shared" si="70"/>
        <v>1</v>
      </c>
      <c r="P382" s="942"/>
      <c r="Q382" s="52">
        <f t="shared" si="71"/>
        <v>0</v>
      </c>
      <c r="R382" s="470">
        <f t="shared" si="72"/>
        <v>0</v>
      </c>
      <c r="S382" s="779">
        <f t="shared" si="63"/>
        <v>0</v>
      </c>
    </row>
    <row r="383" spans="1:19">
      <c r="A383" s="944"/>
      <c r="B383" s="131"/>
      <c r="C383" s="52">
        <f t="shared" si="64"/>
        <v>1</v>
      </c>
      <c r="D383" s="942"/>
      <c r="E383" s="52">
        <f t="shared" si="65"/>
        <v>2.5000000000000001E-2</v>
      </c>
      <c r="F383" s="942"/>
      <c r="G383" s="52">
        <f t="shared" si="66"/>
        <v>0.12</v>
      </c>
      <c r="H383" s="942"/>
      <c r="I383" s="52">
        <f t="shared" si="67"/>
        <v>1</v>
      </c>
      <c r="J383" s="942"/>
      <c r="K383" s="52">
        <f t="shared" si="68"/>
        <v>1</v>
      </c>
      <c r="L383" s="942"/>
      <c r="M383" s="52">
        <f t="shared" si="69"/>
        <v>1</v>
      </c>
      <c r="N383" s="942"/>
      <c r="O383" s="52">
        <f t="shared" si="70"/>
        <v>1</v>
      </c>
      <c r="P383" s="942"/>
      <c r="Q383" s="52">
        <f t="shared" si="71"/>
        <v>0</v>
      </c>
      <c r="R383" s="470">
        <f t="shared" si="72"/>
        <v>0</v>
      </c>
      <c r="S383" s="779">
        <f t="shared" si="63"/>
        <v>0</v>
      </c>
    </row>
    <row r="384" spans="1:19">
      <c r="A384" s="944"/>
      <c r="B384" s="131"/>
      <c r="C384" s="52">
        <f t="shared" si="64"/>
        <v>1</v>
      </c>
      <c r="D384" s="942"/>
      <c r="E384" s="52">
        <f t="shared" si="65"/>
        <v>2.5000000000000001E-2</v>
      </c>
      <c r="F384" s="942"/>
      <c r="G384" s="52">
        <f t="shared" si="66"/>
        <v>0.12</v>
      </c>
      <c r="H384" s="942"/>
      <c r="I384" s="52">
        <f t="shared" si="67"/>
        <v>1</v>
      </c>
      <c r="J384" s="942"/>
      <c r="K384" s="52">
        <f t="shared" si="68"/>
        <v>1</v>
      </c>
      <c r="L384" s="942"/>
      <c r="M384" s="52">
        <f t="shared" si="69"/>
        <v>1</v>
      </c>
      <c r="N384" s="942"/>
      <c r="O384" s="52">
        <f t="shared" si="70"/>
        <v>1</v>
      </c>
      <c r="P384" s="942"/>
      <c r="Q384" s="52">
        <f t="shared" si="71"/>
        <v>0</v>
      </c>
      <c r="R384" s="470">
        <f t="shared" si="72"/>
        <v>0</v>
      </c>
      <c r="S384" s="779">
        <f t="shared" si="63"/>
        <v>0</v>
      </c>
    </row>
    <row r="385" spans="1:19">
      <c r="A385" s="944"/>
      <c r="B385" s="131"/>
      <c r="C385" s="52">
        <f t="shared" si="64"/>
        <v>1</v>
      </c>
      <c r="D385" s="942"/>
      <c r="E385" s="52">
        <f t="shared" si="65"/>
        <v>2.5000000000000001E-2</v>
      </c>
      <c r="F385" s="942"/>
      <c r="G385" s="52">
        <f t="shared" si="66"/>
        <v>0.12</v>
      </c>
      <c r="H385" s="942"/>
      <c r="I385" s="52">
        <f t="shared" si="67"/>
        <v>1</v>
      </c>
      <c r="J385" s="942"/>
      <c r="K385" s="52">
        <f t="shared" si="68"/>
        <v>1</v>
      </c>
      <c r="L385" s="942"/>
      <c r="M385" s="52">
        <f t="shared" si="69"/>
        <v>1</v>
      </c>
      <c r="N385" s="942"/>
      <c r="O385" s="52">
        <f t="shared" si="70"/>
        <v>1</v>
      </c>
      <c r="P385" s="942"/>
      <c r="Q385" s="52">
        <f t="shared" si="71"/>
        <v>0</v>
      </c>
      <c r="R385" s="470">
        <f t="shared" si="72"/>
        <v>0</v>
      </c>
      <c r="S385" s="779">
        <f t="shared" ref="S385:S422" si="73">ROUND(R385*B385/10000,0)</f>
        <v>0</v>
      </c>
    </row>
    <row r="386" spans="1:19">
      <c r="A386" s="944"/>
      <c r="B386" s="131"/>
      <c r="C386" s="52">
        <f t="shared" si="64"/>
        <v>1</v>
      </c>
      <c r="D386" s="942"/>
      <c r="E386" s="52">
        <f t="shared" si="65"/>
        <v>2.5000000000000001E-2</v>
      </c>
      <c r="F386" s="942"/>
      <c r="G386" s="52">
        <f t="shared" si="66"/>
        <v>0.12</v>
      </c>
      <c r="H386" s="942"/>
      <c r="I386" s="52">
        <f t="shared" si="67"/>
        <v>1</v>
      </c>
      <c r="J386" s="942"/>
      <c r="K386" s="52">
        <f t="shared" si="68"/>
        <v>1</v>
      </c>
      <c r="L386" s="942"/>
      <c r="M386" s="52">
        <f t="shared" si="69"/>
        <v>1</v>
      </c>
      <c r="N386" s="942"/>
      <c r="O386" s="52">
        <f t="shared" si="70"/>
        <v>1</v>
      </c>
      <c r="P386" s="942"/>
      <c r="Q386" s="52">
        <f t="shared" si="71"/>
        <v>0</v>
      </c>
      <c r="R386" s="470">
        <f t="shared" si="72"/>
        <v>0</v>
      </c>
      <c r="S386" s="779">
        <f t="shared" si="73"/>
        <v>0</v>
      </c>
    </row>
    <row r="387" spans="1:19">
      <c r="A387" s="944"/>
      <c r="B387" s="131"/>
      <c r="C387" s="52">
        <f t="shared" si="64"/>
        <v>1</v>
      </c>
      <c r="D387" s="942"/>
      <c r="E387" s="52">
        <f t="shared" si="65"/>
        <v>2.5000000000000001E-2</v>
      </c>
      <c r="F387" s="942"/>
      <c r="G387" s="52">
        <f t="shared" si="66"/>
        <v>0.12</v>
      </c>
      <c r="H387" s="942"/>
      <c r="I387" s="52">
        <f t="shared" si="67"/>
        <v>1</v>
      </c>
      <c r="J387" s="942"/>
      <c r="K387" s="52">
        <f t="shared" si="68"/>
        <v>1</v>
      </c>
      <c r="L387" s="942"/>
      <c r="M387" s="52">
        <f t="shared" si="69"/>
        <v>1</v>
      </c>
      <c r="N387" s="942"/>
      <c r="O387" s="52">
        <f t="shared" si="70"/>
        <v>1</v>
      </c>
      <c r="P387" s="942"/>
      <c r="Q387" s="52">
        <f t="shared" si="71"/>
        <v>0</v>
      </c>
      <c r="R387" s="470">
        <f t="shared" si="72"/>
        <v>0</v>
      </c>
      <c r="S387" s="779">
        <f t="shared" si="73"/>
        <v>0</v>
      </c>
    </row>
    <row r="388" spans="1:19">
      <c r="A388" s="944"/>
      <c r="B388" s="131"/>
      <c r="C388" s="52">
        <f t="shared" si="64"/>
        <v>1</v>
      </c>
      <c r="D388" s="942"/>
      <c r="E388" s="52">
        <f t="shared" si="65"/>
        <v>2.5000000000000001E-2</v>
      </c>
      <c r="F388" s="942"/>
      <c r="G388" s="52">
        <f t="shared" si="66"/>
        <v>0.12</v>
      </c>
      <c r="H388" s="942"/>
      <c r="I388" s="52">
        <f t="shared" si="67"/>
        <v>1</v>
      </c>
      <c r="J388" s="942"/>
      <c r="K388" s="52">
        <f t="shared" si="68"/>
        <v>1</v>
      </c>
      <c r="L388" s="942"/>
      <c r="M388" s="52">
        <f t="shared" si="69"/>
        <v>1</v>
      </c>
      <c r="N388" s="942"/>
      <c r="O388" s="52">
        <f t="shared" si="70"/>
        <v>1</v>
      </c>
      <c r="P388" s="942"/>
      <c r="Q388" s="52">
        <f t="shared" si="71"/>
        <v>0</v>
      </c>
      <c r="R388" s="470">
        <f t="shared" si="72"/>
        <v>0</v>
      </c>
      <c r="S388" s="779">
        <f t="shared" si="73"/>
        <v>0</v>
      </c>
    </row>
    <row r="389" spans="1:19">
      <c r="A389" s="944"/>
      <c r="B389" s="131"/>
      <c r="C389" s="52">
        <f t="shared" si="64"/>
        <v>1</v>
      </c>
      <c r="D389" s="942"/>
      <c r="E389" s="52">
        <f t="shared" si="65"/>
        <v>2.5000000000000001E-2</v>
      </c>
      <c r="F389" s="942"/>
      <c r="G389" s="52">
        <f t="shared" si="66"/>
        <v>0.12</v>
      </c>
      <c r="H389" s="942"/>
      <c r="I389" s="52">
        <f t="shared" si="67"/>
        <v>1</v>
      </c>
      <c r="J389" s="942"/>
      <c r="K389" s="52">
        <f t="shared" si="68"/>
        <v>1</v>
      </c>
      <c r="L389" s="942"/>
      <c r="M389" s="52">
        <f t="shared" si="69"/>
        <v>1</v>
      </c>
      <c r="N389" s="942"/>
      <c r="O389" s="52">
        <f t="shared" si="70"/>
        <v>1</v>
      </c>
      <c r="P389" s="942"/>
      <c r="Q389" s="52">
        <f t="shared" si="71"/>
        <v>0</v>
      </c>
      <c r="R389" s="470">
        <f t="shared" si="72"/>
        <v>0</v>
      </c>
      <c r="S389" s="779">
        <f t="shared" si="73"/>
        <v>0</v>
      </c>
    </row>
    <row r="390" spans="1:19">
      <c r="A390" s="944"/>
      <c r="B390" s="131"/>
      <c r="C390" s="52">
        <f t="shared" si="64"/>
        <v>1</v>
      </c>
      <c r="D390" s="942"/>
      <c r="E390" s="52">
        <f t="shared" si="65"/>
        <v>2.5000000000000001E-2</v>
      </c>
      <c r="F390" s="942"/>
      <c r="G390" s="52">
        <f t="shared" si="66"/>
        <v>0.12</v>
      </c>
      <c r="H390" s="942"/>
      <c r="I390" s="52">
        <f t="shared" si="67"/>
        <v>1</v>
      </c>
      <c r="J390" s="942"/>
      <c r="K390" s="52">
        <f t="shared" si="68"/>
        <v>1</v>
      </c>
      <c r="L390" s="942"/>
      <c r="M390" s="52">
        <f t="shared" si="69"/>
        <v>1</v>
      </c>
      <c r="N390" s="942"/>
      <c r="O390" s="52">
        <f t="shared" si="70"/>
        <v>1</v>
      </c>
      <c r="P390" s="942"/>
      <c r="Q390" s="52">
        <f t="shared" si="71"/>
        <v>0</v>
      </c>
      <c r="R390" s="470">
        <f t="shared" si="72"/>
        <v>0</v>
      </c>
      <c r="S390" s="779">
        <f t="shared" si="73"/>
        <v>0</v>
      </c>
    </row>
    <row r="391" spans="1:19">
      <c r="A391" s="944"/>
      <c r="B391" s="131"/>
      <c r="C391" s="52">
        <f t="shared" si="64"/>
        <v>1</v>
      </c>
      <c r="D391" s="942"/>
      <c r="E391" s="52">
        <f t="shared" si="65"/>
        <v>2.5000000000000001E-2</v>
      </c>
      <c r="F391" s="942"/>
      <c r="G391" s="52">
        <f t="shared" si="66"/>
        <v>0.12</v>
      </c>
      <c r="H391" s="942"/>
      <c r="I391" s="52">
        <f t="shared" si="67"/>
        <v>1</v>
      </c>
      <c r="J391" s="942"/>
      <c r="K391" s="52">
        <f t="shared" si="68"/>
        <v>1</v>
      </c>
      <c r="L391" s="942"/>
      <c r="M391" s="52">
        <f t="shared" si="69"/>
        <v>1</v>
      </c>
      <c r="N391" s="942"/>
      <c r="O391" s="52">
        <f t="shared" si="70"/>
        <v>1</v>
      </c>
      <c r="P391" s="942"/>
      <c r="Q391" s="52">
        <f t="shared" si="71"/>
        <v>0</v>
      </c>
      <c r="R391" s="470">
        <f t="shared" si="72"/>
        <v>0</v>
      </c>
      <c r="S391" s="779">
        <f t="shared" si="73"/>
        <v>0</v>
      </c>
    </row>
    <row r="392" spans="1:19">
      <c r="A392" s="944"/>
      <c r="B392" s="131"/>
      <c r="C392" s="52">
        <f t="shared" si="64"/>
        <v>1</v>
      </c>
      <c r="D392" s="942"/>
      <c r="E392" s="52">
        <f t="shared" si="65"/>
        <v>2.5000000000000001E-2</v>
      </c>
      <c r="F392" s="942"/>
      <c r="G392" s="52">
        <f t="shared" si="66"/>
        <v>0.12</v>
      </c>
      <c r="H392" s="942"/>
      <c r="I392" s="52">
        <f t="shared" si="67"/>
        <v>1</v>
      </c>
      <c r="J392" s="942"/>
      <c r="K392" s="52">
        <f t="shared" si="68"/>
        <v>1</v>
      </c>
      <c r="L392" s="942"/>
      <c r="M392" s="52">
        <f t="shared" si="69"/>
        <v>1</v>
      </c>
      <c r="N392" s="942"/>
      <c r="O392" s="52">
        <f t="shared" si="70"/>
        <v>1</v>
      </c>
      <c r="P392" s="942"/>
      <c r="Q392" s="52">
        <f t="shared" si="71"/>
        <v>0</v>
      </c>
      <c r="R392" s="470">
        <f t="shared" si="72"/>
        <v>0</v>
      </c>
      <c r="S392" s="779">
        <f t="shared" si="73"/>
        <v>0</v>
      </c>
    </row>
    <row r="393" spans="1:19">
      <c r="A393" s="944"/>
      <c r="B393" s="131"/>
      <c r="C393" s="52">
        <f t="shared" si="64"/>
        <v>1</v>
      </c>
      <c r="D393" s="942"/>
      <c r="E393" s="52">
        <f t="shared" si="65"/>
        <v>2.5000000000000001E-2</v>
      </c>
      <c r="F393" s="942"/>
      <c r="G393" s="52">
        <f t="shared" si="66"/>
        <v>0.12</v>
      </c>
      <c r="H393" s="942"/>
      <c r="I393" s="52">
        <f t="shared" si="67"/>
        <v>1</v>
      </c>
      <c r="J393" s="942"/>
      <c r="K393" s="52">
        <f t="shared" si="68"/>
        <v>1</v>
      </c>
      <c r="L393" s="942"/>
      <c r="M393" s="52">
        <f t="shared" si="69"/>
        <v>1</v>
      </c>
      <c r="N393" s="942"/>
      <c r="O393" s="52">
        <f t="shared" si="70"/>
        <v>1</v>
      </c>
      <c r="P393" s="942"/>
      <c r="Q393" s="52">
        <f t="shared" si="71"/>
        <v>0</v>
      </c>
      <c r="R393" s="470">
        <f t="shared" si="72"/>
        <v>0</v>
      </c>
      <c r="S393" s="779">
        <f t="shared" si="73"/>
        <v>0</v>
      </c>
    </row>
    <row r="394" spans="1:19">
      <c r="A394" s="944"/>
      <c r="B394" s="131"/>
      <c r="C394" s="52">
        <f t="shared" si="64"/>
        <v>1</v>
      </c>
      <c r="D394" s="942"/>
      <c r="E394" s="52">
        <f t="shared" si="65"/>
        <v>2.5000000000000001E-2</v>
      </c>
      <c r="F394" s="942"/>
      <c r="G394" s="52">
        <f t="shared" si="66"/>
        <v>0.12</v>
      </c>
      <c r="H394" s="942"/>
      <c r="I394" s="52">
        <f t="shared" si="67"/>
        <v>1</v>
      </c>
      <c r="J394" s="942"/>
      <c r="K394" s="52">
        <f t="shared" si="68"/>
        <v>1</v>
      </c>
      <c r="L394" s="942"/>
      <c r="M394" s="52">
        <f t="shared" si="69"/>
        <v>1</v>
      </c>
      <c r="N394" s="942"/>
      <c r="O394" s="52">
        <f t="shared" si="70"/>
        <v>1</v>
      </c>
      <c r="P394" s="942"/>
      <c r="Q394" s="52">
        <f t="shared" si="71"/>
        <v>0</v>
      </c>
      <c r="R394" s="470">
        <f t="shared" si="72"/>
        <v>0</v>
      </c>
      <c r="S394" s="779">
        <f t="shared" si="73"/>
        <v>0</v>
      </c>
    </row>
    <row r="395" spans="1:19">
      <c r="A395" s="944"/>
      <c r="B395" s="131"/>
      <c r="C395" s="52">
        <f t="shared" si="64"/>
        <v>1</v>
      </c>
      <c r="D395" s="942"/>
      <c r="E395" s="52">
        <f t="shared" si="65"/>
        <v>2.5000000000000001E-2</v>
      </c>
      <c r="F395" s="942"/>
      <c r="G395" s="52">
        <f t="shared" si="66"/>
        <v>0.12</v>
      </c>
      <c r="H395" s="942"/>
      <c r="I395" s="52">
        <f t="shared" si="67"/>
        <v>1</v>
      </c>
      <c r="J395" s="942"/>
      <c r="K395" s="52">
        <f t="shared" si="68"/>
        <v>1</v>
      </c>
      <c r="L395" s="942"/>
      <c r="M395" s="52">
        <f t="shared" si="69"/>
        <v>1</v>
      </c>
      <c r="N395" s="942"/>
      <c r="O395" s="52">
        <f t="shared" si="70"/>
        <v>1</v>
      </c>
      <c r="P395" s="942"/>
      <c r="Q395" s="52">
        <f t="shared" si="71"/>
        <v>0</v>
      </c>
      <c r="R395" s="470">
        <f t="shared" si="72"/>
        <v>0</v>
      </c>
      <c r="S395" s="779">
        <f t="shared" si="73"/>
        <v>0</v>
      </c>
    </row>
    <row r="396" spans="1:19">
      <c r="A396" s="944"/>
      <c r="B396" s="131"/>
      <c r="C396" s="52">
        <f t="shared" si="64"/>
        <v>1</v>
      </c>
      <c r="D396" s="942"/>
      <c r="E396" s="52">
        <f t="shared" si="65"/>
        <v>2.5000000000000001E-2</v>
      </c>
      <c r="F396" s="942"/>
      <c r="G396" s="52">
        <f t="shared" si="66"/>
        <v>0.12</v>
      </c>
      <c r="H396" s="942"/>
      <c r="I396" s="52">
        <f t="shared" si="67"/>
        <v>1</v>
      </c>
      <c r="J396" s="942"/>
      <c r="K396" s="52">
        <f t="shared" si="68"/>
        <v>1</v>
      </c>
      <c r="L396" s="942"/>
      <c r="M396" s="52">
        <f t="shared" si="69"/>
        <v>1</v>
      </c>
      <c r="N396" s="942"/>
      <c r="O396" s="52">
        <f t="shared" si="70"/>
        <v>1</v>
      </c>
      <c r="P396" s="942"/>
      <c r="Q396" s="52">
        <f t="shared" si="71"/>
        <v>0</v>
      </c>
      <c r="R396" s="470">
        <f t="shared" si="72"/>
        <v>0</v>
      </c>
      <c r="S396" s="779">
        <f t="shared" si="73"/>
        <v>0</v>
      </c>
    </row>
    <row r="397" spans="1:19">
      <c r="A397" s="944"/>
      <c r="B397" s="131"/>
      <c r="C397" s="52">
        <f t="shared" si="64"/>
        <v>1</v>
      </c>
      <c r="D397" s="942"/>
      <c r="E397" s="52">
        <f t="shared" si="65"/>
        <v>2.5000000000000001E-2</v>
      </c>
      <c r="F397" s="942"/>
      <c r="G397" s="52">
        <f t="shared" si="66"/>
        <v>0.12</v>
      </c>
      <c r="H397" s="942"/>
      <c r="I397" s="52">
        <f t="shared" si="67"/>
        <v>1</v>
      </c>
      <c r="J397" s="942"/>
      <c r="K397" s="52">
        <f t="shared" si="68"/>
        <v>1</v>
      </c>
      <c r="L397" s="942"/>
      <c r="M397" s="52">
        <f t="shared" si="69"/>
        <v>1</v>
      </c>
      <c r="N397" s="942"/>
      <c r="O397" s="52">
        <f t="shared" si="70"/>
        <v>1</v>
      </c>
      <c r="P397" s="942"/>
      <c r="Q397" s="52">
        <f t="shared" si="71"/>
        <v>0</v>
      </c>
      <c r="R397" s="470">
        <f t="shared" si="72"/>
        <v>0</v>
      </c>
      <c r="S397" s="779">
        <f t="shared" si="73"/>
        <v>0</v>
      </c>
    </row>
    <row r="398" spans="1:19">
      <c r="A398" s="944"/>
      <c r="B398" s="131"/>
      <c r="C398" s="52">
        <f t="shared" si="64"/>
        <v>1</v>
      </c>
      <c r="D398" s="942"/>
      <c r="E398" s="52">
        <f t="shared" si="65"/>
        <v>2.5000000000000001E-2</v>
      </c>
      <c r="F398" s="942"/>
      <c r="G398" s="52">
        <f t="shared" si="66"/>
        <v>0.12</v>
      </c>
      <c r="H398" s="942"/>
      <c r="I398" s="52">
        <f t="shared" si="67"/>
        <v>1</v>
      </c>
      <c r="J398" s="942"/>
      <c r="K398" s="52">
        <f t="shared" si="68"/>
        <v>1</v>
      </c>
      <c r="L398" s="942"/>
      <c r="M398" s="52">
        <f t="shared" si="69"/>
        <v>1</v>
      </c>
      <c r="N398" s="942"/>
      <c r="O398" s="52">
        <f t="shared" si="70"/>
        <v>1</v>
      </c>
      <c r="P398" s="942"/>
      <c r="Q398" s="52">
        <f t="shared" si="71"/>
        <v>0</v>
      </c>
      <c r="R398" s="470">
        <f t="shared" si="72"/>
        <v>0</v>
      </c>
      <c r="S398" s="779">
        <f t="shared" si="73"/>
        <v>0</v>
      </c>
    </row>
    <row r="399" spans="1:19">
      <c r="A399" s="944"/>
      <c r="B399" s="131"/>
      <c r="C399" s="52">
        <f t="shared" si="64"/>
        <v>1</v>
      </c>
      <c r="D399" s="942"/>
      <c r="E399" s="52">
        <f t="shared" si="65"/>
        <v>2.5000000000000001E-2</v>
      </c>
      <c r="F399" s="942"/>
      <c r="G399" s="52">
        <f t="shared" si="66"/>
        <v>0.12</v>
      </c>
      <c r="H399" s="942"/>
      <c r="I399" s="52">
        <f t="shared" si="67"/>
        <v>1</v>
      </c>
      <c r="J399" s="942"/>
      <c r="K399" s="52">
        <f t="shared" si="68"/>
        <v>1</v>
      </c>
      <c r="L399" s="942"/>
      <c r="M399" s="52">
        <f t="shared" si="69"/>
        <v>1</v>
      </c>
      <c r="N399" s="942"/>
      <c r="O399" s="52">
        <f t="shared" si="70"/>
        <v>1</v>
      </c>
      <c r="P399" s="942"/>
      <c r="Q399" s="52">
        <f t="shared" si="71"/>
        <v>0</v>
      </c>
      <c r="R399" s="470">
        <f t="shared" si="72"/>
        <v>0</v>
      </c>
      <c r="S399" s="779">
        <f t="shared" si="73"/>
        <v>0</v>
      </c>
    </row>
    <row r="400" spans="1:19">
      <c r="A400" s="944"/>
      <c r="B400" s="131"/>
      <c r="C400" s="52">
        <f t="shared" si="64"/>
        <v>1</v>
      </c>
      <c r="D400" s="942"/>
      <c r="E400" s="52">
        <f t="shared" si="65"/>
        <v>2.5000000000000001E-2</v>
      </c>
      <c r="F400" s="942"/>
      <c r="G400" s="52">
        <f t="shared" si="66"/>
        <v>0.12</v>
      </c>
      <c r="H400" s="942"/>
      <c r="I400" s="52">
        <f t="shared" si="67"/>
        <v>1</v>
      </c>
      <c r="J400" s="942"/>
      <c r="K400" s="52">
        <f t="shared" si="68"/>
        <v>1</v>
      </c>
      <c r="L400" s="942"/>
      <c r="M400" s="52">
        <f t="shared" si="69"/>
        <v>1</v>
      </c>
      <c r="N400" s="942"/>
      <c r="O400" s="52">
        <f t="shared" si="70"/>
        <v>1</v>
      </c>
      <c r="P400" s="942"/>
      <c r="Q400" s="52">
        <f t="shared" si="71"/>
        <v>0</v>
      </c>
      <c r="R400" s="470">
        <f t="shared" si="72"/>
        <v>0</v>
      </c>
      <c r="S400" s="779">
        <f t="shared" si="73"/>
        <v>0</v>
      </c>
    </row>
    <row r="401" spans="1:19">
      <c r="A401" s="944"/>
      <c r="B401" s="131"/>
      <c r="C401" s="52">
        <f t="shared" si="64"/>
        <v>1</v>
      </c>
      <c r="D401" s="942"/>
      <c r="E401" s="52">
        <f t="shared" si="65"/>
        <v>2.5000000000000001E-2</v>
      </c>
      <c r="F401" s="942"/>
      <c r="G401" s="52">
        <f t="shared" si="66"/>
        <v>0.12</v>
      </c>
      <c r="H401" s="942"/>
      <c r="I401" s="52">
        <f t="shared" si="67"/>
        <v>1</v>
      </c>
      <c r="J401" s="942"/>
      <c r="K401" s="52">
        <f t="shared" si="68"/>
        <v>1</v>
      </c>
      <c r="L401" s="942"/>
      <c r="M401" s="52">
        <f t="shared" si="69"/>
        <v>1</v>
      </c>
      <c r="N401" s="942"/>
      <c r="O401" s="52">
        <f t="shared" si="70"/>
        <v>1</v>
      </c>
      <c r="P401" s="942"/>
      <c r="Q401" s="52">
        <f t="shared" si="71"/>
        <v>0</v>
      </c>
      <c r="R401" s="470">
        <f t="shared" si="72"/>
        <v>0</v>
      </c>
      <c r="S401" s="779">
        <f t="shared" si="73"/>
        <v>0</v>
      </c>
    </row>
    <row r="402" spans="1:19">
      <c r="A402" s="944"/>
      <c r="B402" s="131"/>
      <c r="C402" s="52">
        <f t="shared" si="64"/>
        <v>1</v>
      </c>
      <c r="D402" s="942"/>
      <c r="E402" s="52">
        <f t="shared" si="65"/>
        <v>2.5000000000000001E-2</v>
      </c>
      <c r="F402" s="942"/>
      <c r="G402" s="52">
        <f t="shared" si="66"/>
        <v>0.12</v>
      </c>
      <c r="H402" s="942"/>
      <c r="I402" s="52">
        <f t="shared" si="67"/>
        <v>1</v>
      </c>
      <c r="J402" s="942"/>
      <c r="K402" s="52">
        <f t="shared" si="68"/>
        <v>1</v>
      </c>
      <c r="L402" s="942"/>
      <c r="M402" s="52">
        <f t="shared" si="69"/>
        <v>1</v>
      </c>
      <c r="N402" s="942"/>
      <c r="O402" s="52">
        <f t="shared" si="70"/>
        <v>1</v>
      </c>
      <c r="P402" s="942"/>
      <c r="Q402" s="52">
        <f t="shared" si="71"/>
        <v>0</v>
      </c>
      <c r="R402" s="470">
        <f t="shared" si="72"/>
        <v>0</v>
      </c>
      <c r="S402" s="779">
        <f t="shared" si="73"/>
        <v>0</v>
      </c>
    </row>
    <row r="403" spans="1:19">
      <c r="A403" s="944"/>
      <c r="B403" s="131"/>
      <c r="C403" s="52">
        <f t="shared" si="64"/>
        <v>1</v>
      </c>
      <c r="D403" s="942"/>
      <c r="E403" s="52">
        <f t="shared" si="65"/>
        <v>2.5000000000000001E-2</v>
      </c>
      <c r="F403" s="942"/>
      <c r="G403" s="52">
        <f t="shared" si="66"/>
        <v>0.12</v>
      </c>
      <c r="H403" s="942"/>
      <c r="I403" s="52">
        <f t="shared" si="67"/>
        <v>1</v>
      </c>
      <c r="J403" s="942"/>
      <c r="K403" s="52">
        <f t="shared" si="68"/>
        <v>1</v>
      </c>
      <c r="L403" s="942"/>
      <c r="M403" s="52">
        <f t="shared" si="69"/>
        <v>1</v>
      </c>
      <c r="N403" s="942"/>
      <c r="O403" s="52">
        <f t="shared" si="70"/>
        <v>1</v>
      </c>
      <c r="P403" s="942"/>
      <c r="Q403" s="52">
        <f t="shared" si="71"/>
        <v>0</v>
      </c>
      <c r="R403" s="470">
        <f t="shared" si="72"/>
        <v>0</v>
      </c>
      <c r="S403" s="779">
        <f t="shared" si="73"/>
        <v>0</v>
      </c>
    </row>
    <row r="404" spans="1:19">
      <c r="A404" s="944"/>
      <c r="B404" s="131"/>
      <c r="C404" s="52">
        <f t="shared" si="64"/>
        <v>1</v>
      </c>
      <c r="D404" s="942"/>
      <c r="E404" s="52">
        <f t="shared" si="65"/>
        <v>2.5000000000000001E-2</v>
      </c>
      <c r="F404" s="942"/>
      <c r="G404" s="52">
        <f t="shared" si="66"/>
        <v>0.12</v>
      </c>
      <c r="H404" s="942"/>
      <c r="I404" s="52">
        <f t="shared" si="67"/>
        <v>1</v>
      </c>
      <c r="J404" s="942"/>
      <c r="K404" s="52">
        <f t="shared" si="68"/>
        <v>1</v>
      </c>
      <c r="L404" s="942"/>
      <c r="M404" s="52">
        <f t="shared" si="69"/>
        <v>1</v>
      </c>
      <c r="N404" s="942"/>
      <c r="O404" s="52">
        <f t="shared" si="70"/>
        <v>1</v>
      </c>
      <c r="P404" s="942"/>
      <c r="Q404" s="52">
        <f t="shared" si="71"/>
        <v>0</v>
      </c>
      <c r="R404" s="470">
        <f t="shared" si="72"/>
        <v>0</v>
      </c>
      <c r="S404" s="779">
        <f t="shared" si="73"/>
        <v>0</v>
      </c>
    </row>
    <row r="405" spans="1:19">
      <c r="A405" s="944"/>
      <c r="B405" s="131"/>
      <c r="C405" s="52">
        <f t="shared" si="64"/>
        <v>1</v>
      </c>
      <c r="D405" s="942"/>
      <c r="E405" s="52">
        <f t="shared" si="65"/>
        <v>2.5000000000000001E-2</v>
      </c>
      <c r="F405" s="942"/>
      <c r="G405" s="52">
        <f t="shared" si="66"/>
        <v>0.12</v>
      </c>
      <c r="H405" s="942"/>
      <c r="I405" s="52">
        <f t="shared" si="67"/>
        <v>1</v>
      </c>
      <c r="J405" s="942"/>
      <c r="K405" s="52">
        <f t="shared" si="68"/>
        <v>1</v>
      </c>
      <c r="L405" s="942"/>
      <c r="M405" s="52">
        <f t="shared" si="69"/>
        <v>1</v>
      </c>
      <c r="N405" s="942"/>
      <c r="O405" s="52">
        <f t="shared" si="70"/>
        <v>1</v>
      </c>
      <c r="P405" s="942"/>
      <c r="Q405" s="52">
        <f t="shared" si="71"/>
        <v>0</v>
      </c>
      <c r="R405" s="470">
        <f t="shared" si="72"/>
        <v>0</v>
      </c>
      <c r="S405" s="779">
        <f t="shared" si="73"/>
        <v>0</v>
      </c>
    </row>
    <row r="406" spans="1:19">
      <c r="A406" s="944"/>
      <c r="B406" s="131"/>
      <c r="C406" s="52">
        <f t="shared" si="64"/>
        <v>1</v>
      </c>
      <c r="D406" s="942"/>
      <c r="E406" s="52">
        <f t="shared" si="65"/>
        <v>2.5000000000000001E-2</v>
      </c>
      <c r="F406" s="942"/>
      <c r="G406" s="52">
        <f t="shared" si="66"/>
        <v>0.12</v>
      </c>
      <c r="H406" s="942"/>
      <c r="I406" s="52">
        <f t="shared" si="67"/>
        <v>1</v>
      </c>
      <c r="J406" s="942"/>
      <c r="K406" s="52">
        <f t="shared" si="68"/>
        <v>1</v>
      </c>
      <c r="L406" s="942"/>
      <c r="M406" s="52">
        <f t="shared" si="69"/>
        <v>1</v>
      </c>
      <c r="N406" s="942"/>
      <c r="O406" s="52">
        <f t="shared" si="70"/>
        <v>1</v>
      </c>
      <c r="P406" s="942"/>
      <c r="Q406" s="52">
        <f t="shared" si="71"/>
        <v>0</v>
      </c>
      <c r="R406" s="470">
        <f t="shared" si="72"/>
        <v>0</v>
      </c>
      <c r="S406" s="779">
        <f t="shared" si="73"/>
        <v>0</v>
      </c>
    </row>
    <row r="407" spans="1:19">
      <c r="A407" s="944"/>
      <c r="B407" s="131"/>
      <c r="C407" s="52">
        <f t="shared" si="64"/>
        <v>1</v>
      </c>
      <c r="D407" s="942"/>
      <c r="E407" s="52">
        <f t="shared" si="65"/>
        <v>2.5000000000000001E-2</v>
      </c>
      <c r="F407" s="942"/>
      <c r="G407" s="52">
        <f t="shared" si="66"/>
        <v>0.12</v>
      </c>
      <c r="H407" s="942"/>
      <c r="I407" s="52">
        <f t="shared" si="67"/>
        <v>1</v>
      </c>
      <c r="J407" s="942"/>
      <c r="K407" s="52">
        <f t="shared" si="68"/>
        <v>1</v>
      </c>
      <c r="L407" s="942"/>
      <c r="M407" s="52">
        <f t="shared" si="69"/>
        <v>1</v>
      </c>
      <c r="N407" s="942"/>
      <c r="O407" s="52">
        <f t="shared" si="70"/>
        <v>1</v>
      </c>
      <c r="P407" s="942"/>
      <c r="Q407" s="52">
        <f t="shared" si="71"/>
        <v>0</v>
      </c>
      <c r="R407" s="470">
        <f t="shared" si="72"/>
        <v>0</v>
      </c>
      <c r="S407" s="779">
        <f t="shared" si="73"/>
        <v>0</v>
      </c>
    </row>
    <row r="408" spans="1:19">
      <c r="A408" s="944"/>
      <c r="B408" s="131"/>
      <c r="C408" s="52">
        <f t="shared" si="64"/>
        <v>1</v>
      </c>
      <c r="D408" s="942"/>
      <c r="E408" s="52">
        <f t="shared" si="65"/>
        <v>2.5000000000000001E-2</v>
      </c>
      <c r="F408" s="942"/>
      <c r="G408" s="52">
        <f t="shared" si="66"/>
        <v>0.12</v>
      </c>
      <c r="H408" s="942"/>
      <c r="I408" s="52">
        <f t="shared" si="67"/>
        <v>1</v>
      </c>
      <c r="J408" s="942"/>
      <c r="K408" s="52">
        <f t="shared" si="68"/>
        <v>1</v>
      </c>
      <c r="L408" s="942"/>
      <c r="M408" s="52">
        <f t="shared" si="69"/>
        <v>1</v>
      </c>
      <c r="N408" s="942"/>
      <c r="O408" s="52">
        <f t="shared" si="70"/>
        <v>1</v>
      </c>
      <c r="P408" s="942"/>
      <c r="Q408" s="52">
        <f t="shared" si="71"/>
        <v>0</v>
      </c>
      <c r="R408" s="470">
        <f t="shared" si="72"/>
        <v>0</v>
      </c>
      <c r="S408" s="779">
        <f t="shared" si="73"/>
        <v>0</v>
      </c>
    </row>
    <row r="409" spans="1:19">
      <c r="A409" s="944"/>
      <c r="B409" s="131"/>
      <c r="C409" s="52">
        <f t="shared" si="64"/>
        <v>1</v>
      </c>
      <c r="D409" s="942"/>
      <c r="E409" s="52">
        <f t="shared" si="65"/>
        <v>2.5000000000000001E-2</v>
      </c>
      <c r="F409" s="942"/>
      <c r="G409" s="52">
        <f t="shared" si="66"/>
        <v>0.12</v>
      </c>
      <c r="H409" s="942"/>
      <c r="I409" s="52">
        <f t="shared" si="67"/>
        <v>1</v>
      </c>
      <c r="J409" s="942"/>
      <c r="K409" s="52">
        <f t="shared" si="68"/>
        <v>1</v>
      </c>
      <c r="L409" s="942"/>
      <c r="M409" s="52">
        <f t="shared" si="69"/>
        <v>1</v>
      </c>
      <c r="N409" s="942"/>
      <c r="O409" s="52">
        <f t="shared" si="70"/>
        <v>1</v>
      </c>
      <c r="P409" s="942"/>
      <c r="Q409" s="52">
        <f t="shared" si="71"/>
        <v>0</v>
      </c>
      <c r="R409" s="470">
        <f t="shared" si="72"/>
        <v>0</v>
      </c>
      <c r="S409" s="779">
        <f t="shared" si="73"/>
        <v>0</v>
      </c>
    </row>
    <row r="410" spans="1:19">
      <c r="A410" s="944"/>
      <c r="B410" s="131"/>
      <c r="C410" s="52">
        <f t="shared" ref="C410:C473" si="74">IF(B410="",1,(LOOKUP(B410,$3:$3,$4:$4)-LOOKUP($B$24,$3:$3,$4:$4)+100)/100)</f>
        <v>1</v>
      </c>
      <c r="D410" s="942"/>
      <c r="E410" s="52">
        <f t="shared" ref="E410:E473" si="75">(SUMIF($5:$5,D410,$6:$6)-SUMIF($5:$5,$D$24,$6:$6)+100)/100</f>
        <v>2.5000000000000001E-2</v>
      </c>
      <c r="F410" s="942"/>
      <c r="G410" s="52">
        <f t="shared" ref="G410:G473" si="76">(SUMIF($7:$7,F410,$8:$8)-SUMIF($7:$7,$F$24,$8:$8)+100)/100</f>
        <v>0.12</v>
      </c>
      <c r="H410" s="942"/>
      <c r="I410" s="52">
        <f t="shared" ref="I410:I473" si="77">(SUMIF($9:$9,H410,$10:$10)-SUMIF($9:$9,$H$24,$10:$10)+100)/100</f>
        <v>1</v>
      </c>
      <c r="J410" s="942"/>
      <c r="K410" s="52">
        <f t="shared" ref="K410:K473" si="78">(SUMIF($11:$11,J410,$12:$12)-SUMIF($11:$11,$J$24,$12:$12)+100)/100</f>
        <v>1</v>
      </c>
      <c r="L410" s="942"/>
      <c r="M410" s="52">
        <f t="shared" ref="M410:M473" si="79">(SUMIF($13:$13,L410,$14:$14)-SUMIF($13:$13,$L$24,$14:$14)+100)/100</f>
        <v>1</v>
      </c>
      <c r="N410" s="942"/>
      <c r="O410" s="52">
        <f t="shared" ref="O410:O473" si="80">(SUMIF($15:$15,N410,$16:$16)-SUMIF($15:$15,$N$24,$16:$16)+100)/100</f>
        <v>1</v>
      </c>
      <c r="P410" s="942"/>
      <c r="Q410" s="52">
        <f t="shared" ref="Q410:Q473" si="81">(SUMIF($17:$17,P410,$18:$18)-SUMIF($17:$17,$P$24,$18:$18)+100)/100</f>
        <v>0</v>
      </c>
      <c r="R410" s="470">
        <f t="shared" ref="R410:R473" si="82">IF(B410="",0,ROUND($R$24*C410*E410*G410*I410*K410*M410*O410*Q410,0))</f>
        <v>0</v>
      </c>
      <c r="S410" s="779">
        <f t="shared" si="73"/>
        <v>0</v>
      </c>
    </row>
    <row r="411" spans="1:19">
      <c r="A411" s="944"/>
      <c r="B411" s="131"/>
      <c r="C411" s="52">
        <f t="shared" si="74"/>
        <v>1</v>
      </c>
      <c r="D411" s="942"/>
      <c r="E411" s="52">
        <f t="shared" si="75"/>
        <v>2.5000000000000001E-2</v>
      </c>
      <c r="F411" s="942"/>
      <c r="G411" s="52">
        <f t="shared" si="76"/>
        <v>0.12</v>
      </c>
      <c r="H411" s="942"/>
      <c r="I411" s="52">
        <f t="shared" si="77"/>
        <v>1</v>
      </c>
      <c r="J411" s="942"/>
      <c r="K411" s="52">
        <f t="shared" si="78"/>
        <v>1</v>
      </c>
      <c r="L411" s="942"/>
      <c r="M411" s="52">
        <f t="shared" si="79"/>
        <v>1</v>
      </c>
      <c r="N411" s="942"/>
      <c r="O411" s="52">
        <f t="shared" si="80"/>
        <v>1</v>
      </c>
      <c r="P411" s="942"/>
      <c r="Q411" s="52">
        <f t="shared" si="81"/>
        <v>0</v>
      </c>
      <c r="R411" s="470">
        <f t="shared" si="82"/>
        <v>0</v>
      </c>
      <c r="S411" s="779">
        <f t="shared" si="73"/>
        <v>0</v>
      </c>
    </row>
    <row r="412" spans="1:19">
      <c r="A412" s="944"/>
      <c r="B412" s="131"/>
      <c r="C412" s="52">
        <f t="shared" si="74"/>
        <v>1</v>
      </c>
      <c r="D412" s="942"/>
      <c r="E412" s="52">
        <f t="shared" si="75"/>
        <v>2.5000000000000001E-2</v>
      </c>
      <c r="F412" s="942"/>
      <c r="G412" s="52">
        <f t="shared" si="76"/>
        <v>0.12</v>
      </c>
      <c r="H412" s="942"/>
      <c r="I412" s="52">
        <f t="shared" si="77"/>
        <v>1</v>
      </c>
      <c r="J412" s="942"/>
      <c r="K412" s="52">
        <f t="shared" si="78"/>
        <v>1</v>
      </c>
      <c r="L412" s="942"/>
      <c r="M412" s="52">
        <f t="shared" si="79"/>
        <v>1</v>
      </c>
      <c r="N412" s="942"/>
      <c r="O412" s="52">
        <f t="shared" si="80"/>
        <v>1</v>
      </c>
      <c r="P412" s="942"/>
      <c r="Q412" s="52">
        <f t="shared" si="81"/>
        <v>0</v>
      </c>
      <c r="R412" s="470">
        <f t="shared" si="82"/>
        <v>0</v>
      </c>
      <c r="S412" s="779">
        <f t="shared" si="73"/>
        <v>0</v>
      </c>
    </row>
    <row r="413" spans="1:19">
      <c r="A413" s="944"/>
      <c r="B413" s="131"/>
      <c r="C413" s="52">
        <f t="shared" si="74"/>
        <v>1</v>
      </c>
      <c r="D413" s="942"/>
      <c r="E413" s="52">
        <f t="shared" si="75"/>
        <v>2.5000000000000001E-2</v>
      </c>
      <c r="F413" s="942"/>
      <c r="G413" s="52">
        <f t="shared" si="76"/>
        <v>0.12</v>
      </c>
      <c r="H413" s="942"/>
      <c r="I413" s="52">
        <f t="shared" si="77"/>
        <v>1</v>
      </c>
      <c r="J413" s="942"/>
      <c r="K413" s="52">
        <f t="shared" si="78"/>
        <v>1</v>
      </c>
      <c r="L413" s="942"/>
      <c r="M413" s="52">
        <f t="shared" si="79"/>
        <v>1</v>
      </c>
      <c r="N413" s="942"/>
      <c r="O413" s="52">
        <f t="shared" si="80"/>
        <v>1</v>
      </c>
      <c r="P413" s="942"/>
      <c r="Q413" s="52">
        <f t="shared" si="81"/>
        <v>0</v>
      </c>
      <c r="R413" s="470">
        <f t="shared" si="82"/>
        <v>0</v>
      </c>
      <c r="S413" s="779">
        <f t="shared" si="73"/>
        <v>0</v>
      </c>
    </row>
    <row r="414" spans="1:19">
      <c r="A414" s="944"/>
      <c r="B414" s="131"/>
      <c r="C414" s="52">
        <f t="shared" si="74"/>
        <v>1</v>
      </c>
      <c r="D414" s="942"/>
      <c r="E414" s="52">
        <f t="shared" si="75"/>
        <v>2.5000000000000001E-2</v>
      </c>
      <c r="F414" s="942"/>
      <c r="G414" s="52">
        <f t="shared" si="76"/>
        <v>0.12</v>
      </c>
      <c r="H414" s="942"/>
      <c r="I414" s="52">
        <f t="shared" si="77"/>
        <v>1</v>
      </c>
      <c r="J414" s="942"/>
      <c r="K414" s="52">
        <f t="shared" si="78"/>
        <v>1</v>
      </c>
      <c r="L414" s="942"/>
      <c r="M414" s="52">
        <f t="shared" si="79"/>
        <v>1</v>
      </c>
      <c r="N414" s="942"/>
      <c r="O414" s="52">
        <f t="shared" si="80"/>
        <v>1</v>
      </c>
      <c r="P414" s="942"/>
      <c r="Q414" s="52">
        <f t="shared" si="81"/>
        <v>0</v>
      </c>
      <c r="R414" s="470">
        <f t="shared" si="82"/>
        <v>0</v>
      </c>
      <c r="S414" s="779">
        <f t="shared" si="73"/>
        <v>0</v>
      </c>
    </row>
    <row r="415" spans="1:19">
      <c r="A415" s="944"/>
      <c r="B415" s="131"/>
      <c r="C415" s="52">
        <f t="shared" si="74"/>
        <v>1</v>
      </c>
      <c r="D415" s="942"/>
      <c r="E415" s="52">
        <f t="shared" si="75"/>
        <v>2.5000000000000001E-2</v>
      </c>
      <c r="F415" s="942"/>
      <c r="G415" s="52">
        <f t="shared" si="76"/>
        <v>0.12</v>
      </c>
      <c r="H415" s="942"/>
      <c r="I415" s="52">
        <f t="shared" si="77"/>
        <v>1</v>
      </c>
      <c r="J415" s="942"/>
      <c r="K415" s="52">
        <f t="shared" si="78"/>
        <v>1</v>
      </c>
      <c r="L415" s="942"/>
      <c r="M415" s="52">
        <f t="shared" si="79"/>
        <v>1</v>
      </c>
      <c r="N415" s="942"/>
      <c r="O415" s="52">
        <f t="shared" si="80"/>
        <v>1</v>
      </c>
      <c r="P415" s="942"/>
      <c r="Q415" s="52">
        <f t="shared" si="81"/>
        <v>0</v>
      </c>
      <c r="R415" s="470">
        <f t="shared" si="82"/>
        <v>0</v>
      </c>
      <c r="S415" s="779">
        <f t="shared" si="73"/>
        <v>0</v>
      </c>
    </row>
    <row r="416" spans="1:19">
      <c r="A416" s="944"/>
      <c r="B416" s="131"/>
      <c r="C416" s="52">
        <f t="shared" si="74"/>
        <v>1</v>
      </c>
      <c r="D416" s="942"/>
      <c r="E416" s="52">
        <f t="shared" si="75"/>
        <v>2.5000000000000001E-2</v>
      </c>
      <c r="F416" s="942"/>
      <c r="G416" s="52">
        <f t="shared" si="76"/>
        <v>0.12</v>
      </c>
      <c r="H416" s="942"/>
      <c r="I416" s="52">
        <f t="shared" si="77"/>
        <v>1</v>
      </c>
      <c r="J416" s="942"/>
      <c r="K416" s="52">
        <f t="shared" si="78"/>
        <v>1</v>
      </c>
      <c r="L416" s="942"/>
      <c r="M416" s="52">
        <f t="shared" si="79"/>
        <v>1</v>
      </c>
      <c r="N416" s="942"/>
      <c r="O416" s="52">
        <f t="shared" si="80"/>
        <v>1</v>
      </c>
      <c r="P416" s="942"/>
      <c r="Q416" s="52">
        <f t="shared" si="81"/>
        <v>0</v>
      </c>
      <c r="R416" s="470">
        <f t="shared" si="82"/>
        <v>0</v>
      </c>
      <c r="S416" s="779">
        <f t="shared" si="73"/>
        <v>0</v>
      </c>
    </row>
    <row r="417" spans="1:19">
      <c r="A417" s="944"/>
      <c r="B417" s="131"/>
      <c r="C417" s="52">
        <f t="shared" si="74"/>
        <v>1</v>
      </c>
      <c r="D417" s="942"/>
      <c r="E417" s="52">
        <f t="shared" si="75"/>
        <v>2.5000000000000001E-2</v>
      </c>
      <c r="F417" s="942"/>
      <c r="G417" s="52">
        <f t="shared" si="76"/>
        <v>0.12</v>
      </c>
      <c r="H417" s="942"/>
      <c r="I417" s="52">
        <f t="shared" si="77"/>
        <v>1</v>
      </c>
      <c r="J417" s="942"/>
      <c r="K417" s="52">
        <f t="shared" si="78"/>
        <v>1</v>
      </c>
      <c r="L417" s="942"/>
      <c r="M417" s="52">
        <f t="shared" si="79"/>
        <v>1</v>
      </c>
      <c r="N417" s="942"/>
      <c r="O417" s="52">
        <f t="shared" si="80"/>
        <v>1</v>
      </c>
      <c r="P417" s="942"/>
      <c r="Q417" s="52">
        <f t="shared" si="81"/>
        <v>0</v>
      </c>
      <c r="R417" s="470">
        <f t="shared" si="82"/>
        <v>0</v>
      </c>
      <c r="S417" s="779">
        <f t="shared" si="73"/>
        <v>0</v>
      </c>
    </row>
    <row r="418" spans="1:19">
      <c r="A418" s="944"/>
      <c r="B418" s="131"/>
      <c r="C418" s="52">
        <f t="shared" si="74"/>
        <v>1</v>
      </c>
      <c r="D418" s="942"/>
      <c r="E418" s="52">
        <f t="shared" si="75"/>
        <v>2.5000000000000001E-2</v>
      </c>
      <c r="F418" s="942"/>
      <c r="G418" s="52">
        <f t="shared" si="76"/>
        <v>0.12</v>
      </c>
      <c r="H418" s="942"/>
      <c r="I418" s="52">
        <f t="shared" si="77"/>
        <v>1</v>
      </c>
      <c r="J418" s="942"/>
      <c r="K418" s="52">
        <f t="shared" si="78"/>
        <v>1</v>
      </c>
      <c r="L418" s="942"/>
      <c r="M418" s="52">
        <f t="shared" si="79"/>
        <v>1</v>
      </c>
      <c r="N418" s="942"/>
      <c r="O418" s="52">
        <f t="shared" si="80"/>
        <v>1</v>
      </c>
      <c r="P418" s="942"/>
      <c r="Q418" s="52">
        <f t="shared" si="81"/>
        <v>0</v>
      </c>
      <c r="R418" s="470">
        <f t="shared" si="82"/>
        <v>0</v>
      </c>
      <c r="S418" s="779">
        <f t="shared" si="73"/>
        <v>0</v>
      </c>
    </row>
    <row r="419" spans="1:19">
      <c r="A419" s="944"/>
      <c r="B419" s="131"/>
      <c r="C419" s="52">
        <f t="shared" si="74"/>
        <v>1</v>
      </c>
      <c r="D419" s="942"/>
      <c r="E419" s="52">
        <f t="shared" si="75"/>
        <v>2.5000000000000001E-2</v>
      </c>
      <c r="F419" s="942"/>
      <c r="G419" s="52">
        <f t="shared" si="76"/>
        <v>0.12</v>
      </c>
      <c r="H419" s="942"/>
      <c r="I419" s="52">
        <f t="shared" si="77"/>
        <v>1</v>
      </c>
      <c r="J419" s="942"/>
      <c r="K419" s="52">
        <f t="shared" si="78"/>
        <v>1</v>
      </c>
      <c r="L419" s="942"/>
      <c r="M419" s="52">
        <f t="shared" si="79"/>
        <v>1</v>
      </c>
      <c r="N419" s="942"/>
      <c r="O419" s="52">
        <f t="shared" si="80"/>
        <v>1</v>
      </c>
      <c r="P419" s="942"/>
      <c r="Q419" s="52">
        <f t="shared" si="81"/>
        <v>0</v>
      </c>
      <c r="R419" s="470">
        <f t="shared" si="82"/>
        <v>0</v>
      </c>
      <c r="S419" s="779">
        <f t="shared" si="73"/>
        <v>0</v>
      </c>
    </row>
    <row r="420" spans="1:19">
      <c r="A420" s="944"/>
      <c r="B420" s="131"/>
      <c r="C420" s="52">
        <f t="shared" si="74"/>
        <v>1</v>
      </c>
      <c r="D420" s="942"/>
      <c r="E420" s="52">
        <f t="shared" si="75"/>
        <v>2.5000000000000001E-2</v>
      </c>
      <c r="F420" s="942"/>
      <c r="G420" s="52">
        <f t="shared" si="76"/>
        <v>0.12</v>
      </c>
      <c r="H420" s="942"/>
      <c r="I420" s="52">
        <f t="shared" si="77"/>
        <v>1</v>
      </c>
      <c r="J420" s="942"/>
      <c r="K420" s="52">
        <f t="shared" si="78"/>
        <v>1</v>
      </c>
      <c r="L420" s="942"/>
      <c r="M420" s="52">
        <f t="shared" si="79"/>
        <v>1</v>
      </c>
      <c r="N420" s="942"/>
      <c r="O420" s="52">
        <f t="shared" si="80"/>
        <v>1</v>
      </c>
      <c r="P420" s="942"/>
      <c r="Q420" s="52">
        <f t="shared" si="81"/>
        <v>0</v>
      </c>
      <c r="R420" s="470">
        <f t="shared" si="82"/>
        <v>0</v>
      </c>
      <c r="S420" s="779">
        <f t="shared" si="73"/>
        <v>0</v>
      </c>
    </row>
    <row r="421" spans="1:19">
      <c r="A421" s="944"/>
      <c r="B421" s="131"/>
      <c r="C421" s="52">
        <f t="shared" si="74"/>
        <v>1</v>
      </c>
      <c r="D421" s="942"/>
      <c r="E421" s="52">
        <f t="shared" si="75"/>
        <v>2.5000000000000001E-2</v>
      </c>
      <c r="F421" s="942"/>
      <c r="G421" s="52">
        <f t="shared" si="76"/>
        <v>0.12</v>
      </c>
      <c r="H421" s="942"/>
      <c r="I421" s="52">
        <f t="shared" si="77"/>
        <v>1</v>
      </c>
      <c r="J421" s="942"/>
      <c r="K421" s="52">
        <f t="shared" si="78"/>
        <v>1</v>
      </c>
      <c r="L421" s="942"/>
      <c r="M421" s="52">
        <f t="shared" si="79"/>
        <v>1</v>
      </c>
      <c r="N421" s="942"/>
      <c r="O421" s="52">
        <f t="shared" si="80"/>
        <v>1</v>
      </c>
      <c r="P421" s="942"/>
      <c r="Q421" s="52">
        <f t="shared" si="81"/>
        <v>0</v>
      </c>
      <c r="R421" s="470">
        <f t="shared" si="82"/>
        <v>0</v>
      </c>
      <c r="S421" s="779">
        <f t="shared" si="73"/>
        <v>0</v>
      </c>
    </row>
    <row r="422" spans="1:19">
      <c r="A422" s="944"/>
      <c r="B422" s="131"/>
      <c r="C422" s="52">
        <f t="shared" si="74"/>
        <v>1</v>
      </c>
      <c r="D422" s="942"/>
      <c r="E422" s="52">
        <f t="shared" si="75"/>
        <v>2.5000000000000001E-2</v>
      </c>
      <c r="F422" s="942"/>
      <c r="G422" s="52">
        <f t="shared" si="76"/>
        <v>0.12</v>
      </c>
      <c r="H422" s="942"/>
      <c r="I422" s="52">
        <f t="shared" si="77"/>
        <v>1</v>
      </c>
      <c r="J422" s="942"/>
      <c r="K422" s="52">
        <f t="shared" si="78"/>
        <v>1</v>
      </c>
      <c r="L422" s="942"/>
      <c r="M422" s="52">
        <f t="shared" si="79"/>
        <v>1</v>
      </c>
      <c r="N422" s="942"/>
      <c r="O422" s="52">
        <f t="shared" si="80"/>
        <v>1</v>
      </c>
      <c r="P422" s="942"/>
      <c r="Q422" s="52">
        <f t="shared" si="81"/>
        <v>0</v>
      </c>
      <c r="R422" s="470">
        <f t="shared" si="82"/>
        <v>0</v>
      </c>
      <c r="S422" s="779">
        <f t="shared" si="73"/>
        <v>0</v>
      </c>
    </row>
    <row r="423" spans="1:19">
      <c r="A423" s="944"/>
      <c r="B423" s="131"/>
      <c r="C423" s="52">
        <f t="shared" si="74"/>
        <v>1</v>
      </c>
      <c r="D423" s="942"/>
      <c r="E423" s="52">
        <f t="shared" si="75"/>
        <v>2.5000000000000001E-2</v>
      </c>
      <c r="F423" s="942"/>
      <c r="G423" s="52">
        <f t="shared" si="76"/>
        <v>0.12</v>
      </c>
      <c r="H423" s="942"/>
      <c r="I423" s="52">
        <f t="shared" si="77"/>
        <v>1</v>
      </c>
      <c r="J423" s="942"/>
      <c r="K423" s="52">
        <f t="shared" si="78"/>
        <v>1</v>
      </c>
      <c r="L423" s="942"/>
      <c r="M423" s="52">
        <f t="shared" si="79"/>
        <v>1</v>
      </c>
      <c r="N423" s="942"/>
      <c r="O423" s="52">
        <f t="shared" si="80"/>
        <v>1</v>
      </c>
      <c r="P423" s="942"/>
      <c r="Q423" s="52">
        <f t="shared" si="81"/>
        <v>0</v>
      </c>
      <c r="R423" s="470">
        <f t="shared" si="82"/>
        <v>0</v>
      </c>
      <c r="S423" s="779">
        <f t="shared" ref="S423:S467" si="83">ROUND(R423*B423/10000,0)</f>
        <v>0</v>
      </c>
    </row>
    <row r="424" spans="1:19">
      <c r="A424" s="944"/>
      <c r="B424" s="131"/>
      <c r="C424" s="52">
        <f t="shared" si="74"/>
        <v>1</v>
      </c>
      <c r="D424" s="942"/>
      <c r="E424" s="52">
        <f t="shared" si="75"/>
        <v>2.5000000000000001E-2</v>
      </c>
      <c r="F424" s="942"/>
      <c r="G424" s="52">
        <f t="shared" si="76"/>
        <v>0.12</v>
      </c>
      <c r="H424" s="942"/>
      <c r="I424" s="52">
        <f t="shared" si="77"/>
        <v>1</v>
      </c>
      <c r="J424" s="942"/>
      <c r="K424" s="52">
        <f t="shared" si="78"/>
        <v>1</v>
      </c>
      <c r="L424" s="942"/>
      <c r="M424" s="52">
        <f t="shared" si="79"/>
        <v>1</v>
      </c>
      <c r="N424" s="942"/>
      <c r="O424" s="52">
        <f t="shared" si="80"/>
        <v>1</v>
      </c>
      <c r="P424" s="942"/>
      <c r="Q424" s="52">
        <f t="shared" si="81"/>
        <v>0</v>
      </c>
      <c r="R424" s="470">
        <f t="shared" si="82"/>
        <v>0</v>
      </c>
      <c r="S424" s="779">
        <f t="shared" si="83"/>
        <v>0</v>
      </c>
    </row>
    <row r="425" spans="1:19">
      <c r="A425" s="944"/>
      <c r="B425" s="131"/>
      <c r="C425" s="52">
        <f t="shared" si="74"/>
        <v>1</v>
      </c>
      <c r="D425" s="942"/>
      <c r="E425" s="52">
        <f t="shared" si="75"/>
        <v>2.5000000000000001E-2</v>
      </c>
      <c r="F425" s="942"/>
      <c r="G425" s="52">
        <f t="shared" si="76"/>
        <v>0.12</v>
      </c>
      <c r="H425" s="942"/>
      <c r="I425" s="52">
        <f t="shared" si="77"/>
        <v>1</v>
      </c>
      <c r="J425" s="942"/>
      <c r="K425" s="52">
        <f t="shared" si="78"/>
        <v>1</v>
      </c>
      <c r="L425" s="942"/>
      <c r="M425" s="52">
        <f t="shared" si="79"/>
        <v>1</v>
      </c>
      <c r="N425" s="942"/>
      <c r="O425" s="52">
        <f t="shared" si="80"/>
        <v>1</v>
      </c>
      <c r="P425" s="942"/>
      <c r="Q425" s="52">
        <f t="shared" si="81"/>
        <v>0</v>
      </c>
      <c r="R425" s="470">
        <f t="shared" si="82"/>
        <v>0</v>
      </c>
      <c r="S425" s="779">
        <f t="shared" si="83"/>
        <v>0</v>
      </c>
    </row>
    <row r="426" spans="1:19">
      <c r="A426" s="944"/>
      <c r="B426" s="131"/>
      <c r="C426" s="52">
        <f t="shared" si="74"/>
        <v>1</v>
      </c>
      <c r="D426" s="942"/>
      <c r="E426" s="52">
        <f t="shared" si="75"/>
        <v>2.5000000000000001E-2</v>
      </c>
      <c r="F426" s="942"/>
      <c r="G426" s="52">
        <f t="shared" si="76"/>
        <v>0.12</v>
      </c>
      <c r="H426" s="942"/>
      <c r="I426" s="52">
        <f t="shared" si="77"/>
        <v>1</v>
      </c>
      <c r="J426" s="942"/>
      <c r="K426" s="52">
        <f t="shared" si="78"/>
        <v>1</v>
      </c>
      <c r="L426" s="942"/>
      <c r="M426" s="52">
        <f t="shared" si="79"/>
        <v>1</v>
      </c>
      <c r="N426" s="942"/>
      <c r="O426" s="52">
        <f t="shared" si="80"/>
        <v>1</v>
      </c>
      <c r="P426" s="942"/>
      <c r="Q426" s="52">
        <f t="shared" si="81"/>
        <v>0</v>
      </c>
      <c r="R426" s="470">
        <f t="shared" si="82"/>
        <v>0</v>
      </c>
      <c r="S426" s="779">
        <f t="shared" si="83"/>
        <v>0</v>
      </c>
    </row>
    <row r="427" spans="1:19">
      <c r="A427" s="944"/>
      <c r="B427" s="131"/>
      <c r="C427" s="52">
        <f t="shared" si="74"/>
        <v>1</v>
      </c>
      <c r="D427" s="942"/>
      <c r="E427" s="52">
        <f t="shared" si="75"/>
        <v>2.5000000000000001E-2</v>
      </c>
      <c r="F427" s="942"/>
      <c r="G427" s="52">
        <f t="shared" si="76"/>
        <v>0.12</v>
      </c>
      <c r="H427" s="942"/>
      <c r="I427" s="52">
        <f t="shared" si="77"/>
        <v>1</v>
      </c>
      <c r="J427" s="942"/>
      <c r="K427" s="52">
        <f t="shared" si="78"/>
        <v>1</v>
      </c>
      <c r="L427" s="942"/>
      <c r="M427" s="52">
        <f t="shared" si="79"/>
        <v>1</v>
      </c>
      <c r="N427" s="942"/>
      <c r="O427" s="52">
        <f t="shared" si="80"/>
        <v>1</v>
      </c>
      <c r="P427" s="942"/>
      <c r="Q427" s="52">
        <f t="shared" si="81"/>
        <v>0</v>
      </c>
      <c r="R427" s="470">
        <f t="shared" si="82"/>
        <v>0</v>
      </c>
      <c r="S427" s="779">
        <f t="shared" si="83"/>
        <v>0</v>
      </c>
    </row>
    <row r="428" spans="1:19">
      <c r="A428" s="944"/>
      <c r="B428" s="131"/>
      <c r="C428" s="52">
        <f t="shared" si="74"/>
        <v>1</v>
      </c>
      <c r="D428" s="942"/>
      <c r="E428" s="52">
        <f t="shared" si="75"/>
        <v>2.5000000000000001E-2</v>
      </c>
      <c r="F428" s="942"/>
      <c r="G428" s="52">
        <f t="shared" si="76"/>
        <v>0.12</v>
      </c>
      <c r="H428" s="942"/>
      <c r="I428" s="52">
        <f t="shared" si="77"/>
        <v>1</v>
      </c>
      <c r="J428" s="942"/>
      <c r="K428" s="52">
        <f t="shared" si="78"/>
        <v>1</v>
      </c>
      <c r="L428" s="942"/>
      <c r="M428" s="52">
        <f t="shared" si="79"/>
        <v>1</v>
      </c>
      <c r="N428" s="942"/>
      <c r="O428" s="52">
        <f t="shared" si="80"/>
        <v>1</v>
      </c>
      <c r="P428" s="942"/>
      <c r="Q428" s="52">
        <f t="shared" si="81"/>
        <v>0</v>
      </c>
      <c r="R428" s="470">
        <f t="shared" si="82"/>
        <v>0</v>
      </c>
      <c r="S428" s="779">
        <f t="shared" si="83"/>
        <v>0</v>
      </c>
    </row>
    <row r="429" spans="1:19">
      <c r="A429" s="944"/>
      <c r="B429" s="131"/>
      <c r="C429" s="52">
        <f t="shared" si="74"/>
        <v>1</v>
      </c>
      <c r="D429" s="942"/>
      <c r="E429" s="52">
        <f t="shared" si="75"/>
        <v>2.5000000000000001E-2</v>
      </c>
      <c r="F429" s="942"/>
      <c r="G429" s="52">
        <f t="shared" si="76"/>
        <v>0.12</v>
      </c>
      <c r="H429" s="942"/>
      <c r="I429" s="52">
        <f t="shared" si="77"/>
        <v>1</v>
      </c>
      <c r="J429" s="942"/>
      <c r="K429" s="52">
        <f t="shared" si="78"/>
        <v>1</v>
      </c>
      <c r="L429" s="942"/>
      <c r="M429" s="52">
        <f t="shared" si="79"/>
        <v>1</v>
      </c>
      <c r="N429" s="942"/>
      <c r="O429" s="52">
        <f t="shared" si="80"/>
        <v>1</v>
      </c>
      <c r="P429" s="942"/>
      <c r="Q429" s="52">
        <f t="shared" si="81"/>
        <v>0</v>
      </c>
      <c r="R429" s="470">
        <f t="shared" si="82"/>
        <v>0</v>
      </c>
      <c r="S429" s="779">
        <f t="shared" si="83"/>
        <v>0</v>
      </c>
    </row>
    <row r="430" spans="1:19">
      <c r="A430" s="944"/>
      <c r="B430" s="131"/>
      <c r="C430" s="52">
        <f t="shared" si="74"/>
        <v>1</v>
      </c>
      <c r="D430" s="942"/>
      <c r="E430" s="52">
        <f t="shared" si="75"/>
        <v>2.5000000000000001E-2</v>
      </c>
      <c r="F430" s="942"/>
      <c r="G430" s="52">
        <f t="shared" si="76"/>
        <v>0.12</v>
      </c>
      <c r="H430" s="942"/>
      <c r="I430" s="52">
        <f t="shared" si="77"/>
        <v>1</v>
      </c>
      <c r="J430" s="942"/>
      <c r="K430" s="52">
        <f t="shared" si="78"/>
        <v>1</v>
      </c>
      <c r="L430" s="942"/>
      <c r="M430" s="52">
        <f t="shared" si="79"/>
        <v>1</v>
      </c>
      <c r="N430" s="942"/>
      <c r="O430" s="52">
        <f t="shared" si="80"/>
        <v>1</v>
      </c>
      <c r="P430" s="942"/>
      <c r="Q430" s="52">
        <f t="shared" si="81"/>
        <v>0</v>
      </c>
      <c r="R430" s="470">
        <f t="shared" si="82"/>
        <v>0</v>
      </c>
      <c r="S430" s="779">
        <f t="shared" si="83"/>
        <v>0</v>
      </c>
    </row>
    <row r="431" spans="1:19">
      <c r="A431" s="944"/>
      <c r="B431" s="131"/>
      <c r="C431" s="52">
        <f t="shared" si="74"/>
        <v>1</v>
      </c>
      <c r="D431" s="942"/>
      <c r="E431" s="52">
        <f t="shared" si="75"/>
        <v>2.5000000000000001E-2</v>
      </c>
      <c r="F431" s="942"/>
      <c r="G431" s="52">
        <f t="shared" si="76"/>
        <v>0.12</v>
      </c>
      <c r="H431" s="942"/>
      <c r="I431" s="52">
        <f t="shared" si="77"/>
        <v>1</v>
      </c>
      <c r="J431" s="942"/>
      <c r="K431" s="52">
        <f t="shared" si="78"/>
        <v>1</v>
      </c>
      <c r="L431" s="942"/>
      <c r="M431" s="52">
        <f t="shared" si="79"/>
        <v>1</v>
      </c>
      <c r="N431" s="942"/>
      <c r="O431" s="52">
        <f t="shared" si="80"/>
        <v>1</v>
      </c>
      <c r="P431" s="942"/>
      <c r="Q431" s="52">
        <f t="shared" si="81"/>
        <v>0</v>
      </c>
      <c r="R431" s="470">
        <f t="shared" si="82"/>
        <v>0</v>
      </c>
      <c r="S431" s="779">
        <f t="shared" si="83"/>
        <v>0</v>
      </c>
    </row>
    <row r="432" spans="1:19">
      <c r="A432" s="944"/>
      <c r="B432" s="131"/>
      <c r="C432" s="52">
        <f t="shared" si="74"/>
        <v>1</v>
      </c>
      <c r="D432" s="942"/>
      <c r="E432" s="52">
        <f t="shared" si="75"/>
        <v>2.5000000000000001E-2</v>
      </c>
      <c r="F432" s="942"/>
      <c r="G432" s="52">
        <f t="shared" si="76"/>
        <v>0.12</v>
      </c>
      <c r="H432" s="942"/>
      <c r="I432" s="52">
        <f t="shared" si="77"/>
        <v>1</v>
      </c>
      <c r="J432" s="942"/>
      <c r="K432" s="52">
        <f t="shared" si="78"/>
        <v>1</v>
      </c>
      <c r="L432" s="942"/>
      <c r="M432" s="52">
        <f t="shared" si="79"/>
        <v>1</v>
      </c>
      <c r="N432" s="942"/>
      <c r="O432" s="52">
        <f t="shared" si="80"/>
        <v>1</v>
      </c>
      <c r="P432" s="942"/>
      <c r="Q432" s="52">
        <f t="shared" si="81"/>
        <v>0</v>
      </c>
      <c r="R432" s="470">
        <f t="shared" si="82"/>
        <v>0</v>
      </c>
      <c r="S432" s="779">
        <f t="shared" si="83"/>
        <v>0</v>
      </c>
    </row>
    <row r="433" spans="1:19">
      <c r="A433" s="944"/>
      <c r="B433" s="131"/>
      <c r="C433" s="52">
        <f t="shared" si="74"/>
        <v>1</v>
      </c>
      <c r="D433" s="942"/>
      <c r="E433" s="52">
        <f t="shared" si="75"/>
        <v>2.5000000000000001E-2</v>
      </c>
      <c r="F433" s="942"/>
      <c r="G433" s="52">
        <f t="shared" si="76"/>
        <v>0.12</v>
      </c>
      <c r="H433" s="942"/>
      <c r="I433" s="52">
        <f t="shared" si="77"/>
        <v>1</v>
      </c>
      <c r="J433" s="942"/>
      <c r="K433" s="52">
        <f t="shared" si="78"/>
        <v>1</v>
      </c>
      <c r="L433" s="942"/>
      <c r="M433" s="52">
        <f t="shared" si="79"/>
        <v>1</v>
      </c>
      <c r="N433" s="942"/>
      <c r="O433" s="52">
        <f t="shared" si="80"/>
        <v>1</v>
      </c>
      <c r="P433" s="942"/>
      <c r="Q433" s="52">
        <f t="shared" si="81"/>
        <v>0</v>
      </c>
      <c r="R433" s="470">
        <f t="shared" si="82"/>
        <v>0</v>
      </c>
      <c r="S433" s="779">
        <f t="shared" si="83"/>
        <v>0</v>
      </c>
    </row>
    <row r="434" spans="1:19">
      <c r="A434" s="944"/>
      <c r="B434" s="131"/>
      <c r="C434" s="52">
        <f t="shared" si="74"/>
        <v>1</v>
      </c>
      <c r="D434" s="942"/>
      <c r="E434" s="52">
        <f t="shared" si="75"/>
        <v>2.5000000000000001E-2</v>
      </c>
      <c r="F434" s="942"/>
      <c r="G434" s="52">
        <f t="shared" si="76"/>
        <v>0.12</v>
      </c>
      <c r="H434" s="942"/>
      <c r="I434" s="52">
        <f t="shared" si="77"/>
        <v>1</v>
      </c>
      <c r="J434" s="942"/>
      <c r="K434" s="52">
        <f t="shared" si="78"/>
        <v>1</v>
      </c>
      <c r="L434" s="942"/>
      <c r="M434" s="52">
        <f t="shared" si="79"/>
        <v>1</v>
      </c>
      <c r="N434" s="942"/>
      <c r="O434" s="52">
        <f t="shared" si="80"/>
        <v>1</v>
      </c>
      <c r="P434" s="942"/>
      <c r="Q434" s="52">
        <f t="shared" si="81"/>
        <v>0</v>
      </c>
      <c r="R434" s="470">
        <f t="shared" si="82"/>
        <v>0</v>
      </c>
      <c r="S434" s="779">
        <f t="shared" si="83"/>
        <v>0</v>
      </c>
    </row>
    <row r="435" spans="1:19">
      <c r="A435" s="944"/>
      <c r="B435" s="131"/>
      <c r="C435" s="52">
        <f t="shared" si="74"/>
        <v>1</v>
      </c>
      <c r="D435" s="942"/>
      <c r="E435" s="52">
        <f t="shared" si="75"/>
        <v>2.5000000000000001E-2</v>
      </c>
      <c r="F435" s="942"/>
      <c r="G435" s="52">
        <f t="shared" si="76"/>
        <v>0.12</v>
      </c>
      <c r="H435" s="942"/>
      <c r="I435" s="52">
        <f t="shared" si="77"/>
        <v>1</v>
      </c>
      <c r="J435" s="942"/>
      <c r="K435" s="52">
        <f t="shared" si="78"/>
        <v>1</v>
      </c>
      <c r="L435" s="942"/>
      <c r="M435" s="52">
        <f t="shared" si="79"/>
        <v>1</v>
      </c>
      <c r="N435" s="942"/>
      <c r="O435" s="52">
        <f t="shared" si="80"/>
        <v>1</v>
      </c>
      <c r="P435" s="942"/>
      <c r="Q435" s="52">
        <f t="shared" si="81"/>
        <v>0</v>
      </c>
      <c r="R435" s="470">
        <f t="shared" si="82"/>
        <v>0</v>
      </c>
      <c r="S435" s="779">
        <f t="shared" si="83"/>
        <v>0</v>
      </c>
    </row>
    <row r="436" spans="1:19">
      <c r="A436" s="944"/>
      <c r="B436" s="131"/>
      <c r="C436" s="52">
        <f t="shared" si="74"/>
        <v>1</v>
      </c>
      <c r="D436" s="942"/>
      <c r="E436" s="52">
        <f t="shared" si="75"/>
        <v>2.5000000000000001E-2</v>
      </c>
      <c r="F436" s="942"/>
      <c r="G436" s="52">
        <f t="shared" si="76"/>
        <v>0.12</v>
      </c>
      <c r="H436" s="942"/>
      <c r="I436" s="52">
        <f t="shared" si="77"/>
        <v>1</v>
      </c>
      <c r="J436" s="942"/>
      <c r="K436" s="52">
        <f t="shared" si="78"/>
        <v>1</v>
      </c>
      <c r="L436" s="942"/>
      <c r="M436" s="52">
        <f t="shared" si="79"/>
        <v>1</v>
      </c>
      <c r="N436" s="942"/>
      <c r="O436" s="52">
        <f t="shared" si="80"/>
        <v>1</v>
      </c>
      <c r="P436" s="942"/>
      <c r="Q436" s="52">
        <f t="shared" si="81"/>
        <v>0</v>
      </c>
      <c r="R436" s="470">
        <f t="shared" si="82"/>
        <v>0</v>
      </c>
      <c r="S436" s="779">
        <f t="shared" si="83"/>
        <v>0</v>
      </c>
    </row>
    <row r="437" spans="1:19">
      <c r="A437" s="944"/>
      <c r="B437" s="131"/>
      <c r="C437" s="52">
        <f t="shared" si="74"/>
        <v>1</v>
      </c>
      <c r="D437" s="942"/>
      <c r="E437" s="52">
        <f t="shared" si="75"/>
        <v>2.5000000000000001E-2</v>
      </c>
      <c r="F437" s="942"/>
      <c r="G437" s="52">
        <f t="shared" si="76"/>
        <v>0.12</v>
      </c>
      <c r="H437" s="942"/>
      <c r="I437" s="52">
        <f t="shared" si="77"/>
        <v>1</v>
      </c>
      <c r="J437" s="942"/>
      <c r="K437" s="52">
        <f t="shared" si="78"/>
        <v>1</v>
      </c>
      <c r="L437" s="942"/>
      <c r="M437" s="52">
        <f t="shared" si="79"/>
        <v>1</v>
      </c>
      <c r="N437" s="942"/>
      <c r="O437" s="52">
        <f t="shared" si="80"/>
        <v>1</v>
      </c>
      <c r="P437" s="942"/>
      <c r="Q437" s="52">
        <f t="shared" si="81"/>
        <v>0</v>
      </c>
      <c r="R437" s="470">
        <f t="shared" si="82"/>
        <v>0</v>
      </c>
      <c r="S437" s="779">
        <f t="shared" si="83"/>
        <v>0</v>
      </c>
    </row>
    <row r="438" spans="1:19">
      <c r="A438" s="944"/>
      <c r="B438" s="131"/>
      <c r="C438" s="52">
        <f t="shared" si="74"/>
        <v>1</v>
      </c>
      <c r="D438" s="942"/>
      <c r="E438" s="52">
        <f t="shared" si="75"/>
        <v>2.5000000000000001E-2</v>
      </c>
      <c r="F438" s="942"/>
      <c r="G438" s="52">
        <f t="shared" si="76"/>
        <v>0.12</v>
      </c>
      <c r="H438" s="942"/>
      <c r="I438" s="52">
        <f t="shared" si="77"/>
        <v>1</v>
      </c>
      <c r="J438" s="942"/>
      <c r="K438" s="52">
        <f t="shared" si="78"/>
        <v>1</v>
      </c>
      <c r="L438" s="942"/>
      <c r="M438" s="52">
        <f t="shared" si="79"/>
        <v>1</v>
      </c>
      <c r="N438" s="942"/>
      <c r="O438" s="52">
        <f t="shared" si="80"/>
        <v>1</v>
      </c>
      <c r="P438" s="942"/>
      <c r="Q438" s="52">
        <f t="shared" si="81"/>
        <v>0</v>
      </c>
      <c r="R438" s="470">
        <f t="shared" si="82"/>
        <v>0</v>
      </c>
      <c r="S438" s="779">
        <f t="shared" si="83"/>
        <v>0</v>
      </c>
    </row>
    <row r="439" spans="1:19">
      <c r="A439" s="944"/>
      <c r="B439" s="131"/>
      <c r="C439" s="52">
        <f t="shared" si="74"/>
        <v>1</v>
      </c>
      <c r="D439" s="942"/>
      <c r="E439" s="52">
        <f t="shared" si="75"/>
        <v>2.5000000000000001E-2</v>
      </c>
      <c r="F439" s="942"/>
      <c r="G439" s="52">
        <f t="shared" si="76"/>
        <v>0.12</v>
      </c>
      <c r="H439" s="942"/>
      <c r="I439" s="52">
        <f t="shared" si="77"/>
        <v>1</v>
      </c>
      <c r="J439" s="942"/>
      <c r="K439" s="52">
        <f t="shared" si="78"/>
        <v>1</v>
      </c>
      <c r="L439" s="942"/>
      <c r="M439" s="52">
        <f t="shared" si="79"/>
        <v>1</v>
      </c>
      <c r="N439" s="942"/>
      <c r="O439" s="52">
        <f t="shared" si="80"/>
        <v>1</v>
      </c>
      <c r="P439" s="942"/>
      <c r="Q439" s="52">
        <f t="shared" si="81"/>
        <v>0</v>
      </c>
      <c r="R439" s="470">
        <f t="shared" si="82"/>
        <v>0</v>
      </c>
      <c r="S439" s="779">
        <f t="shared" si="83"/>
        <v>0</v>
      </c>
    </row>
    <row r="440" spans="1:19">
      <c r="A440" s="944"/>
      <c r="B440" s="131"/>
      <c r="C440" s="52">
        <f t="shared" si="74"/>
        <v>1</v>
      </c>
      <c r="D440" s="942"/>
      <c r="E440" s="52">
        <f t="shared" si="75"/>
        <v>2.5000000000000001E-2</v>
      </c>
      <c r="F440" s="942"/>
      <c r="G440" s="52">
        <f t="shared" si="76"/>
        <v>0.12</v>
      </c>
      <c r="H440" s="942"/>
      <c r="I440" s="52">
        <f t="shared" si="77"/>
        <v>1</v>
      </c>
      <c r="J440" s="942"/>
      <c r="K440" s="52">
        <f t="shared" si="78"/>
        <v>1</v>
      </c>
      <c r="L440" s="942"/>
      <c r="M440" s="52">
        <f t="shared" si="79"/>
        <v>1</v>
      </c>
      <c r="N440" s="942"/>
      <c r="O440" s="52">
        <f t="shared" si="80"/>
        <v>1</v>
      </c>
      <c r="P440" s="942"/>
      <c r="Q440" s="52">
        <f t="shared" si="81"/>
        <v>0</v>
      </c>
      <c r="R440" s="470">
        <f t="shared" si="82"/>
        <v>0</v>
      </c>
      <c r="S440" s="779">
        <f t="shared" si="83"/>
        <v>0</v>
      </c>
    </row>
    <row r="441" spans="1:19">
      <c r="A441" s="944"/>
      <c r="B441" s="131"/>
      <c r="C441" s="52">
        <f t="shared" si="74"/>
        <v>1</v>
      </c>
      <c r="D441" s="942"/>
      <c r="E441" s="52">
        <f t="shared" si="75"/>
        <v>2.5000000000000001E-2</v>
      </c>
      <c r="F441" s="942"/>
      <c r="G441" s="52">
        <f t="shared" si="76"/>
        <v>0.12</v>
      </c>
      <c r="H441" s="942"/>
      <c r="I441" s="52">
        <f t="shared" si="77"/>
        <v>1</v>
      </c>
      <c r="J441" s="942"/>
      <c r="K441" s="52">
        <f t="shared" si="78"/>
        <v>1</v>
      </c>
      <c r="L441" s="942"/>
      <c r="M441" s="52">
        <f t="shared" si="79"/>
        <v>1</v>
      </c>
      <c r="N441" s="942"/>
      <c r="O441" s="52">
        <f t="shared" si="80"/>
        <v>1</v>
      </c>
      <c r="P441" s="942"/>
      <c r="Q441" s="52">
        <f t="shared" si="81"/>
        <v>0</v>
      </c>
      <c r="R441" s="470">
        <f t="shared" si="82"/>
        <v>0</v>
      </c>
      <c r="S441" s="779">
        <f t="shared" si="83"/>
        <v>0</v>
      </c>
    </row>
    <row r="442" spans="1:19">
      <c r="A442" s="944"/>
      <c r="B442" s="131"/>
      <c r="C442" s="52">
        <f t="shared" si="74"/>
        <v>1</v>
      </c>
      <c r="D442" s="942"/>
      <c r="E442" s="52">
        <f t="shared" si="75"/>
        <v>2.5000000000000001E-2</v>
      </c>
      <c r="F442" s="942"/>
      <c r="G442" s="52">
        <f t="shared" si="76"/>
        <v>0.12</v>
      </c>
      <c r="H442" s="942"/>
      <c r="I442" s="52">
        <f t="shared" si="77"/>
        <v>1</v>
      </c>
      <c r="J442" s="942"/>
      <c r="K442" s="52">
        <f t="shared" si="78"/>
        <v>1</v>
      </c>
      <c r="L442" s="942"/>
      <c r="M442" s="52">
        <f t="shared" si="79"/>
        <v>1</v>
      </c>
      <c r="N442" s="942"/>
      <c r="O442" s="52">
        <f t="shared" si="80"/>
        <v>1</v>
      </c>
      <c r="P442" s="942"/>
      <c r="Q442" s="52">
        <f t="shared" si="81"/>
        <v>0</v>
      </c>
      <c r="R442" s="470">
        <f t="shared" si="82"/>
        <v>0</v>
      </c>
      <c r="S442" s="779">
        <f t="shared" si="83"/>
        <v>0</v>
      </c>
    </row>
    <row r="443" spans="1:19">
      <c r="A443" s="944"/>
      <c r="B443" s="131"/>
      <c r="C443" s="52">
        <f t="shared" si="74"/>
        <v>1</v>
      </c>
      <c r="D443" s="942"/>
      <c r="E443" s="52">
        <f t="shared" si="75"/>
        <v>2.5000000000000001E-2</v>
      </c>
      <c r="F443" s="942"/>
      <c r="G443" s="52">
        <f t="shared" si="76"/>
        <v>0.12</v>
      </c>
      <c r="H443" s="942"/>
      <c r="I443" s="52">
        <f t="shared" si="77"/>
        <v>1</v>
      </c>
      <c r="J443" s="942"/>
      <c r="K443" s="52">
        <f t="shared" si="78"/>
        <v>1</v>
      </c>
      <c r="L443" s="942"/>
      <c r="M443" s="52">
        <f t="shared" si="79"/>
        <v>1</v>
      </c>
      <c r="N443" s="942"/>
      <c r="O443" s="52">
        <f t="shared" si="80"/>
        <v>1</v>
      </c>
      <c r="P443" s="942"/>
      <c r="Q443" s="52">
        <f t="shared" si="81"/>
        <v>0</v>
      </c>
      <c r="R443" s="470">
        <f t="shared" si="82"/>
        <v>0</v>
      </c>
      <c r="S443" s="779">
        <f t="shared" si="83"/>
        <v>0</v>
      </c>
    </row>
    <row r="444" spans="1:19">
      <c r="A444" s="944"/>
      <c r="B444" s="131"/>
      <c r="C444" s="52">
        <f t="shared" si="74"/>
        <v>1</v>
      </c>
      <c r="D444" s="942"/>
      <c r="E444" s="52">
        <f t="shared" si="75"/>
        <v>2.5000000000000001E-2</v>
      </c>
      <c r="F444" s="942"/>
      <c r="G444" s="52">
        <f t="shared" si="76"/>
        <v>0.12</v>
      </c>
      <c r="H444" s="942"/>
      <c r="I444" s="52">
        <f t="shared" si="77"/>
        <v>1</v>
      </c>
      <c r="J444" s="942"/>
      <c r="K444" s="52">
        <f t="shared" si="78"/>
        <v>1</v>
      </c>
      <c r="L444" s="942"/>
      <c r="M444" s="52">
        <f t="shared" si="79"/>
        <v>1</v>
      </c>
      <c r="N444" s="942"/>
      <c r="O444" s="52">
        <f t="shared" si="80"/>
        <v>1</v>
      </c>
      <c r="P444" s="942"/>
      <c r="Q444" s="52">
        <f t="shared" si="81"/>
        <v>0</v>
      </c>
      <c r="R444" s="470">
        <f t="shared" si="82"/>
        <v>0</v>
      </c>
      <c r="S444" s="779">
        <f t="shared" si="83"/>
        <v>0</v>
      </c>
    </row>
    <row r="445" spans="1:19">
      <c r="A445" s="944"/>
      <c r="B445" s="131"/>
      <c r="C445" s="52">
        <f t="shared" si="74"/>
        <v>1</v>
      </c>
      <c r="D445" s="942"/>
      <c r="E445" s="52">
        <f t="shared" si="75"/>
        <v>2.5000000000000001E-2</v>
      </c>
      <c r="F445" s="942"/>
      <c r="G445" s="52">
        <f t="shared" si="76"/>
        <v>0.12</v>
      </c>
      <c r="H445" s="942"/>
      <c r="I445" s="52">
        <f t="shared" si="77"/>
        <v>1</v>
      </c>
      <c r="J445" s="942"/>
      <c r="K445" s="52">
        <f t="shared" si="78"/>
        <v>1</v>
      </c>
      <c r="L445" s="942"/>
      <c r="M445" s="52">
        <f t="shared" si="79"/>
        <v>1</v>
      </c>
      <c r="N445" s="942"/>
      <c r="O445" s="52">
        <f t="shared" si="80"/>
        <v>1</v>
      </c>
      <c r="P445" s="942"/>
      <c r="Q445" s="52">
        <f t="shared" si="81"/>
        <v>0</v>
      </c>
      <c r="R445" s="470">
        <f t="shared" si="82"/>
        <v>0</v>
      </c>
      <c r="S445" s="779">
        <f t="shared" si="83"/>
        <v>0</v>
      </c>
    </row>
    <row r="446" spans="1:19">
      <c r="A446" s="944"/>
      <c r="B446" s="131"/>
      <c r="C446" s="52">
        <f t="shared" si="74"/>
        <v>1</v>
      </c>
      <c r="D446" s="942"/>
      <c r="E446" s="52">
        <f t="shared" si="75"/>
        <v>2.5000000000000001E-2</v>
      </c>
      <c r="F446" s="942"/>
      <c r="G446" s="52">
        <f t="shared" si="76"/>
        <v>0.12</v>
      </c>
      <c r="H446" s="942"/>
      <c r="I446" s="52">
        <f t="shared" si="77"/>
        <v>1</v>
      </c>
      <c r="J446" s="942"/>
      <c r="K446" s="52">
        <f t="shared" si="78"/>
        <v>1</v>
      </c>
      <c r="L446" s="942"/>
      <c r="M446" s="52">
        <f t="shared" si="79"/>
        <v>1</v>
      </c>
      <c r="N446" s="942"/>
      <c r="O446" s="52">
        <f t="shared" si="80"/>
        <v>1</v>
      </c>
      <c r="P446" s="942"/>
      <c r="Q446" s="52">
        <f t="shared" si="81"/>
        <v>0</v>
      </c>
      <c r="R446" s="470">
        <f t="shared" si="82"/>
        <v>0</v>
      </c>
      <c r="S446" s="779">
        <f t="shared" si="83"/>
        <v>0</v>
      </c>
    </row>
    <row r="447" spans="1:19">
      <c r="A447" s="944"/>
      <c r="B447" s="131"/>
      <c r="C447" s="52">
        <f t="shared" si="74"/>
        <v>1</v>
      </c>
      <c r="D447" s="942"/>
      <c r="E447" s="52">
        <f t="shared" si="75"/>
        <v>2.5000000000000001E-2</v>
      </c>
      <c r="F447" s="942"/>
      <c r="G447" s="52">
        <f t="shared" si="76"/>
        <v>0.12</v>
      </c>
      <c r="H447" s="942"/>
      <c r="I447" s="52">
        <f t="shared" si="77"/>
        <v>1</v>
      </c>
      <c r="J447" s="942"/>
      <c r="K447" s="52">
        <f t="shared" si="78"/>
        <v>1</v>
      </c>
      <c r="L447" s="942"/>
      <c r="M447" s="52">
        <f t="shared" si="79"/>
        <v>1</v>
      </c>
      <c r="N447" s="942"/>
      <c r="O447" s="52">
        <f t="shared" si="80"/>
        <v>1</v>
      </c>
      <c r="P447" s="942"/>
      <c r="Q447" s="52">
        <f t="shared" si="81"/>
        <v>0</v>
      </c>
      <c r="R447" s="470">
        <f t="shared" si="82"/>
        <v>0</v>
      </c>
      <c r="S447" s="779">
        <f t="shared" si="83"/>
        <v>0</v>
      </c>
    </row>
    <row r="448" spans="1:19">
      <c r="A448" s="944"/>
      <c r="B448" s="131"/>
      <c r="C448" s="52">
        <f t="shared" si="74"/>
        <v>1</v>
      </c>
      <c r="D448" s="942"/>
      <c r="E448" s="52">
        <f t="shared" si="75"/>
        <v>2.5000000000000001E-2</v>
      </c>
      <c r="F448" s="942"/>
      <c r="G448" s="52">
        <f t="shared" si="76"/>
        <v>0.12</v>
      </c>
      <c r="H448" s="942"/>
      <c r="I448" s="52">
        <f t="shared" si="77"/>
        <v>1</v>
      </c>
      <c r="J448" s="942"/>
      <c r="K448" s="52">
        <f t="shared" si="78"/>
        <v>1</v>
      </c>
      <c r="L448" s="942"/>
      <c r="M448" s="52">
        <f t="shared" si="79"/>
        <v>1</v>
      </c>
      <c r="N448" s="942"/>
      <c r="O448" s="52">
        <f t="shared" si="80"/>
        <v>1</v>
      </c>
      <c r="P448" s="942"/>
      <c r="Q448" s="52">
        <f t="shared" si="81"/>
        <v>0</v>
      </c>
      <c r="R448" s="470">
        <f t="shared" si="82"/>
        <v>0</v>
      </c>
      <c r="S448" s="779">
        <f t="shared" si="83"/>
        <v>0</v>
      </c>
    </row>
    <row r="449" spans="1:19">
      <c r="A449" s="944"/>
      <c r="B449" s="131"/>
      <c r="C449" s="52">
        <f t="shared" si="74"/>
        <v>1</v>
      </c>
      <c r="D449" s="942"/>
      <c r="E449" s="52">
        <f t="shared" si="75"/>
        <v>2.5000000000000001E-2</v>
      </c>
      <c r="F449" s="942"/>
      <c r="G449" s="52">
        <f t="shared" si="76"/>
        <v>0.12</v>
      </c>
      <c r="H449" s="942"/>
      <c r="I449" s="52">
        <f t="shared" si="77"/>
        <v>1</v>
      </c>
      <c r="J449" s="942"/>
      <c r="K449" s="52">
        <f t="shared" si="78"/>
        <v>1</v>
      </c>
      <c r="L449" s="942"/>
      <c r="M449" s="52">
        <f t="shared" si="79"/>
        <v>1</v>
      </c>
      <c r="N449" s="942"/>
      <c r="O449" s="52">
        <f t="shared" si="80"/>
        <v>1</v>
      </c>
      <c r="P449" s="942"/>
      <c r="Q449" s="52">
        <f t="shared" si="81"/>
        <v>0</v>
      </c>
      <c r="R449" s="470">
        <f t="shared" si="82"/>
        <v>0</v>
      </c>
      <c r="S449" s="779">
        <f t="shared" si="83"/>
        <v>0</v>
      </c>
    </row>
    <row r="450" spans="1:19">
      <c r="A450" s="944"/>
      <c r="B450" s="131"/>
      <c r="C450" s="52">
        <f t="shared" si="74"/>
        <v>1</v>
      </c>
      <c r="D450" s="942"/>
      <c r="E450" s="52">
        <f t="shared" si="75"/>
        <v>2.5000000000000001E-2</v>
      </c>
      <c r="F450" s="942"/>
      <c r="G450" s="52">
        <f t="shared" si="76"/>
        <v>0.12</v>
      </c>
      <c r="H450" s="942"/>
      <c r="I450" s="52">
        <f t="shared" si="77"/>
        <v>1</v>
      </c>
      <c r="J450" s="942"/>
      <c r="K450" s="52">
        <f t="shared" si="78"/>
        <v>1</v>
      </c>
      <c r="L450" s="942"/>
      <c r="M450" s="52">
        <f t="shared" si="79"/>
        <v>1</v>
      </c>
      <c r="N450" s="942"/>
      <c r="O450" s="52">
        <f t="shared" si="80"/>
        <v>1</v>
      </c>
      <c r="P450" s="942"/>
      <c r="Q450" s="52">
        <f t="shared" si="81"/>
        <v>0</v>
      </c>
      <c r="R450" s="470">
        <f t="shared" si="82"/>
        <v>0</v>
      </c>
      <c r="S450" s="779">
        <f t="shared" si="83"/>
        <v>0</v>
      </c>
    </row>
    <row r="451" spans="1:19">
      <c r="A451" s="944"/>
      <c r="B451" s="131"/>
      <c r="C451" s="52">
        <f t="shared" si="74"/>
        <v>1</v>
      </c>
      <c r="D451" s="942"/>
      <c r="E451" s="52">
        <f t="shared" si="75"/>
        <v>2.5000000000000001E-2</v>
      </c>
      <c r="F451" s="942"/>
      <c r="G451" s="52">
        <f t="shared" si="76"/>
        <v>0.12</v>
      </c>
      <c r="H451" s="942"/>
      <c r="I451" s="52">
        <f t="shared" si="77"/>
        <v>1</v>
      </c>
      <c r="J451" s="942"/>
      <c r="K451" s="52">
        <f t="shared" si="78"/>
        <v>1</v>
      </c>
      <c r="L451" s="942"/>
      <c r="M451" s="52">
        <f t="shared" si="79"/>
        <v>1</v>
      </c>
      <c r="N451" s="942"/>
      <c r="O451" s="52">
        <f t="shared" si="80"/>
        <v>1</v>
      </c>
      <c r="P451" s="942"/>
      <c r="Q451" s="52">
        <f t="shared" si="81"/>
        <v>0</v>
      </c>
      <c r="R451" s="470">
        <f t="shared" si="82"/>
        <v>0</v>
      </c>
      <c r="S451" s="779">
        <f t="shared" si="83"/>
        <v>0</v>
      </c>
    </row>
    <row r="452" spans="1:19">
      <c r="A452" s="944"/>
      <c r="B452" s="131"/>
      <c r="C452" s="52">
        <f t="shared" si="74"/>
        <v>1</v>
      </c>
      <c r="D452" s="942"/>
      <c r="E452" s="52">
        <f t="shared" si="75"/>
        <v>2.5000000000000001E-2</v>
      </c>
      <c r="F452" s="942"/>
      <c r="G452" s="52">
        <f t="shared" si="76"/>
        <v>0.12</v>
      </c>
      <c r="H452" s="942"/>
      <c r="I452" s="52">
        <f t="shared" si="77"/>
        <v>1</v>
      </c>
      <c r="J452" s="942"/>
      <c r="K452" s="52">
        <f t="shared" si="78"/>
        <v>1</v>
      </c>
      <c r="L452" s="942"/>
      <c r="M452" s="52">
        <f t="shared" si="79"/>
        <v>1</v>
      </c>
      <c r="N452" s="942"/>
      <c r="O452" s="52">
        <f t="shared" si="80"/>
        <v>1</v>
      </c>
      <c r="P452" s="942"/>
      <c r="Q452" s="52">
        <f t="shared" si="81"/>
        <v>0</v>
      </c>
      <c r="R452" s="470">
        <f t="shared" si="82"/>
        <v>0</v>
      </c>
      <c r="S452" s="779">
        <f t="shared" si="83"/>
        <v>0</v>
      </c>
    </row>
    <row r="453" spans="1:19">
      <c r="A453" s="944"/>
      <c r="B453" s="131"/>
      <c r="C453" s="52">
        <f t="shared" si="74"/>
        <v>1</v>
      </c>
      <c r="D453" s="942"/>
      <c r="E453" s="52">
        <f t="shared" si="75"/>
        <v>2.5000000000000001E-2</v>
      </c>
      <c r="F453" s="942"/>
      <c r="G453" s="52">
        <f t="shared" si="76"/>
        <v>0.12</v>
      </c>
      <c r="H453" s="942"/>
      <c r="I453" s="52">
        <f t="shared" si="77"/>
        <v>1</v>
      </c>
      <c r="J453" s="942"/>
      <c r="K453" s="52">
        <f t="shared" si="78"/>
        <v>1</v>
      </c>
      <c r="L453" s="942"/>
      <c r="M453" s="52">
        <f t="shared" si="79"/>
        <v>1</v>
      </c>
      <c r="N453" s="942"/>
      <c r="O453" s="52">
        <f t="shared" si="80"/>
        <v>1</v>
      </c>
      <c r="P453" s="942"/>
      <c r="Q453" s="52">
        <f t="shared" si="81"/>
        <v>0</v>
      </c>
      <c r="R453" s="470">
        <f t="shared" si="82"/>
        <v>0</v>
      </c>
      <c r="S453" s="779">
        <f t="shared" si="83"/>
        <v>0</v>
      </c>
    </row>
    <row r="454" spans="1:19">
      <c r="A454" s="944"/>
      <c r="B454" s="131"/>
      <c r="C454" s="52">
        <f t="shared" si="74"/>
        <v>1</v>
      </c>
      <c r="D454" s="942"/>
      <c r="E454" s="52">
        <f t="shared" si="75"/>
        <v>2.5000000000000001E-2</v>
      </c>
      <c r="F454" s="942"/>
      <c r="G454" s="52">
        <f t="shared" si="76"/>
        <v>0.12</v>
      </c>
      <c r="H454" s="942"/>
      <c r="I454" s="52">
        <f t="shared" si="77"/>
        <v>1</v>
      </c>
      <c r="J454" s="942"/>
      <c r="K454" s="52">
        <f t="shared" si="78"/>
        <v>1</v>
      </c>
      <c r="L454" s="942"/>
      <c r="M454" s="52">
        <f t="shared" si="79"/>
        <v>1</v>
      </c>
      <c r="N454" s="942"/>
      <c r="O454" s="52">
        <f t="shared" si="80"/>
        <v>1</v>
      </c>
      <c r="P454" s="942"/>
      <c r="Q454" s="52">
        <f t="shared" si="81"/>
        <v>0</v>
      </c>
      <c r="R454" s="470">
        <f t="shared" si="82"/>
        <v>0</v>
      </c>
      <c r="S454" s="779">
        <f t="shared" si="83"/>
        <v>0</v>
      </c>
    </row>
    <row r="455" spans="1:19">
      <c r="A455" s="944"/>
      <c r="B455" s="131"/>
      <c r="C455" s="52">
        <f t="shared" si="74"/>
        <v>1</v>
      </c>
      <c r="D455" s="942"/>
      <c r="E455" s="52">
        <f t="shared" si="75"/>
        <v>2.5000000000000001E-2</v>
      </c>
      <c r="F455" s="942"/>
      <c r="G455" s="52">
        <f t="shared" si="76"/>
        <v>0.12</v>
      </c>
      <c r="H455" s="942"/>
      <c r="I455" s="52">
        <f t="shared" si="77"/>
        <v>1</v>
      </c>
      <c r="J455" s="942"/>
      <c r="K455" s="52">
        <f t="shared" si="78"/>
        <v>1</v>
      </c>
      <c r="L455" s="942"/>
      <c r="M455" s="52">
        <f t="shared" si="79"/>
        <v>1</v>
      </c>
      <c r="N455" s="942"/>
      <c r="O455" s="52">
        <f t="shared" si="80"/>
        <v>1</v>
      </c>
      <c r="P455" s="942"/>
      <c r="Q455" s="52">
        <f t="shared" si="81"/>
        <v>0</v>
      </c>
      <c r="R455" s="470">
        <f t="shared" si="82"/>
        <v>0</v>
      </c>
      <c r="S455" s="779">
        <f t="shared" si="83"/>
        <v>0</v>
      </c>
    </row>
    <row r="456" spans="1:19">
      <c r="A456" s="944"/>
      <c r="B456" s="131"/>
      <c r="C456" s="52">
        <f t="shared" si="74"/>
        <v>1</v>
      </c>
      <c r="D456" s="942"/>
      <c r="E456" s="52">
        <f t="shared" si="75"/>
        <v>2.5000000000000001E-2</v>
      </c>
      <c r="F456" s="942"/>
      <c r="G456" s="52">
        <f t="shared" si="76"/>
        <v>0.12</v>
      </c>
      <c r="H456" s="942"/>
      <c r="I456" s="52">
        <f t="shared" si="77"/>
        <v>1</v>
      </c>
      <c r="J456" s="942"/>
      <c r="K456" s="52">
        <f t="shared" si="78"/>
        <v>1</v>
      </c>
      <c r="L456" s="942"/>
      <c r="M456" s="52">
        <f t="shared" si="79"/>
        <v>1</v>
      </c>
      <c r="N456" s="942"/>
      <c r="O456" s="52">
        <f t="shared" si="80"/>
        <v>1</v>
      </c>
      <c r="P456" s="942"/>
      <c r="Q456" s="52">
        <f t="shared" si="81"/>
        <v>0</v>
      </c>
      <c r="R456" s="470">
        <f t="shared" si="82"/>
        <v>0</v>
      </c>
      <c r="S456" s="779">
        <f t="shared" si="83"/>
        <v>0</v>
      </c>
    </row>
    <row r="457" spans="1:19">
      <c r="A457" s="944"/>
      <c r="B457" s="131"/>
      <c r="C457" s="52">
        <f t="shared" si="74"/>
        <v>1</v>
      </c>
      <c r="D457" s="942"/>
      <c r="E457" s="52">
        <f t="shared" si="75"/>
        <v>2.5000000000000001E-2</v>
      </c>
      <c r="F457" s="942"/>
      <c r="G457" s="52">
        <f t="shared" si="76"/>
        <v>0.12</v>
      </c>
      <c r="H457" s="942"/>
      <c r="I457" s="52">
        <f t="shared" si="77"/>
        <v>1</v>
      </c>
      <c r="J457" s="942"/>
      <c r="K457" s="52">
        <f t="shared" si="78"/>
        <v>1</v>
      </c>
      <c r="L457" s="942"/>
      <c r="M457" s="52">
        <f t="shared" si="79"/>
        <v>1</v>
      </c>
      <c r="N457" s="942"/>
      <c r="O457" s="52">
        <f t="shared" si="80"/>
        <v>1</v>
      </c>
      <c r="P457" s="942"/>
      <c r="Q457" s="52">
        <f t="shared" si="81"/>
        <v>0</v>
      </c>
      <c r="R457" s="470">
        <f t="shared" si="82"/>
        <v>0</v>
      </c>
      <c r="S457" s="779">
        <f t="shared" si="83"/>
        <v>0</v>
      </c>
    </row>
    <row r="458" spans="1:19">
      <c r="A458" s="944"/>
      <c r="B458" s="131"/>
      <c r="C458" s="52">
        <f t="shared" si="74"/>
        <v>1</v>
      </c>
      <c r="D458" s="942"/>
      <c r="E458" s="52">
        <f t="shared" si="75"/>
        <v>2.5000000000000001E-2</v>
      </c>
      <c r="F458" s="942"/>
      <c r="G458" s="52">
        <f t="shared" si="76"/>
        <v>0.12</v>
      </c>
      <c r="H458" s="942"/>
      <c r="I458" s="52">
        <f t="shared" si="77"/>
        <v>1</v>
      </c>
      <c r="J458" s="942"/>
      <c r="K458" s="52">
        <f t="shared" si="78"/>
        <v>1</v>
      </c>
      <c r="L458" s="942"/>
      <c r="M458" s="52">
        <f t="shared" si="79"/>
        <v>1</v>
      </c>
      <c r="N458" s="942"/>
      <c r="O458" s="52">
        <f t="shared" si="80"/>
        <v>1</v>
      </c>
      <c r="P458" s="942"/>
      <c r="Q458" s="52">
        <f t="shared" si="81"/>
        <v>0</v>
      </c>
      <c r="R458" s="470">
        <f t="shared" si="82"/>
        <v>0</v>
      </c>
      <c r="S458" s="779">
        <f t="shared" si="83"/>
        <v>0</v>
      </c>
    </row>
    <row r="459" spans="1:19">
      <c r="A459" s="944"/>
      <c r="B459" s="131"/>
      <c r="C459" s="52">
        <f t="shared" si="74"/>
        <v>1</v>
      </c>
      <c r="D459" s="942"/>
      <c r="E459" s="52">
        <f t="shared" si="75"/>
        <v>2.5000000000000001E-2</v>
      </c>
      <c r="F459" s="942"/>
      <c r="G459" s="52">
        <f t="shared" si="76"/>
        <v>0.12</v>
      </c>
      <c r="H459" s="942"/>
      <c r="I459" s="52">
        <f t="shared" si="77"/>
        <v>1</v>
      </c>
      <c r="J459" s="942"/>
      <c r="K459" s="52">
        <f t="shared" si="78"/>
        <v>1</v>
      </c>
      <c r="L459" s="942"/>
      <c r="M459" s="52">
        <f t="shared" si="79"/>
        <v>1</v>
      </c>
      <c r="N459" s="942"/>
      <c r="O459" s="52">
        <f t="shared" si="80"/>
        <v>1</v>
      </c>
      <c r="P459" s="942"/>
      <c r="Q459" s="52">
        <f t="shared" si="81"/>
        <v>0</v>
      </c>
      <c r="R459" s="470">
        <f t="shared" si="82"/>
        <v>0</v>
      </c>
      <c r="S459" s="779">
        <f t="shared" si="83"/>
        <v>0</v>
      </c>
    </row>
    <row r="460" spans="1:19">
      <c r="A460" s="944"/>
      <c r="B460" s="131"/>
      <c r="C460" s="52">
        <f t="shared" si="74"/>
        <v>1</v>
      </c>
      <c r="D460" s="942"/>
      <c r="E460" s="52">
        <f t="shared" si="75"/>
        <v>2.5000000000000001E-2</v>
      </c>
      <c r="F460" s="942"/>
      <c r="G460" s="52">
        <f t="shared" si="76"/>
        <v>0.12</v>
      </c>
      <c r="H460" s="942"/>
      <c r="I460" s="52">
        <f t="shared" si="77"/>
        <v>1</v>
      </c>
      <c r="J460" s="942"/>
      <c r="K460" s="52">
        <f t="shared" si="78"/>
        <v>1</v>
      </c>
      <c r="L460" s="942"/>
      <c r="M460" s="52">
        <f t="shared" si="79"/>
        <v>1</v>
      </c>
      <c r="N460" s="942"/>
      <c r="O460" s="52">
        <f t="shared" si="80"/>
        <v>1</v>
      </c>
      <c r="P460" s="942"/>
      <c r="Q460" s="52">
        <f t="shared" si="81"/>
        <v>0</v>
      </c>
      <c r="R460" s="470">
        <f t="shared" si="82"/>
        <v>0</v>
      </c>
      <c r="S460" s="779">
        <f t="shared" si="83"/>
        <v>0</v>
      </c>
    </row>
    <row r="461" spans="1:19">
      <c r="A461" s="944"/>
      <c r="B461" s="131"/>
      <c r="C461" s="52">
        <f t="shared" si="74"/>
        <v>1</v>
      </c>
      <c r="D461" s="942"/>
      <c r="E461" s="52">
        <f t="shared" si="75"/>
        <v>2.5000000000000001E-2</v>
      </c>
      <c r="F461" s="942"/>
      <c r="G461" s="52">
        <f t="shared" si="76"/>
        <v>0.12</v>
      </c>
      <c r="H461" s="942"/>
      <c r="I461" s="52">
        <f t="shared" si="77"/>
        <v>1</v>
      </c>
      <c r="J461" s="942"/>
      <c r="K461" s="52">
        <f t="shared" si="78"/>
        <v>1</v>
      </c>
      <c r="L461" s="942"/>
      <c r="M461" s="52">
        <f t="shared" si="79"/>
        <v>1</v>
      </c>
      <c r="N461" s="942"/>
      <c r="O461" s="52">
        <f t="shared" si="80"/>
        <v>1</v>
      </c>
      <c r="P461" s="942"/>
      <c r="Q461" s="52">
        <f t="shared" si="81"/>
        <v>0</v>
      </c>
      <c r="R461" s="470">
        <f t="shared" si="82"/>
        <v>0</v>
      </c>
      <c r="S461" s="779">
        <f t="shared" si="83"/>
        <v>0</v>
      </c>
    </row>
    <row r="462" spans="1:19">
      <c r="A462" s="944"/>
      <c r="B462" s="131"/>
      <c r="C462" s="52">
        <f t="shared" si="74"/>
        <v>1</v>
      </c>
      <c r="D462" s="942"/>
      <c r="E462" s="52">
        <f t="shared" si="75"/>
        <v>2.5000000000000001E-2</v>
      </c>
      <c r="F462" s="942"/>
      <c r="G462" s="52">
        <f t="shared" si="76"/>
        <v>0.12</v>
      </c>
      <c r="H462" s="942"/>
      <c r="I462" s="52">
        <f t="shared" si="77"/>
        <v>1</v>
      </c>
      <c r="J462" s="942"/>
      <c r="K462" s="52">
        <f t="shared" si="78"/>
        <v>1</v>
      </c>
      <c r="L462" s="942"/>
      <c r="M462" s="52">
        <f t="shared" si="79"/>
        <v>1</v>
      </c>
      <c r="N462" s="942"/>
      <c r="O462" s="52">
        <f t="shared" si="80"/>
        <v>1</v>
      </c>
      <c r="P462" s="942"/>
      <c r="Q462" s="52">
        <f t="shared" si="81"/>
        <v>0</v>
      </c>
      <c r="R462" s="470">
        <f t="shared" si="82"/>
        <v>0</v>
      </c>
      <c r="S462" s="779">
        <f t="shared" si="83"/>
        <v>0</v>
      </c>
    </row>
    <row r="463" spans="1:19">
      <c r="A463" s="944"/>
      <c r="B463" s="131"/>
      <c r="C463" s="52">
        <f t="shared" si="74"/>
        <v>1</v>
      </c>
      <c r="D463" s="942"/>
      <c r="E463" s="52">
        <f t="shared" si="75"/>
        <v>2.5000000000000001E-2</v>
      </c>
      <c r="F463" s="942"/>
      <c r="G463" s="52">
        <f t="shared" si="76"/>
        <v>0.12</v>
      </c>
      <c r="H463" s="942"/>
      <c r="I463" s="52">
        <f t="shared" si="77"/>
        <v>1</v>
      </c>
      <c r="J463" s="942"/>
      <c r="K463" s="52">
        <f t="shared" si="78"/>
        <v>1</v>
      </c>
      <c r="L463" s="942"/>
      <c r="M463" s="52">
        <f t="shared" si="79"/>
        <v>1</v>
      </c>
      <c r="N463" s="942"/>
      <c r="O463" s="52">
        <f t="shared" si="80"/>
        <v>1</v>
      </c>
      <c r="P463" s="942"/>
      <c r="Q463" s="52">
        <f t="shared" si="81"/>
        <v>0</v>
      </c>
      <c r="R463" s="470">
        <f t="shared" si="82"/>
        <v>0</v>
      </c>
      <c r="S463" s="779">
        <f t="shared" si="83"/>
        <v>0</v>
      </c>
    </row>
    <row r="464" spans="1:19">
      <c r="A464" s="944"/>
      <c r="B464" s="131"/>
      <c r="C464" s="52">
        <f t="shared" si="74"/>
        <v>1</v>
      </c>
      <c r="D464" s="942"/>
      <c r="E464" s="52">
        <f t="shared" si="75"/>
        <v>2.5000000000000001E-2</v>
      </c>
      <c r="F464" s="942"/>
      <c r="G464" s="52">
        <f t="shared" si="76"/>
        <v>0.12</v>
      </c>
      <c r="H464" s="942"/>
      <c r="I464" s="52">
        <f t="shared" si="77"/>
        <v>1</v>
      </c>
      <c r="J464" s="942"/>
      <c r="K464" s="52">
        <f t="shared" si="78"/>
        <v>1</v>
      </c>
      <c r="L464" s="942"/>
      <c r="M464" s="52">
        <f t="shared" si="79"/>
        <v>1</v>
      </c>
      <c r="N464" s="942"/>
      <c r="O464" s="52">
        <f t="shared" si="80"/>
        <v>1</v>
      </c>
      <c r="P464" s="942"/>
      <c r="Q464" s="52">
        <f t="shared" si="81"/>
        <v>0</v>
      </c>
      <c r="R464" s="470">
        <f t="shared" si="82"/>
        <v>0</v>
      </c>
      <c r="S464" s="779">
        <f t="shared" si="83"/>
        <v>0</v>
      </c>
    </row>
    <row r="465" spans="1:19">
      <c r="A465" s="944"/>
      <c r="B465" s="131"/>
      <c r="C465" s="52">
        <f t="shared" si="74"/>
        <v>1</v>
      </c>
      <c r="D465" s="942"/>
      <c r="E465" s="52">
        <f t="shared" si="75"/>
        <v>2.5000000000000001E-2</v>
      </c>
      <c r="F465" s="942"/>
      <c r="G465" s="52">
        <f t="shared" si="76"/>
        <v>0.12</v>
      </c>
      <c r="H465" s="942"/>
      <c r="I465" s="52">
        <f t="shared" si="77"/>
        <v>1</v>
      </c>
      <c r="J465" s="942"/>
      <c r="K465" s="52">
        <f t="shared" si="78"/>
        <v>1</v>
      </c>
      <c r="L465" s="942"/>
      <c r="M465" s="52">
        <f t="shared" si="79"/>
        <v>1</v>
      </c>
      <c r="N465" s="942"/>
      <c r="O465" s="52">
        <f t="shared" si="80"/>
        <v>1</v>
      </c>
      <c r="P465" s="942"/>
      <c r="Q465" s="52">
        <f t="shared" si="81"/>
        <v>0</v>
      </c>
      <c r="R465" s="470">
        <f t="shared" si="82"/>
        <v>0</v>
      </c>
      <c r="S465" s="779">
        <f t="shared" si="83"/>
        <v>0</v>
      </c>
    </row>
    <row r="466" spans="1:19">
      <c r="A466" s="944"/>
      <c r="B466" s="131"/>
      <c r="C466" s="52">
        <f t="shared" si="74"/>
        <v>1</v>
      </c>
      <c r="D466" s="942"/>
      <c r="E466" s="52">
        <f t="shared" si="75"/>
        <v>2.5000000000000001E-2</v>
      </c>
      <c r="F466" s="942"/>
      <c r="G466" s="52">
        <f t="shared" si="76"/>
        <v>0.12</v>
      </c>
      <c r="H466" s="942"/>
      <c r="I466" s="52">
        <f t="shared" si="77"/>
        <v>1</v>
      </c>
      <c r="J466" s="942"/>
      <c r="K466" s="52">
        <f t="shared" si="78"/>
        <v>1</v>
      </c>
      <c r="L466" s="942"/>
      <c r="M466" s="52">
        <f t="shared" si="79"/>
        <v>1</v>
      </c>
      <c r="N466" s="942"/>
      <c r="O466" s="52">
        <f t="shared" si="80"/>
        <v>1</v>
      </c>
      <c r="P466" s="942"/>
      <c r="Q466" s="52">
        <f t="shared" si="81"/>
        <v>0</v>
      </c>
      <c r="R466" s="470">
        <f t="shared" si="82"/>
        <v>0</v>
      </c>
      <c r="S466" s="779">
        <f t="shared" si="83"/>
        <v>0</v>
      </c>
    </row>
    <row r="467" spans="1:19">
      <c r="A467" s="944"/>
      <c r="B467" s="131"/>
      <c r="C467" s="52">
        <f t="shared" si="74"/>
        <v>1</v>
      </c>
      <c r="D467" s="942"/>
      <c r="E467" s="52">
        <f t="shared" si="75"/>
        <v>2.5000000000000001E-2</v>
      </c>
      <c r="F467" s="942"/>
      <c r="G467" s="52">
        <f t="shared" si="76"/>
        <v>0.12</v>
      </c>
      <c r="H467" s="942"/>
      <c r="I467" s="52">
        <f t="shared" si="77"/>
        <v>1</v>
      </c>
      <c r="J467" s="942"/>
      <c r="K467" s="52">
        <f t="shared" si="78"/>
        <v>1</v>
      </c>
      <c r="L467" s="942"/>
      <c r="M467" s="52">
        <f t="shared" si="79"/>
        <v>1</v>
      </c>
      <c r="N467" s="942"/>
      <c r="O467" s="52">
        <f t="shared" si="80"/>
        <v>1</v>
      </c>
      <c r="P467" s="942"/>
      <c r="Q467" s="52">
        <f t="shared" si="81"/>
        <v>0</v>
      </c>
      <c r="R467" s="470">
        <f t="shared" si="82"/>
        <v>0</v>
      </c>
      <c r="S467" s="779">
        <f t="shared" si="83"/>
        <v>0</v>
      </c>
    </row>
    <row r="468" spans="1:19">
      <c r="A468" s="944"/>
      <c r="B468" s="131"/>
      <c r="C468" s="52">
        <f t="shared" si="74"/>
        <v>1</v>
      </c>
      <c r="D468" s="942"/>
      <c r="E468" s="52">
        <f t="shared" si="75"/>
        <v>2.5000000000000001E-2</v>
      </c>
      <c r="F468" s="942"/>
      <c r="G468" s="52">
        <f t="shared" si="76"/>
        <v>0.12</v>
      </c>
      <c r="H468" s="942"/>
      <c r="I468" s="52">
        <f t="shared" si="77"/>
        <v>1</v>
      </c>
      <c r="J468" s="942"/>
      <c r="K468" s="52">
        <f t="shared" si="78"/>
        <v>1</v>
      </c>
      <c r="L468" s="942"/>
      <c r="M468" s="52">
        <f t="shared" si="79"/>
        <v>1</v>
      </c>
      <c r="N468" s="942"/>
      <c r="O468" s="52">
        <f t="shared" si="80"/>
        <v>1</v>
      </c>
      <c r="P468" s="942"/>
      <c r="Q468" s="52">
        <f t="shared" si="81"/>
        <v>0</v>
      </c>
      <c r="R468" s="470">
        <f t="shared" si="82"/>
        <v>0</v>
      </c>
      <c r="S468" s="779">
        <f t="shared" ref="S468:S497" si="84">ROUND(R468*B468/10000,0)</f>
        <v>0</v>
      </c>
    </row>
    <row r="469" spans="1:19">
      <c r="A469" s="944"/>
      <c r="B469" s="131"/>
      <c r="C469" s="52">
        <f t="shared" si="74"/>
        <v>1</v>
      </c>
      <c r="D469" s="942"/>
      <c r="E469" s="52">
        <f t="shared" si="75"/>
        <v>2.5000000000000001E-2</v>
      </c>
      <c r="F469" s="942"/>
      <c r="G469" s="52">
        <f t="shared" si="76"/>
        <v>0.12</v>
      </c>
      <c r="H469" s="942"/>
      <c r="I469" s="52">
        <f t="shared" si="77"/>
        <v>1</v>
      </c>
      <c r="J469" s="942"/>
      <c r="K469" s="52">
        <f t="shared" si="78"/>
        <v>1</v>
      </c>
      <c r="L469" s="942"/>
      <c r="M469" s="52">
        <f t="shared" si="79"/>
        <v>1</v>
      </c>
      <c r="N469" s="942"/>
      <c r="O469" s="52">
        <f t="shared" si="80"/>
        <v>1</v>
      </c>
      <c r="P469" s="942"/>
      <c r="Q469" s="52">
        <f t="shared" si="81"/>
        <v>0</v>
      </c>
      <c r="R469" s="470">
        <f t="shared" si="82"/>
        <v>0</v>
      </c>
      <c r="S469" s="779">
        <f t="shared" si="84"/>
        <v>0</v>
      </c>
    </row>
    <row r="470" spans="1:19">
      <c r="A470" s="944"/>
      <c r="B470" s="131"/>
      <c r="C470" s="52">
        <f t="shared" si="74"/>
        <v>1</v>
      </c>
      <c r="D470" s="942"/>
      <c r="E470" s="52">
        <f t="shared" si="75"/>
        <v>2.5000000000000001E-2</v>
      </c>
      <c r="F470" s="942"/>
      <c r="G470" s="52">
        <f t="shared" si="76"/>
        <v>0.12</v>
      </c>
      <c r="H470" s="942"/>
      <c r="I470" s="52">
        <f t="shared" si="77"/>
        <v>1</v>
      </c>
      <c r="J470" s="942"/>
      <c r="K470" s="52">
        <f t="shared" si="78"/>
        <v>1</v>
      </c>
      <c r="L470" s="942"/>
      <c r="M470" s="52">
        <f t="shared" si="79"/>
        <v>1</v>
      </c>
      <c r="N470" s="942"/>
      <c r="O470" s="52">
        <f t="shared" si="80"/>
        <v>1</v>
      </c>
      <c r="P470" s="942"/>
      <c r="Q470" s="52">
        <f t="shared" si="81"/>
        <v>0</v>
      </c>
      <c r="R470" s="470">
        <f t="shared" si="82"/>
        <v>0</v>
      </c>
      <c r="S470" s="779">
        <f t="shared" si="84"/>
        <v>0</v>
      </c>
    </row>
    <row r="471" spans="1:19">
      <c r="A471" s="944"/>
      <c r="B471" s="131"/>
      <c r="C471" s="52">
        <f t="shared" si="74"/>
        <v>1</v>
      </c>
      <c r="D471" s="942"/>
      <c r="E471" s="52">
        <f t="shared" si="75"/>
        <v>2.5000000000000001E-2</v>
      </c>
      <c r="F471" s="942"/>
      <c r="G471" s="52">
        <f t="shared" si="76"/>
        <v>0.12</v>
      </c>
      <c r="H471" s="942"/>
      <c r="I471" s="52">
        <f t="shared" si="77"/>
        <v>1</v>
      </c>
      <c r="J471" s="942"/>
      <c r="K471" s="52">
        <f t="shared" si="78"/>
        <v>1</v>
      </c>
      <c r="L471" s="942"/>
      <c r="M471" s="52">
        <f t="shared" si="79"/>
        <v>1</v>
      </c>
      <c r="N471" s="942"/>
      <c r="O471" s="52">
        <f t="shared" si="80"/>
        <v>1</v>
      </c>
      <c r="P471" s="942"/>
      <c r="Q471" s="52">
        <f t="shared" si="81"/>
        <v>0</v>
      </c>
      <c r="R471" s="470">
        <f t="shared" si="82"/>
        <v>0</v>
      </c>
      <c r="S471" s="779">
        <f t="shared" si="84"/>
        <v>0</v>
      </c>
    </row>
    <row r="472" spans="1:19">
      <c r="A472" s="944"/>
      <c r="B472" s="131"/>
      <c r="C472" s="52">
        <f t="shared" si="74"/>
        <v>1</v>
      </c>
      <c r="D472" s="942"/>
      <c r="E472" s="52">
        <f t="shared" si="75"/>
        <v>2.5000000000000001E-2</v>
      </c>
      <c r="F472" s="942"/>
      <c r="G472" s="52">
        <f t="shared" si="76"/>
        <v>0.12</v>
      </c>
      <c r="H472" s="942"/>
      <c r="I472" s="52">
        <f t="shared" si="77"/>
        <v>1</v>
      </c>
      <c r="J472" s="942"/>
      <c r="K472" s="52">
        <f t="shared" si="78"/>
        <v>1</v>
      </c>
      <c r="L472" s="942"/>
      <c r="M472" s="52">
        <f t="shared" si="79"/>
        <v>1</v>
      </c>
      <c r="N472" s="942"/>
      <c r="O472" s="52">
        <f t="shared" si="80"/>
        <v>1</v>
      </c>
      <c r="P472" s="942"/>
      <c r="Q472" s="52">
        <f t="shared" si="81"/>
        <v>0</v>
      </c>
      <c r="R472" s="470">
        <f t="shared" si="82"/>
        <v>0</v>
      </c>
      <c r="S472" s="779">
        <f t="shared" si="84"/>
        <v>0</v>
      </c>
    </row>
    <row r="473" spans="1:19">
      <c r="A473" s="944"/>
      <c r="B473" s="131"/>
      <c r="C473" s="52">
        <f t="shared" si="74"/>
        <v>1</v>
      </c>
      <c r="D473" s="942"/>
      <c r="E473" s="52">
        <f t="shared" si="75"/>
        <v>2.5000000000000001E-2</v>
      </c>
      <c r="F473" s="942"/>
      <c r="G473" s="52">
        <f t="shared" si="76"/>
        <v>0.12</v>
      </c>
      <c r="H473" s="942"/>
      <c r="I473" s="52">
        <f t="shared" si="77"/>
        <v>1</v>
      </c>
      <c r="J473" s="942"/>
      <c r="K473" s="52">
        <f t="shared" si="78"/>
        <v>1</v>
      </c>
      <c r="L473" s="942"/>
      <c r="M473" s="52">
        <f t="shared" si="79"/>
        <v>1</v>
      </c>
      <c r="N473" s="942"/>
      <c r="O473" s="52">
        <f t="shared" si="80"/>
        <v>1</v>
      </c>
      <c r="P473" s="942"/>
      <c r="Q473" s="52">
        <f t="shared" si="81"/>
        <v>0</v>
      </c>
      <c r="R473" s="470">
        <f t="shared" si="82"/>
        <v>0</v>
      </c>
      <c r="S473" s="779">
        <f t="shared" si="84"/>
        <v>0</v>
      </c>
    </row>
    <row r="474" spans="1:19">
      <c r="A474" s="944"/>
      <c r="B474" s="131"/>
      <c r="C474" s="52">
        <f t="shared" ref="C474:C524" si="85">IF(B474="",1,(LOOKUP(B474,$3:$3,$4:$4)-LOOKUP($B$24,$3:$3,$4:$4)+100)/100)</f>
        <v>1</v>
      </c>
      <c r="D474" s="942"/>
      <c r="E474" s="52">
        <f t="shared" ref="E474:E524" si="86">(SUMIF($5:$5,D474,$6:$6)-SUMIF($5:$5,$D$24,$6:$6)+100)/100</f>
        <v>2.5000000000000001E-2</v>
      </c>
      <c r="F474" s="942"/>
      <c r="G474" s="52">
        <f t="shared" ref="G474:G524" si="87">(SUMIF($7:$7,F474,$8:$8)-SUMIF($7:$7,$F$24,$8:$8)+100)/100</f>
        <v>0.12</v>
      </c>
      <c r="H474" s="942"/>
      <c r="I474" s="52">
        <f t="shared" ref="I474:I524" si="88">(SUMIF($9:$9,H474,$10:$10)-SUMIF($9:$9,$H$24,$10:$10)+100)/100</f>
        <v>1</v>
      </c>
      <c r="J474" s="942"/>
      <c r="K474" s="52">
        <f t="shared" ref="K474:K524" si="89">(SUMIF($11:$11,J474,$12:$12)-SUMIF($11:$11,$J$24,$12:$12)+100)/100</f>
        <v>1</v>
      </c>
      <c r="L474" s="942"/>
      <c r="M474" s="52">
        <f t="shared" ref="M474:M524" si="90">(SUMIF($13:$13,L474,$14:$14)-SUMIF($13:$13,$L$24,$14:$14)+100)/100</f>
        <v>1</v>
      </c>
      <c r="N474" s="942"/>
      <c r="O474" s="52">
        <f t="shared" ref="O474:O524" si="91">(SUMIF($15:$15,N474,$16:$16)-SUMIF($15:$15,$N$24,$16:$16)+100)/100</f>
        <v>1</v>
      </c>
      <c r="P474" s="942"/>
      <c r="Q474" s="52">
        <f t="shared" ref="Q474:Q524" si="92">(SUMIF($17:$17,P474,$18:$18)-SUMIF($17:$17,$P$24,$18:$18)+100)/100</f>
        <v>0</v>
      </c>
      <c r="R474" s="470">
        <f t="shared" ref="R474:R524" si="93">IF(B474="",0,ROUND($R$24*C474*E474*G474*I474*K474*M474*O474*Q474,0))</f>
        <v>0</v>
      </c>
      <c r="S474" s="779">
        <f t="shared" si="84"/>
        <v>0</v>
      </c>
    </row>
    <row r="475" spans="1:19">
      <c r="A475" s="944"/>
      <c r="B475" s="131"/>
      <c r="C475" s="52">
        <f t="shared" si="85"/>
        <v>1</v>
      </c>
      <c r="D475" s="942"/>
      <c r="E475" s="52">
        <f t="shared" si="86"/>
        <v>2.5000000000000001E-2</v>
      </c>
      <c r="F475" s="942"/>
      <c r="G475" s="52">
        <f t="shared" si="87"/>
        <v>0.12</v>
      </c>
      <c r="H475" s="942"/>
      <c r="I475" s="52">
        <f t="shared" si="88"/>
        <v>1</v>
      </c>
      <c r="J475" s="942"/>
      <c r="K475" s="52">
        <f t="shared" si="89"/>
        <v>1</v>
      </c>
      <c r="L475" s="942"/>
      <c r="M475" s="52">
        <f t="shared" si="90"/>
        <v>1</v>
      </c>
      <c r="N475" s="942"/>
      <c r="O475" s="52">
        <f t="shared" si="91"/>
        <v>1</v>
      </c>
      <c r="P475" s="942"/>
      <c r="Q475" s="52">
        <f t="shared" si="92"/>
        <v>0</v>
      </c>
      <c r="R475" s="470">
        <f t="shared" si="93"/>
        <v>0</v>
      </c>
      <c r="S475" s="779">
        <f t="shared" si="84"/>
        <v>0</v>
      </c>
    </row>
    <row r="476" spans="1:19">
      <c r="A476" s="944"/>
      <c r="B476" s="131"/>
      <c r="C476" s="52">
        <f t="shared" si="85"/>
        <v>1</v>
      </c>
      <c r="D476" s="942"/>
      <c r="E476" s="52">
        <f t="shared" si="86"/>
        <v>2.5000000000000001E-2</v>
      </c>
      <c r="F476" s="942"/>
      <c r="G476" s="52">
        <f t="shared" si="87"/>
        <v>0.12</v>
      </c>
      <c r="H476" s="942"/>
      <c r="I476" s="52">
        <f t="shared" si="88"/>
        <v>1</v>
      </c>
      <c r="J476" s="942"/>
      <c r="K476" s="52">
        <f t="shared" si="89"/>
        <v>1</v>
      </c>
      <c r="L476" s="942"/>
      <c r="M476" s="52">
        <f t="shared" si="90"/>
        <v>1</v>
      </c>
      <c r="N476" s="942"/>
      <c r="O476" s="52">
        <f t="shared" si="91"/>
        <v>1</v>
      </c>
      <c r="P476" s="942"/>
      <c r="Q476" s="52">
        <f t="shared" si="92"/>
        <v>0</v>
      </c>
      <c r="R476" s="470">
        <f t="shared" si="93"/>
        <v>0</v>
      </c>
      <c r="S476" s="779">
        <f t="shared" si="84"/>
        <v>0</v>
      </c>
    </row>
    <row r="477" spans="1:19">
      <c r="A477" s="944"/>
      <c r="B477" s="131"/>
      <c r="C477" s="52">
        <f t="shared" si="85"/>
        <v>1</v>
      </c>
      <c r="D477" s="942"/>
      <c r="E477" s="52">
        <f t="shared" si="86"/>
        <v>2.5000000000000001E-2</v>
      </c>
      <c r="F477" s="942"/>
      <c r="G477" s="52">
        <f t="shared" si="87"/>
        <v>0.12</v>
      </c>
      <c r="H477" s="942"/>
      <c r="I477" s="52">
        <f t="shared" si="88"/>
        <v>1</v>
      </c>
      <c r="J477" s="942"/>
      <c r="K477" s="52">
        <f t="shared" si="89"/>
        <v>1</v>
      </c>
      <c r="L477" s="942"/>
      <c r="M477" s="52">
        <f t="shared" si="90"/>
        <v>1</v>
      </c>
      <c r="N477" s="942"/>
      <c r="O477" s="52">
        <f t="shared" si="91"/>
        <v>1</v>
      </c>
      <c r="P477" s="942"/>
      <c r="Q477" s="52">
        <f t="shared" si="92"/>
        <v>0</v>
      </c>
      <c r="R477" s="470">
        <f t="shared" si="93"/>
        <v>0</v>
      </c>
      <c r="S477" s="779">
        <f t="shared" si="84"/>
        <v>0</v>
      </c>
    </row>
    <row r="478" spans="1:19">
      <c r="A478" s="944"/>
      <c r="B478" s="131"/>
      <c r="C478" s="52">
        <f t="shared" si="85"/>
        <v>1</v>
      </c>
      <c r="D478" s="942"/>
      <c r="E478" s="52">
        <f t="shared" si="86"/>
        <v>2.5000000000000001E-2</v>
      </c>
      <c r="F478" s="942"/>
      <c r="G478" s="52">
        <f t="shared" si="87"/>
        <v>0.12</v>
      </c>
      <c r="H478" s="942"/>
      <c r="I478" s="52">
        <f t="shared" si="88"/>
        <v>1</v>
      </c>
      <c r="J478" s="942"/>
      <c r="K478" s="52">
        <f t="shared" si="89"/>
        <v>1</v>
      </c>
      <c r="L478" s="942"/>
      <c r="M478" s="52">
        <f t="shared" si="90"/>
        <v>1</v>
      </c>
      <c r="N478" s="942"/>
      <c r="O478" s="52">
        <f t="shared" si="91"/>
        <v>1</v>
      </c>
      <c r="P478" s="942"/>
      <c r="Q478" s="52">
        <f t="shared" si="92"/>
        <v>0</v>
      </c>
      <c r="R478" s="470">
        <f t="shared" si="93"/>
        <v>0</v>
      </c>
      <c r="S478" s="779">
        <f t="shared" si="84"/>
        <v>0</v>
      </c>
    </row>
    <row r="479" spans="1:19">
      <c r="A479" s="944"/>
      <c r="B479" s="131"/>
      <c r="C479" s="52">
        <f t="shared" si="85"/>
        <v>1</v>
      </c>
      <c r="D479" s="942"/>
      <c r="E479" s="52">
        <f t="shared" si="86"/>
        <v>2.5000000000000001E-2</v>
      </c>
      <c r="F479" s="942"/>
      <c r="G479" s="52">
        <f t="shared" si="87"/>
        <v>0.12</v>
      </c>
      <c r="H479" s="942"/>
      <c r="I479" s="52">
        <f t="shared" si="88"/>
        <v>1</v>
      </c>
      <c r="J479" s="942"/>
      <c r="K479" s="52">
        <f t="shared" si="89"/>
        <v>1</v>
      </c>
      <c r="L479" s="942"/>
      <c r="M479" s="52">
        <f t="shared" si="90"/>
        <v>1</v>
      </c>
      <c r="N479" s="942"/>
      <c r="O479" s="52">
        <f t="shared" si="91"/>
        <v>1</v>
      </c>
      <c r="P479" s="942"/>
      <c r="Q479" s="52">
        <f t="shared" si="92"/>
        <v>0</v>
      </c>
      <c r="R479" s="470">
        <f t="shared" si="93"/>
        <v>0</v>
      </c>
      <c r="S479" s="779">
        <f t="shared" si="84"/>
        <v>0</v>
      </c>
    </row>
    <row r="480" spans="1:19">
      <c r="A480" s="944"/>
      <c r="B480" s="131"/>
      <c r="C480" s="52">
        <f t="shared" si="85"/>
        <v>1</v>
      </c>
      <c r="D480" s="942"/>
      <c r="E480" s="52">
        <f t="shared" si="86"/>
        <v>2.5000000000000001E-2</v>
      </c>
      <c r="F480" s="942"/>
      <c r="G480" s="52">
        <f t="shared" si="87"/>
        <v>0.12</v>
      </c>
      <c r="H480" s="942"/>
      <c r="I480" s="52">
        <f t="shared" si="88"/>
        <v>1</v>
      </c>
      <c r="J480" s="942"/>
      <c r="K480" s="52">
        <f t="shared" si="89"/>
        <v>1</v>
      </c>
      <c r="L480" s="942"/>
      <c r="M480" s="52">
        <f t="shared" si="90"/>
        <v>1</v>
      </c>
      <c r="N480" s="942"/>
      <c r="O480" s="52">
        <f t="shared" si="91"/>
        <v>1</v>
      </c>
      <c r="P480" s="942"/>
      <c r="Q480" s="52">
        <f t="shared" si="92"/>
        <v>0</v>
      </c>
      <c r="R480" s="470">
        <f t="shared" si="93"/>
        <v>0</v>
      </c>
      <c r="S480" s="779">
        <f t="shared" si="84"/>
        <v>0</v>
      </c>
    </row>
    <row r="481" spans="1:19">
      <c r="A481" s="944"/>
      <c r="B481" s="131"/>
      <c r="C481" s="52">
        <f t="shared" si="85"/>
        <v>1</v>
      </c>
      <c r="D481" s="942"/>
      <c r="E481" s="52">
        <f t="shared" si="86"/>
        <v>2.5000000000000001E-2</v>
      </c>
      <c r="F481" s="942"/>
      <c r="G481" s="52">
        <f t="shared" si="87"/>
        <v>0.12</v>
      </c>
      <c r="H481" s="942"/>
      <c r="I481" s="52">
        <f t="shared" si="88"/>
        <v>1</v>
      </c>
      <c r="J481" s="942"/>
      <c r="K481" s="52">
        <f t="shared" si="89"/>
        <v>1</v>
      </c>
      <c r="L481" s="942"/>
      <c r="M481" s="52">
        <f t="shared" si="90"/>
        <v>1</v>
      </c>
      <c r="N481" s="942"/>
      <c r="O481" s="52">
        <f t="shared" si="91"/>
        <v>1</v>
      </c>
      <c r="P481" s="942"/>
      <c r="Q481" s="52">
        <f t="shared" si="92"/>
        <v>0</v>
      </c>
      <c r="R481" s="470">
        <f t="shared" si="93"/>
        <v>0</v>
      </c>
      <c r="S481" s="779">
        <f t="shared" si="84"/>
        <v>0</v>
      </c>
    </row>
    <row r="482" spans="1:19">
      <c r="A482" s="944"/>
      <c r="B482" s="131"/>
      <c r="C482" s="52">
        <f t="shared" si="85"/>
        <v>1</v>
      </c>
      <c r="D482" s="942"/>
      <c r="E482" s="52">
        <f t="shared" si="86"/>
        <v>2.5000000000000001E-2</v>
      </c>
      <c r="F482" s="942"/>
      <c r="G482" s="52">
        <f t="shared" si="87"/>
        <v>0.12</v>
      </c>
      <c r="H482" s="942"/>
      <c r="I482" s="52">
        <f t="shared" si="88"/>
        <v>1</v>
      </c>
      <c r="J482" s="942"/>
      <c r="K482" s="52">
        <f t="shared" si="89"/>
        <v>1</v>
      </c>
      <c r="L482" s="942"/>
      <c r="M482" s="52">
        <f t="shared" si="90"/>
        <v>1</v>
      </c>
      <c r="N482" s="942"/>
      <c r="O482" s="52">
        <f t="shared" si="91"/>
        <v>1</v>
      </c>
      <c r="P482" s="942"/>
      <c r="Q482" s="52">
        <f t="shared" si="92"/>
        <v>0</v>
      </c>
      <c r="R482" s="470">
        <f t="shared" si="93"/>
        <v>0</v>
      </c>
      <c r="S482" s="779">
        <f t="shared" si="84"/>
        <v>0</v>
      </c>
    </row>
    <row r="483" spans="1:19">
      <c r="A483" s="944"/>
      <c r="B483" s="131"/>
      <c r="C483" s="52">
        <f t="shared" si="85"/>
        <v>1</v>
      </c>
      <c r="D483" s="942"/>
      <c r="E483" s="52">
        <f t="shared" si="86"/>
        <v>2.5000000000000001E-2</v>
      </c>
      <c r="F483" s="942"/>
      <c r="G483" s="52">
        <f t="shared" si="87"/>
        <v>0.12</v>
      </c>
      <c r="H483" s="942"/>
      <c r="I483" s="52">
        <f t="shared" si="88"/>
        <v>1</v>
      </c>
      <c r="J483" s="942"/>
      <c r="K483" s="52">
        <f t="shared" si="89"/>
        <v>1</v>
      </c>
      <c r="L483" s="942"/>
      <c r="M483" s="52">
        <f t="shared" si="90"/>
        <v>1</v>
      </c>
      <c r="N483" s="942"/>
      <c r="O483" s="52">
        <f t="shared" si="91"/>
        <v>1</v>
      </c>
      <c r="P483" s="942"/>
      <c r="Q483" s="52">
        <f t="shared" si="92"/>
        <v>0</v>
      </c>
      <c r="R483" s="470">
        <f t="shared" si="93"/>
        <v>0</v>
      </c>
      <c r="S483" s="779">
        <f t="shared" si="84"/>
        <v>0</v>
      </c>
    </row>
    <row r="484" spans="1:19">
      <c r="A484" s="944"/>
      <c r="B484" s="131"/>
      <c r="C484" s="52">
        <f t="shared" si="85"/>
        <v>1</v>
      </c>
      <c r="D484" s="942"/>
      <c r="E484" s="52">
        <f t="shared" si="86"/>
        <v>2.5000000000000001E-2</v>
      </c>
      <c r="F484" s="942"/>
      <c r="G484" s="52">
        <f t="shared" si="87"/>
        <v>0.12</v>
      </c>
      <c r="H484" s="942"/>
      <c r="I484" s="52">
        <f t="shared" si="88"/>
        <v>1</v>
      </c>
      <c r="J484" s="942"/>
      <c r="K484" s="52">
        <f t="shared" si="89"/>
        <v>1</v>
      </c>
      <c r="L484" s="942"/>
      <c r="M484" s="52">
        <f t="shared" si="90"/>
        <v>1</v>
      </c>
      <c r="N484" s="942"/>
      <c r="O484" s="52">
        <f t="shared" si="91"/>
        <v>1</v>
      </c>
      <c r="P484" s="942"/>
      <c r="Q484" s="52">
        <f t="shared" si="92"/>
        <v>0</v>
      </c>
      <c r="R484" s="470">
        <f t="shared" si="93"/>
        <v>0</v>
      </c>
      <c r="S484" s="779">
        <f t="shared" si="84"/>
        <v>0</v>
      </c>
    </row>
    <row r="485" spans="1:19">
      <c r="A485" s="944"/>
      <c r="B485" s="131"/>
      <c r="C485" s="52">
        <f t="shared" si="85"/>
        <v>1</v>
      </c>
      <c r="D485" s="942"/>
      <c r="E485" s="52">
        <f t="shared" si="86"/>
        <v>2.5000000000000001E-2</v>
      </c>
      <c r="F485" s="942"/>
      <c r="G485" s="52">
        <f t="shared" si="87"/>
        <v>0.12</v>
      </c>
      <c r="H485" s="942"/>
      <c r="I485" s="52">
        <f t="shared" si="88"/>
        <v>1</v>
      </c>
      <c r="J485" s="942"/>
      <c r="K485" s="52">
        <f t="shared" si="89"/>
        <v>1</v>
      </c>
      <c r="L485" s="942"/>
      <c r="M485" s="52">
        <f t="shared" si="90"/>
        <v>1</v>
      </c>
      <c r="N485" s="942"/>
      <c r="O485" s="52">
        <f t="shared" si="91"/>
        <v>1</v>
      </c>
      <c r="P485" s="942"/>
      <c r="Q485" s="52">
        <f t="shared" si="92"/>
        <v>0</v>
      </c>
      <c r="R485" s="470">
        <f t="shared" si="93"/>
        <v>0</v>
      </c>
      <c r="S485" s="779">
        <f t="shared" si="84"/>
        <v>0</v>
      </c>
    </row>
    <row r="486" spans="1:19">
      <c r="A486" s="944"/>
      <c r="B486" s="131"/>
      <c r="C486" s="52">
        <f t="shared" si="85"/>
        <v>1</v>
      </c>
      <c r="D486" s="942"/>
      <c r="E486" s="52">
        <f t="shared" si="86"/>
        <v>2.5000000000000001E-2</v>
      </c>
      <c r="F486" s="942"/>
      <c r="G486" s="52">
        <f t="shared" si="87"/>
        <v>0.12</v>
      </c>
      <c r="H486" s="942"/>
      <c r="I486" s="52">
        <f t="shared" si="88"/>
        <v>1</v>
      </c>
      <c r="J486" s="942"/>
      <c r="K486" s="52">
        <f t="shared" si="89"/>
        <v>1</v>
      </c>
      <c r="L486" s="942"/>
      <c r="M486" s="52">
        <f t="shared" si="90"/>
        <v>1</v>
      </c>
      <c r="N486" s="942"/>
      <c r="O486" s="52">
        <f t="shared" si="91"/>
        <v>1</v>
      </c>
      <c r="P486" s="942"/>
      <c r="Q486" s="52">
        <f t="shared" si="92"/>
        <v>0</v>
      </c>
      <c r="R486" s="470">
        <f t="shared" si="93"/>
        <v>0</v>
      </c>
      <c r="S486" s="779">
        <f t="shared" si="84"/>
        <v>0</v>
      </c>
    </row>
    <row r="487" spans="1:19">
      <c r="A487" s="944"/>
      <c r="B487" s="131"/>
      <c r="C487" s="52">
        <f t="shared" si="85"/>
        <v>1</v>
      </c>
      <c r="D487" s="942"/>
      <c r="E487" s="52">
        <f t="shared" si="86"/>
        <v>2.5000000000000001E-2</v>
      </c>
      <c r="F487" s="942"/>
      <c r="G487" s="52">
        <f t="shared" si="87"/>
        <v>0.12</v>
      </c>
      <c r="H487" s="942"/>
      <c r="I487" s="52">
        <f t="shared" si="88"/>
        <v>1</v>
      </c>
      <c r="J487" s="942"/>
      <c r="K487" s="52">
        <f t="shared" si="89"/>
        <v>1</v>
      </c>
      <c r="L487" s="942"/>
      <c r="M487" s="52">
        <f t="shared" si="90"/>
        <v>1</v>
      </c>
      <c r="N487" s="942"/>
      <c r="O487" s="52">
        <f t="shared" si="91"/>
        <v>1</v>
      </c>
      <c r="P487" s="942"/>
      <c r="Q487" s="52">
        <f t="shared" si="92"/>
        <v>0</v>
      </c>
      <c r="R487" s="470">
        <f t="shared" si="93"/>
        <v>0</v>
      </c>
      <c r="S487" s="779">
        <f t="shared" si="84"/>
        <v>0</v>
      </c>
    </row>
    <row r="488" spans="1:19">
      <c r="A488" s="944"/>
      <c r="B488" s="131"/>
      <c r="C488" s="52">
        <f t="shared" si="85"/>
        <v>1</v>
      </c>
      <c r="D488" s="942"/>
      <c r="E488" s="52">
        <f t="shared" si="86"/>
        <v>2.5000000000000001E-2</v>
      </c>
      <c r="F488" s="942"/>
      <c r="G488" s="52">
        <f t="shared" si="87"/>
        <v>0.12</v>
      </c>
      <c r="H488" s="942"/>
      <c r="I488" s="52">
        <f t="shared" si="88"/>
        <v>1</v>
      </c>
      <c r="J488" s="942"/>
      <c r="K488" s="52">
        <f t="shared" si="89"/>
        <v>1</v>
      </c>
      <c r="L488" s="942"/>
      <c r="M488" s="52">
        <f t="shared" si="90"/>
        <v>1</v>
      </c>
      <c r="N488" s="942"/>
      <c r="O488" s="52">
        <f t="shared" si="91"/>
        <v>1</v>
      </c>
      <c r="P488" s="942"/>
      <c r="Q488" s="52">
        <f t="shared" si="92"/>
        <v>0</v>
      </c>
      <c r="R488" s="470">
        <f t="shared" si="93"/>
        <v>0</v>
      </c>
      <c r="S488" s="779">
        <f t="shared" si="84"/>
        <v>0</v>
      </c>
    </row>
    <row r="489" spans="1:19">
      <c r="A489" s="944"/>
      <c r="B489" s="131"/>
      <c r="C489" s="52">
        <f t="shared" si="85"/>
        <v>1</v>
      </c>
      <c r="D489" s="942"/>
      <c r="E489" s="52">
        <f t="shared" si="86"/>
        <v>2.5000000000000001E-2</v>
      </c>
      <c r="F489" s="942"/>
      <c r="G489" s="52">
        <f t="shared" si="87"/>
        <v>0.12</v>
      </c>
      <c r="H489" s="942"/>
      <c r="I489" s="52">
        <f t="shared" si="88"/>
        <v>1</v>
      </c>
      <c r="J489" s="942"/>
      <c r="K489" s="52">
        <f t="shared" si="89"/>
        <v>1</v>
      </c>
      <c r="L489" s="942"/>
      <c r="M489" s="52">
        <f t="shared" si="90"/>
        <v>1</v>
      </c>
      <c r="N489" s="942"/>
      <c r="O489" s="52">
        <f t="shared" si="91"/>
        <v>1</v>
      </c>
      <c r="P489" s="942"/>
      <c r="Q489" s="52">
        <f t="shared" si="92"/>
        <v>0</v>
      </c>
      <c r="R489" s="470">
        <f t="shared" si="93"/>
        <v>0</v>
      </c>
      <c r="S489" s="779">
        <f t="shared" si="84"/>
        <v>0</v>
      </c>
    </row>
    <row r="490" spans="1:19">
      <c r="A490" s="944"/>
      <c r="B490" s="131"/>
      <c r="C490" s="52">
        <f t="shared" si="85"/>
        <v>1</v>
      </c>
      <c r="D490" s="942"/>
      <c r="E490" s="52">
        <f t="shared" si="86"/>
        <v>2.5000000000000001E-2</v>
      </c>
      <c r="F490" s="942"/>
      <c r="G490" s="52">
        <f t="shared" si="87"/>
        <v>0.12</v>
      </c>
      <c r="H490" s="942"/>
      <c r="I490" s="52">
        <f t="shared" si="88"/>
        <v>1</v>
      </c>
      <c r="J490" s="942"/>
      <c r="K490" s="52">
        <f t="shared" si="89"/>
        <v>1</v>
      </c>
      <c r="L490" s="942"/>
      <c r="M490" s="52">
        <f t="shared" si="90"/>
        <v>1</v>
      </c>
      <c r="N490" s="942"/>
      <c r="O490" s="52">
        <f t="shared" si="91"/>
        <v>1</v>
      </c>
      <c r="P490" s="942"/>
      <c r="Q490" s="52">
        <f t="shared" si="92"/>
        <v>0</v>
      </c>
      <c r="R490" s="470">
        <f t="shared" si="93"/>
        <v>0</v>
      </c>
      <c r="S490" s="779">
        <f t="shared" si="84"/>
        <v>0</v>
      </c>
    </row>
    <row r="491" spans="1:19">
      <c r="A491" s="944"/>
      <c r="B491" s="131"/>
      <c r="C491" s="52">
        <f t="shared" si="85"/>
        <v>1</v>
      </c>
      <c r="D491" s="942"/>
      <c r="E491" s="52">
        <f t="shared" si="86"/>
        <v>2.5000000000000001E-2</v>
      </c>
      <c r="F491" s="942"/>
      <c r="G491" s="52">
        <f t="shared" si="87"/>
        <v>0.12</v>
      </c>
      <c r="H491" s="942"/>
      <c r="I491" s="52">
        <f t="shared" si="88"/>
        <v>1</v>
      </c>
      <c r="J491" s="942"/>
      <c r="K491" s="52">
        <f t="shared" si="89"/>
        <v>1</v>
      </c>
      <c r="L491" s="942"/>
      <c r="M491" s="52">
        <f t="shared" si="90"/>
        <v>1</v>
      </c>
      <c r="N491" s="942"/>
      <c r="O491" s="52">
        <f t="shared" si="91"/>
        <v>1</v>
      </c>
      <c r="P491" s="942"/>
      <c r="Q491" s="52">
        <f t="shared" si="92"/>
        <v>0</v>
      </c>
      <c r="R491" s="470">
        <f t="shared" si="93"/>
        <v>0</v>
      </c>
      <c r="S491" s="779">
        <f t="shared" si="84"/>
        <v>0</v>
      </c>
    </row>
    <row r="492" spans="1:19">
      <c r="A492" s="944"/>
      <c r="B492" s="131"/>
      <c r="C492" s="52">
        <f t="shared" si="85"/>
        <v>1</v>
      </c>
      <c r="D492" s="942"/>
      <c r="E492" s="52">
        <f t="shared" si="86"/>
        <v>2.5000000000000001E-2</v>
      </c>
      <c r="F492" s="942"/>
      <c r="G492" s="52">
        <f t="shared" si="87"/>
        <v>0.12</v>
      </c>
      <c r="H492" s="942"/>
      <c r="I492" s="52">
        <f t="shared" si="88"/>
        <v>1</v>
      </c>
      <c r="J492" s="942"/>
      <c r="K492" s="52">
        <f t="shared" si="89"/>
        <v>1</v>
      </c>
      <c r="L492" s="942"/>
      <c r="M492" s="52">
        <f t="shared" si="90"/>
        <v>1</v>
      </c>
      <c r="N492" s="942"/>
      <c r="O492" s="52">
        <f t="shared" si="91"/>
        <v>1</v>
      </c>
      <c r="P492" s="942"/>
      <c r="Q492" s="52">
        <f t="shared" si="92"/>
        <v>0</v>
      </c>
      <c r="R492" s="470">
        <f t="shared" si="93"/>
        <v>0</v>
      </c>
      <c r="S492" s="779">
        <f t="shared" si="84"/>
        <v>0</v>
      </c>
    </row>
    <row r="493" spans="1:19">
      <c r="A493" s="944"/>
      <c r="B493" s="131"/>
      <c r="C493" s="52">
        <f t="shared" si="85"/>
        <v>1</v>
      </c>
      <c r="D493" s="942"/>
      <c r="E493" s="52">
        <f t="shared" si="86"/>
        <v>2.5000000000000001E-2</v>
      </c>
      <c r="F493" s="942"/>
      <c r="G493" s="52">
        <f t="shared" si="87"/>
        <v>0.12</v>
      </c>
      <c r="H493" s="942"/>
      <c r="I493" s="52">
        <f t="shared" si="88"/>
        <v>1</v>
      </c>
      <c r="J493" s="942"/>
      <c r="K493" s="52">
        <f t="shared" si="89"/>
        <v>1</v>
      </c>
      <c r="L493" s="942"/>
      <c r="M493" s="52">
        <f t="shared" si="90"/>
        <v>1</v>
      </c>
      <c r="N493" s="942"/>
      <c r="O493" s="52">
        <f t="shared" si="91"/>
        <v>1</v>
      </c>
      <c r="P493" s="942"/>
      <c r="Q493" s="52">
        <f t="shared" si="92"/>
        <v>0</v>
      </c>
      <c r="R493" s="470">
        <f t="shared" si="93"/>
        <v>0</v>
      </c>
      <c r="S493" s="779">
        <f t="shared" si="84"/>
        <v>0</v>
      </c>
    </row>
    <row r="494" spans="1:19">
      <c r="A494" s="944"/>
      <c r="B494" s="131"/>
      <c r="C494" s="52">
        <f t="shared" si="85"/>
        <v>1</v>
      </c>
      <c r="D494" s="942"/>
      <c r="E494" s="52">
        <f t="shared" si="86"/>
        <v>2.5000000000000001E-2</v>
      </c>
      <c r="F494" s="942"/>
      <c r="G494" s="52">
        <f t="shared" si="87"/>
        <v>0.12</v>
      </c>
      <c r="H494" s="942"/>
      <c r="I494" s="52">
        <f t="shared" si="88"/>
        <v>1</v>
      </c>
      <c r="J494" s="942"/>
      <c r="K494" s="52">
        <f t="shared" si="89"/>
        <v>1</v>
      </c>
      <c r="L494" s="942"/>
      <c r="M494" s="52">
        <f t="shared" si="90"/>
        <v>1</v>
      </c>
      <c r="N494" s="942"/>
      <c r="O494" s="52">
        <f t="shared" si="91"/>
        <v>1</v>
      </c>
      <c r="P494" s="942"/>
      <c r="Q494" s="52">
        <f t="shared" si="92"/>
        <v>0</v>
      </c>
      <c r="R494" s="470">
        <f t="shared" si="93"/>
        <v>0</v>
      </c>
      <c r="S494" s="779">
        <f t="shared" si="84"/>
        <v>0</v>
      </c>
    </row>
    <row r="495" spans="1:19">
      <c r="A495" s="944"/>
      <c r="B495" s="131"/>
      <c r="C495" s="52">
        <f t="shared" si="85"/>
        <v>1</v>
      </c>
      <c r="D495" s="942"/>
      <c r="E495" s="52">
        <f t="shared" si="86"/>
        <v>2.5000000000000001E-2</v>
      </c>
      <c r="F495" s="942"/>
      <c r="G495" s="52">
        <f t="shared" si="87"/>
        <v>0.12</v>
      </c>
      <c r="H495" s="942"/>
      <c r="I495" s="52">
        <f t="shared" si="88"/>
        <v>1</v>
      </c>
      <c r="J495" s="942"/>
      <c r="K495" s="52">
        <f t="shared" si="89"/>
        <v>1</v>
      </c>
      <c r="L495" s="942"/>
      <c r="M495" s="52">
        <f t="shared" si="90"/>
        <v>1</v>
      </c>
      <c r="N495" s="942"/>
      <c r="O495" s="52">
        <f t="shared" si="91"/>
        <v>1</v>
      </c>
      <c r="P495" s="942"/>
      <c r="Q495" s="52">
        <f t="shared" si="92"/>
        <v>0</v>
      </c>
      <c r="R495" s="470">
        <f t="shared" si="93"/>
        <v>0</v>
      </c>
      <c r="S495" s="779">
        <f t="shared" si="84"/>
        <v>0</v>
      </c>
    </row>
    <row r="496" spans="1:19">
      <c r="A496" s="944"/>
      <c r="B496" s="131"/>
      <c r="C496" s="52">
        <f t="shared" si="85"/>
        <v>1</v>
      </c>
      <c r="D496" s="942"/>
      <c r="E496" s="52">
        <f t="shared" si="86"/>
        <v>2.5000000000000001E-2</v>
      </c>
      <c r="F496" s="942"/>
      <c r="G496" s="52">
        <f t="shared" si="87"/>
        <v>0.12</v>
      </c>
      <c r="H496" s="942"/>
      <c r="I496" s="52">
        <f t="shared" si="88"/>
        <v>1</v>
      </c>
      <c r="J496" s="942"/>
      <c r="K496" s="52">
        <f t="shared" si="89"/>
        <v>1</v>
      </c>
      <c r="L496" s="942"/>
      <c r="M496" s="52">
        <f t="shared" si="90"/>
        <v>1</v>
      </c>
      <c r="N496" s="942"/>
      <c r="O496" s="52">
        <f t="shared" si="91"/>
        <v>1</v>
      </c>
      <c r="P496" s="942"/>
      <c r="Q496" s="52">
        <f t="shared" si="92"/>
        <v>0</v>
      </c>
      <c r="R496" s="470">
        <f t="shared" si="93"/>
        <v>0</v>
      </c>
      <c r="S496" s="779">
        <f t="shared" si="84"/>
        <v>0</v>
      </c>
    </row>
    <row r="497" spans="1:19">
      <c r="A497" s="944"/>
      <c r="B497" s="131"/>
      <c r="C497" s="52">
        <f t="shared" si="85"/>
        <v>1</v>
      </c>
      <c r="D497" s="942"/>
      <c r="E497" s="52">
        <f t="shared" si="86"/>
        <v>2.5000000000000001E-2</v>
      </c>
      <c r="F497" s="942"/>
      <c r="G497" s="52">
        <f t="shared" si="87"/>
        <v>0.12</v>
      </c>
      <c r="H497" s="942"/>
      <c r="I497" s="52">
        <f t="shared" si="88"/>
        <v>1</v>
      </c>
      <c r="J497" s="942"/>
      <c r="K497" s="52">
        <f t="shared" si="89"/>
        <v>1</v>
      </c>
      <c r="L497" s="942"/>
      <c r="M497" s="52">
        <f t="shared" si="90"/>
        <v>1</v>
      </c>
      <c r="N497" s="942"/>
      <c r="O497" s="52">
        <f t="shared" si="91"/>
        <v>1</v>
      </c>
      <c r="P497" s="942"/>
      <c r="Q497" s="52">
        <f t="shared" si="92"/>
        <v>0</v>
      </c>
      <c r="R497" s="470">
        <f t="shared" si="93"/>
        <v>0</v>
      </c>
      <c r="S497" s="779">
        <f t="shared" si="84"/>
        <v>0</v>
      </c>
    </row>
    <row r="498" spans="1:19">
      <c r="A498" s="944"/>
      <c r="B498" s="131"/>
      <c r="C498" s="52">
        <f t="shared" si="85"/>
        <v>1</v>
      </c>
      <c r="D498" s="942"/>
      <c r="E498" s="52">
        <f t="shared" si="86"/>
        <v>2.5000000000000001E-2</v>
      </c>
      <c r="F498" s="942"/>
      <c r="G498" s="52">
        <f t="shared" si="87"/>
        <v>0.12</v>
      </c>
      <c r="H498" s="942"/>
      <c r="I498" s="52">
        <f t="shared" si="88"/>
        <v>1</v>
      </c>
      <c r="J498" s="942"/>
      <c r="K498" s="52">
        <f t="shared" si="89"/>
        <v>1</v>
      </c>
      <c r="L498" s="942"/>
      <c r="M498" s="52">
        <f t="shared" si="90"/>
        <v>1</v>
      </c>
      <c r="N498" s="942"/>
      <c r="O498" s="52">
        <f t="shared" si="91"/>
        <v>1</v>
      </c>
      <c r="P498" s="942"/>
      <c r="Q498" s="52">
        <f t="shared" si="92"/>
        <v>0</v>
      </c>
      <c r="R498" s="470">
        <f t="shared" si="93"/>
        <v>0</v>
      </c>
      <c r="S498" s="779">
        <f t="shared" ref="S498:S524" si="94">ROUND(R498*B498/10000,0)</f>
        <v>0</v>
      </c>
    </row>
    <row r="499" spans="1:19">
      <c r="A499" s="944"/>
      <c r="B499" s="131"/>
      <c r="C499" s="52">
        <f t="shared" si="85"/>
        <v>1</v>
      </c>
      <c r="D499" s="942"/>
      <c r="E499" s="52">
        <f t="shared" si="86"/>
        <v>2.5000000000000001E-2</v>
      </c>
      <c r="F499" s="942"/>
      <c r="G499" s="52">
        <f t="shared" si="87"/>
        <v>0.12</v>
      </c>
      <c r="H499" s="942"/>
      <c r="I499" s="52">
        <f t="shared" si="88"/>
        <v>1</v>
      </c>
      <c r="J499" s="942"/>
      <c r="K499" s="52">
        <f t="shared" si="89"/>
        <v>1</v>
      </c>
      <c r="L499" s="942"/>
      <c r="M499" s="52">
        <f t="shared" si="90"/>
        <v>1</v>
      </c>
      <c r="N499" s="942"/>
      <c r="O499" s="52">
        <f t="shared" si="91"/>
        <v>1</v>
      </c>
      <c r="P499" s="942"/>
      <c r="Q499" s="52">
        <f t="shared" si="92"/>
        <v>0</v>
      </c>
      <c r="R499" s="470">
        <f t="shared" si="93"/>
        <v>0</v>
      </c>
      <c r="S499" s="779">
        <f t="shared" si="94"/>
        <v>0</v>
      </c>
    </row>
    <row r="500" spans="1:19">
      <c r="A500" s="944"/>
      <c r="B500" s="131"/>
      <c r="C500" s="52">
        <f t="shared" si="85"/>
        <v>1</v>
      </c>
      <c r="D500" s="942"/>
      <c r="E500" s="52">
        <f t="shared" si="86"/>
        <v>2.5000000000000001E-2</v>
      </c>
      <c r="F500" s="942"/>
      <c r="G500" s="52">
        <f t="shared" si="87"/>
        <v>0.12</v>
      </c>
      <c r="H500" s="942"/>
      <c r="I500" s="52">
        <f t="shared" si="88"/>
        <v>1</v>
      </c>
      <c r="J500" s="942"/>
      <c r="K500" s="52">
        <f t="shared" si="89"/>
        <v>1</v>
      </c>
      <c r="L500" s="942"/>
      <c r="M500" s="52">
        <f t="shared" si="90"/>
        <v>1</v>
      </c>
      <c r="N500" s="942"/>
      <c r="O500" s="52">
        <f t="shared" si="91"/>
        <v>1</v>
      </c>
      <c r="P500" s="942"/>
      <c r="Q500" s="52">
        <f t="shared" si="92"/>
        <v>0</v>
      </c>
      <c r="R500" s="470">
        <f t="shared" si="93"/>
        <v>0</v>
      </c>
      <c r="S500" s="779">
        <f t="shared" si="94"/>
        <v>0</v>
      </c>
    </row>
    <row r="501" spans="1:19">
      <c r="A501" s="944"/>
      <c r="B501" s="131"/>
      <c r="C501" s="52">
        <f t="shared" si="85"/>
        <v>1</v>
      </c>
      <c r="D501" s="942"/>
      <c r="E501" s="52">
        <f t="shared" si="86"/>
        <v>2.5000000000000001E-2</v>
      </c>
      <c r="F501" s="942"/>
      <c r="G501" s="52">
        <f t="shared" si="87"/>
        <v>0.12</v>
      </c>
      <c r="H501" s="942"/>
      <c r="I501" s="52">
        <f t="shared" si="88"/>
        <v>1</v>
      </c>
      <c r="J501" s="942"/>
      <c r="K501" s="52">
        <f t="shared" si="89"/>
        <v>1</v>
      </c>
      <c r="L501" s="942"/>
      <c r="M501" s="52">
        <f t="shared" si="90"/>
        <v>1</v>
      </c>
      <c r="N501" s="942"/>
      <c r="O501" s="52">
        <f t="shared" si="91"/>
        <v>1</v>
      </c>
      <c r="P501" s="942"/>
      <c r="Q501" s="52">
        <f t="shared" si="92"/>
        <v>0</v>
      </c>
      <c r="R501" s="470">
        <f t="shared" si="93"/>
        <v>0</v>
      </c>
      <c r="S501" s="779">
        <f t="shared" si="94"/>
        <v>0</v>
      </c>
    </row>
    <row r="502" spans="1:19">
      <c r="A502" s="944"/>
      <c r="B502" s="131"/>
      <c r="C502" s="52">
        <f t="shared" si="85"/>
        <v>1</v>
      </c>
      <c r="D502" s="942"/>
      <c r="E502" s="52">
        <f t="shared" si="86"/>
        <v>2.5000000000000001E-2</v>
      </c>
      <c r="F502" s="942"/>
      <c r="G502" s="52">
        <f t="shared" si="87"/>
        <v>0.12</v>
      </c>
      <c r="H502" s="942"/>
      <c r="I502" s="52">
        <f t="shared" si="88"/>
        <v>1</v>
      </c>
      <c r="J502" s="942"/>
      <c r="K502" s="52">
        <f t="shared" si="89"/>
        <v>1</v>
      </c>
      <c r="L502" s="942"/>
      <c r="M502" s="52">
        <f t="shared" si="90"/>
        <v>1</v>
      </c>
      <c r="N502" s="942"/>
      <c r="O502" s="52">
        <f t="shared" si="91"/>
        <v>1</v>
      </c>
      <c r="P502" s="942"/>
      <c r="Q502" s="52">
        <f t="shared" si="92"/>
        <v>0</v>
      </c>
      <c r="R502" s="470">
        <f t="shared" si="93"/>
        <v>0</v>
      </c>
      <c r="S502" s="779">
        <f t="shared" si="94"/>
        <v>0</v>
      </c>
    </row>
    <row r="503" spans="1:19">
      <c r="A503" s="944"/>
      <c r="B503" s="131"/>
      <c r="C503" s="52">
        <f t="shared" si="85"/>
        <v>1</v>
      </c>
      <c r="D503" s="942"/>
      <c r="E503" s="52">
        <f t="shared" si="86"/>
        <v>2.5000000000000001E-2</v>
      </c>
      <c r="F503" s="942"/>
      <c r="G503" s="52">
        <f t="shared" si="87"/>
        <v>0.12</v>
      </c>
      <c r="H503" s="942"/>
      <c r="I503" s="52">
        <f t="shared" si="88"/>
        <v>1</v>
      </c>
      <c r="J503" s="942"/>
      <c r="K503" s="52">
        <f t="shared" si="89"/>
        <v>1</v>
      </c>
      <c r="L503" s="942"/>
      <c r="M503" s="52">
        <f t="shared" si="90"/>
        <v>1</v>
      </c>
      <c r="N503" s="942"/>
      <c r="O503" s="52">
        <f t="shared" si="91"/>
        <v>1</v>
      </c>
      <c r="P503" s="942"/>
      <c r="Q503" s="52">
        <f t="shared" si="92"/>
        <v>0</v>
      </c>
      <c r="R503" s="470">
        <f t="shared" si="93"/>
        <v>0</v>
      </c>
      <c r="S503" s="779">
        <f t="shared" si="94"/>
        <v>0</v>
      </c>
    </row>
    <row r="504" spans="1:19">
      <c r="A504" s="944"/>
      <c r="B504" s="131"/>
      <c r="C504" s="52">
        <f t="shared" si="85"/>
        <v>1</v>
      </c>
      <c r="D504" s="942"/>
      <c r="E504" s="52">
        <f t="shared" si="86"/>
        <v>2.5000000000000001E-2</v>
      </c>
      <c r="F504" s="942"/>
      <c r="G504" s="52">
        <f t="shared" si="87"/>
        <v>0.12</v>
      </c>
      <c r="H504" s="942"/>
      <c r="I504" s="52">
        <f t="shared" si="88"/>
        <v>1</v>
      </c>
      <c r="J504" s="942"/>
      <c r="K504" s="52">
        <f t="shared" si="89"/>
        <v>1</v>
      </c>
      <c r="L504" s="942"/>
      <c r="M504" s="52">
        <f t="shared" si="90"/>
        <v>1</v>
      </c>
      <c r="N504" s="942"/>
      <c r="O504" s="52">
        <f t="shared" si="91"/>
        <v>1</v>
      </c>
      <c r="P504" s="942"/>
      <c r="Q504" s="52">
        <f t="shared" si="92"/>
        <v>0</v>
      </c>
      <c r="R504" s="470">
        <f t="shared" si="93"/>
        <v>0</v>
      </c>
      <c r="S504" s="779">
        <f t="shared" si="94"/>
        <v>0</v>
      </c>
    </row>
    <row r="505" spans="1:19">
      <c r="A505" s="944"/>
      <c r="B505" s="131"/>
      <c r="C505" s="52">
        <f t="shared" si="85"/>
        <v>1</v>
      </c>
      <c r="D505" s="942"/>
      <c r="E505" s="52">
        <f t="shared" si="86"/>
        <v>2.5000000000000001E-2</v>
      </c>
      <c r="F505" s="942"/>
      <c r="G505" s="52">
        <f t="shared" si="87"/>
        <v>0.12</v>
      </c>
      <c r="H505" s="942"/>
      <c r="I505" s="52">
        <f t="shared" si="88"/>
        <v>1</v>
      </c>
      <c r="J505" s="942"/>
      <c r="K505" s="52">
        <f t="shared" si="89"/>
        <v>1</v>
      </c>
      <c r="L505" s="942"/>
      <c r="M505" s="52">
        <f t="shared" si="90"/>
        <v>1</v>
      </c>
      <c r="N505" s="942"/>
      <c r="O505" s="52">
        <f t="shared" si="91"/>
        <v>1</v>
      </c>
      <c r="P505" s="942"/>
      <c r="Q505" s="52">
        <f t="shared" si="92"/>
        <v>0</v>
      </c>
      <c r="R505" s="470">
        <f t="shared" si="93"/>
        <v>0</v>
      </c>
      <c r="S505" s="779">
        <f t="shared" si="94"/>
        <v>0</v>
      </c>
    </row>
    <row r="506" spans="1:19">
      <c r="A506" s="944"/>
      <c r="B506" s="131"/>
      <c r="C506" s="52">
        <f t="shared" si="85"/>
        <v>1</v>
      </c>
      <c r="D506" s="942"/>
      <c r="E506" s="52">
        <f t="shared" si="86"/>
        <v>2.5000000000000001E-2</v>
      </c>
      <c r="F506" s="942"/>
      <c r="G506" s="52">
        <f t="shared" si="87"/>
        <v>0.12</v>
      </c>
      <c r="H506" s="942"/>
      <c r="I506" s="52">
        <f t="shared" si="88"/>
        <v>1</v>
      </c>
      <c r="J506" s="942"/>
      <c r="K506" s="52">
        <f t="shared" si="89"/>
        <v>1</v>
      </c>
      <c r="L506" s="942"/>
      <c r="M506" s="52">
        <f t="shared" si="90"/>
        <v>1</v>
      </c>
      <c r="N506" s="942"/>
      <c r="O506" s="52">
        <f t="shared" si="91"/>
        <v>1</v>
      </c>
      <c r="P506" s="942"/>
      <c r="Q506" s="52">
        <f t="shared" si="92"/>
        <v>0</v>
      </c>
      <c r="R506" s="470">
        <f t="shared" si="93"/>
        <v>0</v>
      </c>
      <c r="S506" s="779">
        <f t="shared" si="94"/>
        <v>0</v>
      </c>
    </row>
    <row r="507" spans="1:19">
      <c r="A507" s="944"/>
      <c r="B507" s="131"/>
      <c r="C507" s="52">
        <f t="shared" si="85"/>
        <v>1</v>
      </c>
      <c r="D507" s="942"/>
      <c r="E507" s="52">
        <f t="shared" si="86"/>
        <v>2.5000000000000001E-2</v>
      </c>
      <c r="F507" s="942"/>
      <c r="G507" s="52">
        <f t="shared" si="87"/>
        <v>0.12</v>
      </c>
      <c r="H507" s="942"/>
      <c r="I507" s="52">
        <f t="shared" si="88"/>
        <v>1</v>
      </c>
      <c r="J507" s="942"/>
      <c r="K507" s="52">
        <f t="shared" si="89"/>
        <v>1</v>
      </c>
      <c r="L507" s="942"/>
      <c r="M507" s="52">
        <f t="shared" si="90"/>
        <v>1</v>
      </c>
      <c r="N507" s="942"/>
      <c r="O507" s="52">
        <f t="shared" si="91"/>
        <v>1</v>
      </c>
      <c r="P507" s="942"/>
      <c r="Q507" s="52">
        <f t="shared" si="92"/>
        <v>0</v>
      </c>
      <c r="R507" s="470">
        <f t="shared" si="93"/>
        <v>0</v>
      </c>
      <c r="S507" s="779">
        <f t="shared" si="94"/>
        <v>0</v>
      </c>
    </row>
    <row r="508" spans="1:19">
      <c r="A508" s="944"/>
      <c r="B508" s="131"/>
      <c r="C508" s="52">
        <f t="shared" si="85"/>
        <v>1</v>
      </c>
      <c r="D508" s="942"/>
      <c r="E508" s="52">
        <f t="shared" si="86"/>
        <v>2.5000000000000001E-2</v>
      </c>
      <c r="F508" s="942"/>
      <c r="G508" s="52">
        <f t="shared" si="87"/>
        <v>0.12</v>
      </c>
      <c r="H508" s="942"/>
      <c r="I508" s="52">
        <f t="shared" si="88"/>
        <v>1</v>
      </c>
      <c r="J508" s="942"/>
      <c r="K508" s="52">
        <f t="shared" si="89"/>
        <v>1</v>
      </c>
      <c r="L508" s="942"/>
      <c r="M508" s="52">
        <f t="shared" si="90"/>
        <v>1</v>
      </c>
      <c r="N508" s="942"/>
      <c r="O508" s="52">
        <f t="shared" si="91"/>
        <v>1</v>
      </c>
      <c r="P508" s="942"/>
      <c r="Q508" s="52">
        <f t="shared" si="92"/>
        <v>0</v>
      </c>
      <c r="R508" s="470">
        <f t="shared" si="93"/>
        <v>0</v>
      </c>
      <c r="S508" s="779">
        <f t="shared" si="94"/>
        <v>0</v>
      </c>
    </row>
    <row r="509" spans="1:19">
      <c r="A509" s="944"/>
      <c r="B509" s="131"/>
      <c r="C509" s="52">
        <f t="shared" si="85"/>
        <v>1</v>
      </c>
      <c r="D509" s="942"/>
      <c r="E509" s="52">
        <f t="shared" si="86"/>
        <v>2.5000000000000001E-2</v>
      </c>
      <c r="F509" s="942"/>
      <c r="G509" s="52">
        <f t="shared" si="87"/>
        <v>0.12</v>
      </c>
      <c r="H509" s="942"/>
      <c r="I509" s="52">
        <f t="shared" si="88"/>
        <v>1</v>
      </c>
      <c r="J509" s="942"/>
      <c r="K509" s="52">
        <f t="shared" si="89"/>
        <v>1</v>
      </c>
      <c r="L509" s="942"/>
      <c r="M509" s="52">
        <f t="shared" si="90"/>
        <v>1</v>
      </c>
      <c r="N509" s="942"/>
      <c r="O509" s="52">
        <f t="shared" si="91"/>
        <v>1</v>
      </c>
      <c r="P509" s="942"/>
      <c r="Q509" s="52">
        <f t="shared" si="92"/>
        <v>0</v>
      </c>
      <c r="R509" s="470">
        <f t="shared" si="93"/>
        <v>0</v>
      </c>
      <c r="S509" s="779">
        <f t="shared" si="94"/>
        <v>0</v>
      </c>
    </row>
    <row r="510" spans="1:19">
      <c r="A510" s="944"/>
      <c r="B510" s="131"/>
      <c r="C510" s="52">
        <f t="shared" si="85"/>
        <v>1</v>
      </c>
      <c r="D510" s="942"/>
      <c r="E510" s="52">
        <f t="shared" si="86"/>
        <v>2.5000000000000001E-2</v>
      </c>
      <c r="F510" s="942"/>
      <c r="G510" s="52">
        <f t="shared" si="87"/>
        <v>0.12</v>
      </c>
      <c r="H510" s="942"/>
      <c r="I510" s="52">
        <f t="shared" si="88"/>
        <v>1</v>
      </c>
      <c r="J510" s="942"/>
      <c r="K510" s="52">
        <f t="shared" si="89"/>
        <v>1</v>
      </c>
      <c r="L510" s="942"/>
      <c r="M510" s="52">
        <f t="shared" si="90"/>
        <v>1</v>
      </c>
      <c r="N510" s="942"/>
      <c r="O510" s="52">
        <f t="shared" si="91"/>
        <v>1</v>
      </c>
      <c r="P510" s="942"/>
      <c r="Q510" s="52">
        <f t="shared" si="92"/>
        <v>0</v>
      </c>
      <c r="R510" s="470">
        <f t="shared" si="93"/>
        <v>0</v>
      </c>
      <c r="S510" s="779">
        <f t="shared" si="94"/>
        <v>0</v>
      </c>
    </row>
    <row r="511" spans="1:19">
      <c r="A511" s="944"/>
      <c r="B511" s="131"/>
      <c r="C511" s="52">
        <f t="shared" si="85"/>
        <v>1</v>
      </c>
      <c r="D511" s="942"/>
      <c r="E511" s="52">
        <f t="shared" si="86"/>
        <v>2.5000000000000001E-2</v>
      </c>
      <c r="F511" s="942"/>
      <c r="G511" s="52">
        <f t="shared" si="87"/>
        <v>0.12</v>
      </c>
      <c r="H511" s="942"/>
      <c r="I511" s="52">
        <f t="shared" si="88"/>
        <v>1</v>
      </c>
      <c r="J511" s="942"/>
      <c r="K511" s="52">
        <f t="shared" si="89"/>
        <v>1</v>
      </c>
      <c r="L511" s="942"/>
      <c r="M511" s="52">
        <f t="shared" si="90"/>
        <v>1</v>
      </c>
      <c r="N511" s="942"/>
      <c r="O511" s="52">
        <f t="shared" si="91"/>
        <v>1</v>
      </c>
      <c r="P511" s="942"/>
      <c r="Q511" s="52">
        <f t="shared" si="92"/>
        <v>0</v>
      </c>
      <c r="R511" s="470">
        <f t="shared" si="93"/>
        <v>0</v>
      </c>
      <c r="S511" s="779">
        <f t="shared" si="94"/>
        <v>0</v>
      </c>
    </row>
    <row r="512" spans="1:19">
      <c r="A512" s="944"/>
      <c r="B512" s="131"/>
      <c r="C512" s="52">
        <f t="shared" si="85"/>
        <v>1</v>
      </c>
      <c r="D512" s="942"/>
      <c r="E512" s="52">
        <f t="shared" si="86"/>
        <v>2.5000000000000001E-2</v>
      </c>
      <c r="F512" s="942"/>
      <c r="G512" s="52">
        <f t="shared" si="87"/>
        <v>0.12</v>
      </c>
      <c r="H512" s="942"/>
      <c r="I512" s="52">
        <f t="shared" si="88"/>
        <v>1</v>
      </c>
      <c r="J512" s="942"/>
      <c r="K512" s="52">
        <f t="shared" si="89"/>
        <v>1</v>
      </c>
      <c r="L512" s="942"/>
      <c r="M512" s="52">
        <f t="shared" si="90"/>
        <v>1</v>
      </c>
      <c r="N512" s="942"/>
      <c r="O512" s="52">
        <f t="shared" si="91"/>
        <v>1</v>
      </c>
      <c r="P512" s="942"/>
      <c r="Q512" s="52">
        <f t="shared" si="92"/>
        <v>0</v>
      </c>
      <c r="R512" s="470">
        <f t="shared" si="93"/>
        <v>0</v>
      </c>
      <c r="S512" s="779">
        <f t="shared" si="94"/>
        <v>0</v>
      </c>
    </row>
    <row r="513" spans="1:19">
      <c r="A513" s="944"/>
      <c r="B513" s="131"/>
      <c r="C513" s="52">
        <f t="shared" si="85"/>
        <v>1</v>
      </c>
      <c r="D513" s="942"/>
      <c r="E513" s="52">
        <f t="shared" si="86"/>
        <v>2.5000000000000001E-2</v>
      </c>
      <c r="F513" s="942"/>
      <c r="G513" s="52">
        <f t="shared" si="87"/>
        <v>0.12</v>
      </c>
      <c r="H513" s="942"/>
      <c r="I513" s="52">
        <f t="shared" si="88"/>
        <v>1</v>
      </c>
      <c r="J513" s="942"/>
      <c r="K513" s="52">
        <f t="shared" si="89"/>
        <v>1</v>
      </c>
      <c r="L513" s="942"/>
      <c r="M513" s="52">
        <f t="shared" si="90"/>
        <v>1</v>
      </c>
      <c r="N513" s="942"/>
      <c r="O513" s="52">
        <f t="shared" si="91"/>
        <v>1</v>
      </c>
      <c r="P513" s="942"/>
      <c r="Q513" s="52">
        <f t="shared" si="92"/>
        <v>0</v>
      </c>
      <c r="R513" s="470">
        <f t="shared" si="93"/>
        <v>0</v>
      </c>
      <c r="S513" s="779">
        <f t="shared" si="94"/>
        <v>0</v>
      </c>
    </row>
    <row r="514" spans="1:19">
      <c r="A514" s="944"/>
      <c r="B514" s="131"/>
      <c r="C514" s="52">
        <f t="shared" si="85"/>
        <v>1</v>
      </c>
      <c r="D514" s="942"/>
      <c r="E514" s="52">
        <f t="shared" si="86"/>
        <v>2.5000000000000001E-2</v>
      </c>
      <c r="F514" s="942"/>
      <c r="G514" s="52">
        <f t="shared" si="87"/>
        <v>0.12</v>
      </c>
      <c r="H514" s="942"/>
      <c r="I514" s="52">
        <f t="shared" si="88"/>
        <v>1</v>
      </c>
      <c r="J514" s="942"/>
      <c r="K514" s="52">
        <f t="shared" si="89"/>
        <v>1</v>
      </c>
      <c r="L514" s="942"/>
      <c r="M514" s="52">
        <f t="shared" si="90"/>
        <v>1</v>
      </c>
      <c r="N514" s="942"/>
      <c r="O514" s="52">
        <f t="shared" si="91"/>
        <v>1</v>
      </c>
      <c r="P514" s="942"/>
      <c r="Q514" s="52">
        <f t="shared" si="92"/>
        <v>0</v>
      </c>
      <c r="R514" s="470">
        <f t="shared" si="93"/>
        <v>0</v>
      </c>
      <c r="S514" s="779">
        <f t="shared" si="94"/>
        <v>0</v>
      </c>
    </row>
    <row r="515" spans="1:19">
      <c r="A515" s="944"/>
      <c r="B515" s="131"/>
      <c r="C515" s="52">
        <f t="shared" si="85"/>
        <v>1</v>
      </c>
      <c r="D515" s="942"/>
      <c r="E515" s="52">
        <f t="shared" si="86"/>
        <v>2.5000000000000001E-2</v>
      </c>
      <c r="F515" s="942"/>
      <c r="G515" s="52">
        <f t="shared" si="87"/>
        <v>0.12</v>
      </c>
      <c r="H515" s="942"/>
      <c r="I515" s="52">
        <f t="shared" si="88"/>
        <v>1</v>
      </c>
      <c r="J515" s="942"/>
      <c r="K515" s="52">
        <f t="shared" si="89"/>
        <v>1</v>
      </c>
      <c r="L515" s="942"/>
      <c r="M515" s="52">
        <f t="shared" si="90"/>
        <v>1</v>
      </c>
      <c r="N515" s="942"/>
      <c r="O515" s="52">
        <f t="shared" si="91"/>
        <v>1</v>
      </c>
      <c r="P515" s="942"/>
      <c r="Q515" s="52">
        <f t="shared" si="92"/>
        <v>0</v>
      </c>
      <c r="R515" s="470">
        <f t="shared" si="93"/>
        <v>0</v>
      </c>
      <c r="S515" s="779">
        <f t="shared" si="94"/>
        <v>0</v>
      </c>
    </row>
    <row r="516" spans="1:19">
      <c r="A516" s="944"/>
      <c r="B516" s="131"/>
      <c r="C516" s="52">
        <f t="shared" si="85"/>
        <v>1</v>
      </c>
      <c r="D516" s="942"/>
      <c r="E516" s="52">
        <f t="shared" si="86"/>
        <v>2.5000000000000001E-2</v>
      </c>
      <c r="F516" s="942"/>
      <c r="G516" s="52">
        <f t="shared" si="87"/>
        <v>0.12</v>
      </c>
      <c r="H516" s="942"/>
      <c r="I516" s="52">
        <f t="shared" si="88"/>
        <v>1</v>
      </c>
      <c r="J516" s="942"/>
      <c r="K516" s="52">
        <f t="shared" si="89"/>
        <v>1</v>
      </c>
      <c r="L516" s="942"/>
      <c r="M516" s="52">
        <f t="shared" si="90"/>
        <v>1</v>
      </c>
      <c r="N516" s="942"/>
      <c r="O516" s="52">
        <f t="shared" si="91"/>
        <v>1</v>
      </c>
      <c r="P516" s="942"/>
      <c r="Q516" s="52">
        <f t="shared" si="92"/>
        <v>0</v>
      </c>
      <c r="R516" s="470">
        <f t="shared" si="93"/>
        <v>0</v>
      </c>
      <c r="S516" s="779">
        <f t="shared" si="94"/>
        <v>0</v>
      </c>
    </row>
    <row r="517" spans="1:19">
      <c r="A517" s="944"/>
      <c r="B517" s="131"/>
      <c r="C517" s="52">
        <f t="shared" si="85"/>
        <v>1</v>
      </c>
      <c r="D517" s="942"/>
      <c r="E517" s="52">
        <f t="shared" si="86"/>
        <v>2.5000000000000001E-2</v>
      </c>
      <c r="F517" s="942"/>
      <c r="G517" s="52">
        <f t="shared" si="87"/>
        <v>0.12</v>
      </c>
      <c r="H517" s="942"/>
      <c r="I517" s="52">
        <f t="shared" si="88"/>
        <v>1</v>
      </c>
      <c r="J517" s="942"/>
      <c r="K517" s="52">
        <f t="shared" si="89"/>
        <v>1</v>
      </c>
      <c r="L517" s="942"/>
      <c r="M517" s="52">
        <f t="shared" si="90"/>
        <v>1</v>
      </c>
      <c r="N517" s="942"/>
      <c r="O517" s="52">
        <f t="shared" si="91"/>
        <v>1</v>
      </c>
      <c r="P517" s="942"/>
      <c r="Q517" s="52">
        <f t="shared" si="92"/>
        <v>0</v>
      </c>
      <c r="R517" s="470">
        <f t="shared" si="93"/>
        <v>0</v>
      </c>
      <c r="S517" s="779">
        <f t="shared" si="94"/>
        <v>0</v>
      </c>
    </row>
    <row r="518" spans="1:19">
      <c r="A518" s="944"/>
      <c r="B518" s="131"/>
      <c r="C518" s="52">
        <f t="shared" si="85"/>
        <v>1</v>
      </c>
      <c r="D518" s="942"/>
      <c r="E518" s="52">
        <f t="shared" si="86"/>
        <v>2.5000000000000001E-2</v>
      </c>
      <c r="F518" s="942"/>
      <c r="G518" s="52">
        <f t="shared" si="87"/>
        <v>0.12</v>
      </c>
      <c r="H518" s="942"/>
      <c r="I518" s="52">
        <f t="shared" si="88"/>
        <v>1</v>
      </c>
      <c r="J518" s="942"/>
      <c r="K518" s="52">
        <f t="shared" si="89"/>
        <v>1</v>
      </c>
      <c r="L518" s="942"/>
      <c r="M518" s="52">
        <f t="shared" si="90"/>
        <v>1</v>
      </c>
      <c r="N518" s="942"/>
      <c r="O518" s="52">
        <f t="shared" si="91"/>
        <v>1</v>
      </c>
      <c r="P518" s="942"/>
      <c r="Q518" s="52">
        <f t="shared" si="92"/>
        <v>0</v>
      </c>
      <c r="R518" s="470">
        <f t="shared" si="93"/>
        <v>0</v>
      </c>
      <c r="S518" s="779">
        <f t="shared" si="94"/>
        <v>0</v>
      </c>
    </row>
    <row r="519" spans="1:19">
      <c r="A519" s="944"/>
      <c r="B519" s="131"/>
      <c r="C519" s="52">
        <f t="shared" si="85"/>
        <v>1</v>
      </c>
      <c r="D519" s="942"/>
      <c r="E519" s="52">
        <f t="shared" si="86"/>
        <v>2.5000000000000001E-2</v>
      </c>
      <c r="F519" s="942"/>
      <c r="G519" s="52">
        <f t="shared" si="87"/>
        <v>0.12</v>
      </c>
      <c r="H519" s="942"/>
      <c r="I519" s="52">
        <f t="shared" si="88"/>
        <v>1</v>
      </c>
      <c r="J519" s="942"/>
      <c r="K519" s="52">
        <f t="shared" si="89"/>
        <v>1</v>
      </c>
      <c r="L519" s="942"/>
      <c r="M519" s="52">
        <f t="shared" si="90"/>
        <v>1</v>
      </c>
      <c r="N519" s="942"/>
      <c r="O519" s="52">
        <f t="shared" si="91"/>
        <v>1</v>
      </c>
      <c r="P519" s="942"/>
      <c r="Q519" s="52">
        <f t="shared" si="92"/>
        <v>0</v>
      </c>
      <c r="R519" s="470">
        <f t="shared" si="93"/>
        <v>0</v>
      </c>
      <c r="S519" s="779">
        <f t="shared" si="94"/>
        <v>0</v>
      </c>
    </row>
    <row r="520" spans="1:19">
      <c r="A520" s="944"/>
      <c r="B520" s="131"/>
      <c r="C520" s="52">
        <f t="shared" si="85"/>
        <v>1</v>
      </c>
      <c r="D520" s="942"/>
      <c r="E520" s="52">
        <f t="shared" si="86"/>
        <v>2.5000000000000001E-2</v>
      </c>
      <c r="F520" s="942"/>
      <c r="G520" s="52">
        <f t="shared" si="87"/>
        <v>0.12</v>
      </c>
      <c r="H520" s="942"/>
      <c r="I520" s="52">
        <f t="shared" si="88"/>
        <v>1</v>
      </c>
      <c r="J520" s="942"/>
      <c r="K520" s="52">
        <f t="shared" si="89"/>
        <v>1</v>
      </c>
      <c r="L520" s="942"/>
      <c r="M520" s="52">
        <f t="shared" si="90"/>
        <v>1</v>
      </c>
      <c r="N520" s="942"/>
      <c r="O520" s="52">
        <f t="shared" si="91"/>
        <v>1</v>
      </c>
      <c r="P520" s="942"/>
      <c r="Q520" s="52">
        <f t="shared" si="92"/>
        <v>0</v>
      </c>
      <c r="R520" s="470">
        <f t="shared" si="93"/>
        <v>0</v>
      </c>
      <c r="S520" s="779">
        <f t="shared" si="94"/>
        <v>0</v>
      </c>
    </row>
    <row r="521" spans="1:19">
      <c r="A521" s="944"/>
      <c r="B521" s="131"/>
      <c r="C521" s="52">
        <f t="shared" si="85"/>
        <v>1</v>
      </c>
      <c r="D521" s="942"/>
      <c r="E521" s="52">
        <f t="shared" si="86"/>
        <v>2.5000000000000001E-2</v>
      </c>
      <c r="F521" s="942"/>
      <c r="G521" s="52">
        <f t="shared" si="87"/>
        <v>0.12</v>
      </c>
      <c r="H521" s="942"/>
      <c r="I521" s="52">
        <f t="shared" si="88"/>
        <v>1</v>
      </c>
      <c r="J521" s="942"/>
      <c r="K521" s="52">
        <f t="shared" si="89"/>
        <v>1</v>
      </c>
      <c r="L521" s="942"/>
      <c r="M521" s="52">
        <f t="shared" si="90"/>
        <v>1</v>
      </c>
      <c r="N521" s="942"/>
      <c r="O521" s="52">
        <f t="shared" si="91"/>
        <v>1</v>
      </c>
      <c r="P521" s="942"/>
      <c r="Q521" s="52">
        <f t="shared" si="92"/>
        <v>0</v>
      </c>
      <c r="R521" s="470">
        <f t="shared" si="93"/>
        <v>0</v>
      </c>
      <c r="S521" s="779">
        <f t="shared" si="94"/>
        <v>0</v>
      </c>
    </row>
    <row r="522" spans="1:19">
      <c r="A522" s="944"/>
      <c r="B522" s="131"/>
      <c r="C522" s="52">
        <f t="shared" si="85"/>
        <v>1</v>
      </c>
      <c r="D522" s="942"/>
      <c r="E522" s="52">
        <f t="shared" si="86"/>
        <v>2.5000000000000001E-2</v>
      </c>
      <c r="F522" s="942"/>
      <c r="G522" s="52">
        <f t="shared" si="87"/>
        <v>0.12</v>
      </c>
      <c r="H522" s="942"/>
      <c r="I522" s="52">
        <f t="shared" si="88"/>
        <v>1</v>
      </c>
      <c r="J522" s="942"/>
      <c r="K522" s="52">
        <f t="shared" si="89"/>
        <v>1</v>
      </c>
      <c r="L522" s="942"/>
      <c r="M522" s="52">
        <f t="shared" si="90"/>
        <v>1</v>
      </c>
      <c r="N522" s="942"/>
      <c r="O522" s="52">
        <f t="shared" si="91"/>
        <v>1</v>
      </c>
      <c r="P522" s="942"/>
      <c r="Q522" s="52">
        <f t="shared" si="92"/>
        <v>0</v>
      </c>
      <c r="R522" s="470">
        <f t="shared" si="93"/>
        <v>0</v>
      </c>
      <c r="S522" s="779">
        <f t="shared" si="94"/>
        <v>0</v>
      </c>
    </row>
    <row r="523" spans="1:19">
      <c r="A523" s="944"/>
      <c r="B523" s="131"/>
      <c r="C523" s="52">
        <f t="shared" si="85"/>
        <v>1</v>
      </c>
      <c r="D523" s="942"/>
      <c r="E523" s="52">
        <f t="shared" si="86"/>
        <v>2.5000000000000001E-2</v>
      </c>
      <c r="F523" s="942"/>
      <c r="G523" s="52">
        <f t="shared" si="87"/>
        <v>0.12</v>
      </c>
      <c r="H523" s="942"/>
      <c r="I523" s="52">
        <f t="shared" si="88"/>
        <v>1</v>
      </c>
      <c r="J523" s="942"/>
      <c r="K523" s="52">
        <f t="shared" si="89"/>
        <v>1</v>
      </c>
      <c r="L523" s="942"/>
      <c r="M523" s="52">
        <f t="shared" si="90"/>
        <v>1</v>
      </c>
      <c r="N523" s="942"/>
      <c r="O523" s="52">
        <f t="shared" si="91"/>
        <v>1</v>
      </c>
      <c r="P523" s="942"/>
      <c r="Q523" s="52">
        <f t="shared" si="92"/>
        <v>0</v>
      </c>
      <c r="R523" s="470">
        <f t="shared" si="93"/>
        <v>0</v>
      </c>
      <c r="S523" s="779">
        <f t="shared" si="94"/>
        <v>0</v>
      </c>
    </row>
    <row r="524" spans="1:19">
      <c r="A524" s="944"/>
      <c r="B524" s="131"/>
      <c r="C524" s="52">
        <f t="shared" si="85"/>
        <v>1</v>
      </c>
      <c r="D524" s="942"/>
      <c r="E524" s="52">
        <f t="shared" si="86"/>
        <v>2.5000000000000001E-2</v>
      </c>
      <c r="F524" s="942"/>
      <c r="G524" s="52">
        <f t="shared" si="87"/>
        <v>0.12</v>
      </c>
      <c r="H524" s="942"/>
      <c r="I524" s="52">
        <f t="shared" si="88"/>
        <v>1</v>
      </c>
      <c r="J524" s="942"/>
      <c r="K524" s="52">
        <f t="shared" si="89"/>
        <v>1</v>
      </c>
      <c r="L524" s="942"/>
      <c r="M524" s="52">
        <f t="shared" si="90"/>
        <v>1</v>
      </c>
      <c r="N524" s="942"/>
      <c r="O524" s="52">
        <f t="shared" si="91"/>
        <v>1</v>
      </c>
      <c r="P524" s="942"/>
      <c r="Q524" s="52">
        <f t="shared" si="92"/>
        <v>0</v>
      </c>
      <c r="R524" s="470">
        <f t="shared" si="93"/>
        <v>0</v>
      </c>
      <c r="S524" s="779">
        <f t="shared" si="94"/>
        <v>0</v>
      </c>
    </row>
    <row r="525" spans="1:19">
      <c r="A525" s="234"/>
      <c r="B525" s="56"/>
      <c r="C525" s="56"/>
      <c r="D525" s="56"/>
      <c r="E525" s="56"/>
      <c r="F525" s="56"/>
      <c r="G525" s="56"/>
      <c r="H525" s="56"/>
      <c r="I525" s="56"/>
      <c r="J525" s="56"/>
      <c r="K525" s="56"/>
      <c r="L525" s="56"/>
      <c r="M525" s="56"/>
      <c r="N525" s="56"/>
      <c r="O525" s="56"/>
      <c r="P525" s="56"/>
      <c r="Q525" s="56"/>
      <c r="R525" s="2206"/>
      <c r="S525" s="234"/>
    </row>
    <row r="526" spans="1:19">
      <c r="A526" s="234"/>
      <c r="B526" s="56"/>
      <c r="C526" s="56"/>
      <c r="D526" s="56"/>
      <c r="E526" s="56"/>
      <c r="F526" s="56"/>
      <c r="G526" s="56"/>
      <c r="H526" s="56"/>
      <c r="I526" s="56"/>
      <c r="J526" s="56"/>
      <c r="K526" s="56"/>
      <c r="L526" s="56"/>
      <c r="M526" s="56"/>
      <c r="N526" s="56"/>
      <c r="O526" s="56"/>
      <c r="P526" s="56"/>
      <c r="Q526" s="56"/>
      <c r="R526" s="2206"/>
      <c r="S526" s="234"/>
    </row>
    <row r="527" spans="1:19">
      <c r="A527" s="234"/>
      <c r="B527" s="56"/>
      <c r="C527" s="56"/>
      <c r="D527" s="56"/>
      <c r="E527" s="56"/>
      <c r="F527" s="56"/>
      <c r="G527" s="56"/>
      <c r="H527" s="56"/>
      <c r="I527" s="56"/>
      <c r="J527" s="56"/>
      <c r="K527" s="56"/>
      <c r="L527" s="56"/>
      <c r="M527" s="56"/>
      <c r="N527" s="56"/>
      <c r="O527" s="56"/>
      <c r="P527" s="56"/>
      <c r="Q527" s="56"/>
      <c r="R527" s="2206"/>
      <c r="S527" s="234"/>
    </row>
    <row r="528" spans="1:19">
      <c r="A528" s="234"/>
      <c r="B528" s="56"/>
      <c r="C528" s="56"/>
      <c r="D528" s="56"/>
      <c r="E528" s="56"/>
      <c r="F528" s="56"/>
      <c r="G528" s="56"/>
      <c r="H528" s="56"/>
      <c r="I528" s="56"/>
      <c r="J528" s="56"/>
      <c r="K528" s="56"/>
      <c r="L528" s="56"/>
      <c r="M528" s="56"/>
      <c r="N528" s="56"/>
      <c r="O528" s="56"/>
      <c r="P528" s="56"/>
      <c r="Q528" s="56"/>
      <c r="R528" s="2206"/>
      <c r="S528" s="234"/>
    </row>
    <row r="529" spans="1:19">
      <c r="A529" s="234"/>
      <c r="B529" s="56"/>
      <c r="C529" s="56"/>
      <c r="D529" s="56"/>
      <c r="E529" s="56"/>
      <c r="F529" s="56"/>
      <c r="G529" s="56"/>
      <c r="H529" s="56"/>
      <c r="I529" s="56"/>
      <c r="J529" s="56"/>
      <c r="K529" s="56"/>
      <c r="L529" s="56"/>
      <c r="M529" s="56"/>
      <c r="N529" s="56"/>
      <c r="O529" s="56"/>
      <c r="P529" s="56"/>
      <c r="Q529" s="56"/>
      <c r="R529" s="2206"/>
      <c r="S529" s="234"/>
    </row>
    <row r="530" spans="1:19">
      <c r="A530" s="234"/>
      <c r="B530" s="56"/>
      <c r="C530" s="56"/>
      <c r="D530" s="56"/>
      <c r="E530" s="56"/>
      <c r="F530" s="56"/>
      <c r="G530" s="56"/>
      <c r="H530" s="56"/>
      <c r="I530" s="56"/>
      <c r="J530" s="56"/>
      <c r="K530" s="56"/>
      <c r="L530" s="56"/>
      <c r="M530" s="56"/>
      <c r="N530" s="56"/>
      <c r="O530" s="56"/>
      <c r="P530" s="56"/>
      <c r="Q530" s="56"/>
      <c r="R530" s="2206"/>
      <c r="S530" s="234"/>
    </row>
    <row r="531" spans="1:19">
      <c r="A531" s="234"/>
      <c r="B531" s="56"/>
      <c r="C531" s="56"/>
      <c r="D531" s="56"/>
      <c r="E531" s="56"/>
      <c r="F531" s="56"/>
      <c r="G531" s="56"/>
      <c r="H531" s="56"/>
      <c r="I531" s="56"/>
      <c r="J531" s="56"/>
      <c r="K531" s="56"/>
      <c r="L531" s="56"/>
      <c r="M531" s="56"/>
      <c r="N531" s="56"/>
      <c r="O531" s="56"/>
      <c r="P531" s="56"/>
      <c r="Q531" s="56"/>
      <c r="R531" s="2206"/>
      <c r="S531" s="234"/>
    </row>
    <row r="532" spans="1:19">
      <c r="A532" s="234"/>
      <c r="B532" s="56"/>
      <c r="C532" s="56"/>
      <c r="D532" s="56"/>
      <c r="E532" s="56"/>
      <c r="F532" s="56"/>
      <c r="G532" s="56"/>
      <c r="H532" s="56"/>
      <c r="I532" s="56"/>
      <c r="J532" s="56"/>
      <c r="K532" s="56"/>
      <c r="L532" s="56"/>
      <c r="M532" s="56"/>
      <c r="N532" s="56"/>
      <c r="O532" s="56"/>
      <c r="P532" s="56"/>
      <c r="Q532" s="56"/>
      <c r="R532" s="2206"/>
      <c r="S532" s="234"/>
    </row>
    <row r="533" spans="1:19">
      <c r="A533" s="234"/>
      <c r="B533" s="56"/>
      <c r="C533" s="56"/>
      <c r="D533" s="56"/>
      <c r="E533" s="56"/>
      <c r="F533" s="56"/>
      <c r="G533" s="56"/>
      <c r="H533" s="56"/>
      <c r="I533" s="56"/>
      <c r="J533" s="56"/>
      <c r="K533" s="56"/>
      <c r="L533" s="56"/>
      <c r="M533" s="56"/>
      <c r="N533" s="56"/>
      <c r="O533" s="56"/>
      <c r="P533" s="56"/>
      <c r="Q533" s="56"/>
      <c r="R533" s="2206"/>
      <c r="S533" s="234"/>
    </row>
    <row r="534" spans="1:19">
      <c r="A534" s="234"/>
      <c r="B534" s="56"/>
      <c r="C534" s="56"/>
      <c r="D534" s="56"/>
      <c r="E534" s="56"/>
      <c r="F534" s="56"/>
      <c r="G534" s="56"/>
      <c r="H534" s="56"/>
      <c r="I534" s="56"/>
      <c r="J534" s="56"/>
      <c r="K534" s="56"/>
      <c r="L534" s="56"/>
      <c r="M534" s="56"/>
      <c r="N534" s="56"/>
      <c r="O534" s="56"/>
      <c r="P534" s="56"/>
      <c r="Q534" s="56"/>
      <c r="R534" s="2206"/>
      <c r="S534" s="234"/>
    </row>
    <row r="535" spans="1:19">
      <c r="A535" s="234"/>
      <c r="B535" s="56"/>
      <c r="C535" s="56"/>
      <c r="D535" s="56"/>
      <c r="E535" s="56"/>
      <c r="F535" s="56"/>
      <c r="G535" s="56"/>
      <c r="H535" s="56"/>
      <c r="I535" s="56"/>
      <c r="J535" s="56"/>
      <c r="K535" s="56"/>
      <c r="L535" s="56"/>
      <c r="M535" s="56"/>
      <c r="N535" s="56"/>
      <c r="O535" s="56"/>
      <c r="P535" s="56"/>
      <c r="Q535" s="56"/>
      <c r="R535" s="2206"/>
      <c r="S535" s="234"/>
    </row>
    <row r="536" spans="1:19">
      <c r="A536" s="234"/>
      <c r="B536" s="56"/>
      <c r="C536" s="56"/>
      <c r="D536" s="56"/>
      <c r="E536" s="56"/>
      <c r="F536" s="56"/>
      <c r="G536" s="56"/>
      <c r="H536" s="56"/>
      <c r="I536" s="56"/>
      <c r="J536" s="56"/>
      <c r="K536" s="56"/>
      <c r="L536" s="56"/>
      <c r="M536" s="56"/>
      <c r="N536" s="56"/>
      <c r="O536" s="56"/>
      <c r="P536" s="56"/>
      <c r="Q536" s="56"/>
      <c r="R536" s="2206"/>
      <c r="S536" s="234"/>
    </row>
    <row r="537" spans="1:19">
      <c r="A537" s="234"/>
      <c r="B537" s="56"/>
      <c r="C537" s="56"/>
      <c r="D537" s="56"/>
      <c r="E537" s="56"/>
      <c r="F537" s="56"/>
      <c r="G537" s="56"/>
      <c r="H537" s="56"/>
      <c r="I537" s="56"/>
      <c r="J537" s="56"/>
      <c r="K537" s="56"/>
      <c r="L537" s="56"/>
      <c r="M537" s="56"/>
      <c r="N537" s="56"/>
      <c r="O537" s="56"/>
      <c r="P537" s="56"/>
      <c r="Q537" s="56"/>
      <c r="R537" s="2206"/>
      <c r="S537" s="234"/>
    </row>
    <row r="538" spans="1:19">
      <c r="A538" s="234"/>
      <c r="B538" s="56"/>
      <c r="C538" s="56"/>
      <c r="D538" s="56"/>
      <c r="E538" s="56"/>
      <c r="F538" s="56"/>
      <c r="G538" s="56"/>
      <c r="H538" s="56"/>
      <c r="I538" s="56"/>
      <c r="J538" s="56"/>
      <c r="K538" s="56"/>
      <c r="L538" s="56"/>
      <c r="M538" s="56"/>
      <c r="N538" s="56"/>
      <c r="O538" s="56"/>
      <c r="P538" s="56"/>
      <c r="Q538" s="56"/>
      <c r="R538" s="2206"/>
      <c r="S538" s="234"/>
    </row>
    <row r="539" spans="1:19">
      <c r="A539" s="234"/>
      <c r="B539" s="56"/>
      <c r="C539" s="56"/>
      <c r="D539" s="56"/>
      <c r="E539" s="56"/>
      <c r="F539" s="56"/>
      <c r="G539" s="56"/>
      <c r="H539" s="56"/>
      <c r="I539" s="56"/>
      <c r="J539" s="56"/>
      <c r="K539" s="56"/>
      <c r="L539" s="56"/>
      <c r="M539" s="56"/>
      <c r="N539" s="56"/>
      <c r="O539" s="56"/>
      <c r="P539" s="56"/>
      <c r="Q539" s="56"/>
      <c r="R539" s="2206"/>
      <c r="S539" s="234"/>
    </row>
    <row r="540" spans="1:19">
      <c r="A540" s="234"/>
      <c r="B540" s="56"/>
      <c r="C540" s="56"/>
      <c r="D540" s="56"/>
      <c r="E540" s="56"/>
      <c r="F540" s="56"/>
      <c r="G540" s="56"/>
      <c r="H540" s="56"/>
      <c r="I540" s="56"/>
      <c r="J540" s="56"/>
      <c r="K540" s="56"/>
      <c r="L540" s="56"/>
      <c r="M540" s="56"/>
      <c r="N540" s="56"/>
      <c r="O540" s="56"/>
      <c r="P540" s="56"/>
      <c r="Q540" s="56"/>
      <c r="R540" s="2206"/>
      <c r="S540" s="234"/>
    </row>
    <row r="541" spans="1:19">
      <c r="A541" s="234"/>
      <c r="B541" s="56"/>
      <c r="C541" s="56"/>
      <c r="D541" s="56"/>
      <c r="E541" s="56"/>
      <c r="F541" s="56"/>
      <c r="G541" s="56"/>
      <c r="H541" s="56"/>
      <c r="I541" s="56"/>
      <c r="J541" s="56"/>
      <c r="K541" s="56"/>
      <c r="L541" s="56"/>
      <c r="M541" s="56"/>
      <c r="N541" s="56"/>
      <c r="O541" s="56"/>
      <c r="P541" s="56"/>
      <c r="Q541" s="56"/>
      <c r="R541" s="2206"/>
      <c r="S541" s="234"/>
    </row>
    <row r="542" spans="1:19">
      <c r="A542" s="234"/>
      <c r="B542" s="56"/>
      <c r="C542" s="56"/>
      <c r="D542" s="56"/>
      <c r="E542" s="56"/>
      <c r="F542" s="56"/>
      <c r="G542" s="56"/>
      <c r="H542" s="56"/>
      <c r="I542" s="56"/>
      <c r="J542" s="56"/>
      <c r="K542" s="56"/>
      <c r="L542" s="56"/>
      <c r="M542" s="56"/>
      <c r="N542" s="56"/>
      <c r="O542" s="56"/>
      <c r="P542" s="56"/>
      <c r="Q542" s="56"/>
      <c r="R542" s="2206"/>
      <c r="S542" s="234"/>
    </row>
    <row r="543" spans="1:19">
      <c r="A543" s="234"/>
      <c r="B543" s="56"/>
      <c r="C543" s="56"/>
      <c r="D543" s="56"/>
      <c r="E543" s="56"/>
      <c r="F543" s="56"/>
      <c r="G543" s="56"/>
      <c r="H543" s="56"/>
      <c r="I543" s="56"/>
      <c r="J543" s="56"/>
      <c r="K543" s="56"/>
      <c r="L543" s="56"/>
      <c r="M543" s="56"/>
      <c r="N543" s="56"/>
      <c r="O543" s="56"/>
      <c r="P543" s="56"/>
      <c r="Q543" s="56"/>
      <c r="R543" s="2206"/>
      <c r="S543" s="234"/>
    </row>
    <row r="544" spans="1:19">
      <c r="A544" s="234"/>
      <c r="B544" s="56"/>
      <c r="C544" s="56"/>
      <c r="D544" s="56"/>
      <c r="E544" s="56"/>
      <c r="F544" s="56"/>
      <c r="G544" s="56"/>
      <c r="H544" s="56"/>
      <c r="I544" s="56"/>
      <c r="J544" s="56"/>
      <c r="K544" s="56"/>
      <c r="L544" s="56"/>
      <c r="M544" s="56"/>
      <c r="N544" s="56"/>
      <c r="O544" s="56"/>
      <c r="P544" s="56"/>
      <c r="Q544" s="56"/>
      <c r="R544" s="2206"/>
      <c r="S544" s="234"/>
    </row>
    <row r="545" spans="1:19">
      <c r="A545" s="234"/>
      <c r="B545" s="56"/>
      <c r="C545" s="56"/>
      <c r="D545" s="56"/>
      <c r="E545" s="56"/>
      <c r="F545" s="56"/>
      <c r="G545" s="56"/>
      <c r="H545" s="56"/>
      <c r="I545" s="56"/>
      <c r="J545" s="56"/>
      <c r="K545" s="56"/>
      <c r="L545" s="56"/>
      <c r="M545" s="56"/>
      <c r="N545" s="56"/>
      <c r="O545" s="56"/>
      <c r="P545" s="56"/>
      <c r="Q545" s="56"/>
      <c r="R545" s="2206"/>
      <c r="S545" s="234"/>
    </row>
    <row r="546" spans="1:19">
      <c r="A546" s="234"/>
      <c r="B546" s="56"/>
      <c r="C546" s="56"/>
      <c r="D546" s="56"/>
      <c r="E546" s="56"/>
      <c r="F546" s="56"/>
      <c r="G546" s="56"/>
      <c r="H546" s="56"/>
      <c r="I546" s="56"/>
      <c r="J546" s="56"/>
      <c r="K546" s="56"/>
      <c r="L546" s="56"/>
      <c r="M546" s="56"/>
      <c r="N546" s="56"/>
      <c r="O546" s="56"/>
      <c r="P546" s="56"/>
      <c r="Q546" s="56"/>
      <c r="R546" s="2206"/>
      <c r="S546" s="234"/>
    </row>
    <row r="547" spans="1:19">
      <c r="A547" s="234"/>
      <c r="B547" s="56"/>
      <c r="C547" s="56"/>
      <c r="D547" s="56"/>
      <c r="E547" s="56"/>
      <c r="F547" s="56"/>
      <c r="G547" s="56"/>
      <c r="H547" s="56"/>
      <c r="I547" s="56"/>
      <c r="J547" s="56"/>
      <c r="K547" s="56"/>
      <c r="L547" s="56"/>
      <c r="M547" s="56"/>
      <c r="N547" s="56"/>
      <c r="O547" s="56"/>
      <c r="P547" s="56"/>
      <c r="Q547" s="56"/>
      <c r="R547" s="2206"/>
      <c r="S547" s="234"/>
    </row>
    <row r="548" spans="1:19">
      <c r="A548" s="234"/>
      <c r="B548" s="56"/>
      <c r="C548" s="56"/>
      <c r="D548" s="56"/>
      <c r="E548" s="56"/>
      <c r="F548" s="56"/>
      <c r="G548" s="56"/>
      <c r="H548" s="56"/>
      <c r="I548" s="56"/>
      <c r="J548" s="56"/>
      <c r="K548" s="56"/>
      <c r="L548" s="56"/>
      <c r="M548" s="56"/>
      <c r="N548" s="56"/>
      <c r="O548" s="56"/>
      <c r="P548" s="56"/>
      <c r="Q548" s="56"/>
      <c r="R548" s="2206"/>
      <c r="S548" s="234"/>
    </row>
    <row r="549" spans="1:19">
      <c r="A549" s="234"/>
      <c r="B549" s="56"/>
      <c r="C549" s="56"/>
      <c r="D549" s="56"/>
      <c r="E549" s="56"/>
      <c r="F549" s="56"/>
      <c r="G549" s="56"/>
      <c r="H549" s="56"/>
      <c r="I549" s="56"/>
      <c r="J549" s="56"/>
      <c r="K549" s="56"/>
      <c r="L549" s="56"/>
      <c r="M549" s="56"/>
      <c r="N549" s="56"/>
      <c r="O549" s="56"/>
      <c r="P549" s="56"/>
      <c r="Q549" s="56"/>
      <c r="R549" s="2206"/>
      <c r="S549" s="234"/>
    </row>
    <row r="550" spans="1:19">
      <c r="A550" s="234"/>
      <c r="B550" s="56"/>
      <c r="C550" s="56"/>
      <c r="D550" s="56"/>
      <c r="E550" s="56"/>
      <c r="F550" s="56"/>
      <c r="G550" s="56"/>
      <c r="H550" s="56"/>
      <c r="I550" s="56"/>
      <c r="J550" s="56"/>
      <c r="K550" s="56"/>
      <c r="L550" s="56"/>
      <c r="M550" s="56"/>
      <c r="N550" s="56"/>
      <c r="O550" s="56"/>
      <c r="P550" s="56"/>
      <c r="Q550" s="56"/>
      <c r="R550" s="2206"/>
      <c r="S550" s="234"/>
    </row>
    <row r="551" spans="1:19">
      <c r="A551" s="234"/>
      <c r="B551" s="56"/>
      <c r="C551" s="56"/>
      <c r="D551" s="56"/>
      <c r="E551" s="56"/>
      <c r="F551" s="56"/>
      <c r="G551" s="56"/>
      <c r="H551" s="56"/>
      <c r="I551" s="56"/>
      <c r="J551" s="56"/>
      <c r="K551" s="56"/>
      <c r="L551" s="56"/>
      <c r="M551" s="56"/>
      <c r="N551" s="56"/>
      <c r="O551" s="56"/>
      <c r="P551" s="56"/>
      <c r="Q551" s="56"/>
      <c r="R551" s="2206"/>
      <c r="S551" s="234"/>
    </row>
    <row r="552" spans="1:19">
      <c r="A552" s="234"/>
      <c r="B552" s="56"/>
      <c r="C552" s="56"/>
      <c r="D552" s="56"/>
      <c r="E552" s="56"/>
      <c r="F552" s="56"/>
      <c r="G552" s="56"/>
      <c r="H552" s="56"/>
      <c r="I552" s="56"/>
      <c r="J552" s="56"/>
      <c r="K552" s="56"/>
      <c r="L552" s="56"/>
      <c r="M552" s="56"/>
      <c r="N552" s="56"/>
      <c r="O552" s="56"/>
      <c r="P552" s="56"/>
      <c r="Q552" s="56"/>
      <c r="R552" s="2206"/>
      <c r="S552" s="234"/>
    </row>
    <row r="553" spans="1:19">
      <c r="A553" s="234"/>
      <c r="B553" s="56"/>
      <c r="C553" s="56"/>
      <c r="D553" s="56"/>
      <c r="E553" s="56"/>
      <c r="F553" s="56"/>
      <c r="G553" s="56"/>
      <c r="H553" s="56"/>
      <c r="I553" s="56"/>
      <c r="J553" s="56"/>
      <c r="K553" s="56"/>
      <c r="L553" s="56"/>
      <c r="M553" s="56"/>
      <c r="N553" s="56"/>
      <c r="O553" s="56"/>
      <c r="P553" s="56"/>
      <c r="Q553" s="56"/>
      <c r="R553" s="2206"/>
      <c r="S553" s="234"/>
    </row>
    <row r="554" spans="1:19">
      <c r="A554" s="234"/>
      <c r="B554" s="56"/>
      <c r="C554" s="56"/>
      <c r="D554" s="56"/>
      <c r="E554" s="56"/>
      <c r="F554" s="56"/>
      <c r="G554" s="56"/>
      <c r="H554" s="56"/>
      <c r="I554" s="56"/>
      <c r="J554" s="56"/>
      <c r="K554" s="56"/>
      <c r="L554" s="56"/>
      <c r="M554" s="56"/>
      <c r="N554" s="56"/>
      <c r="O554" s="56"/>
      <c r="P554" s="56"/>
      <c r="Q554" s="56"/>
      <c r="R554" s="2206"/>
      <c r="S554" s="234"/>
    </row>
    <row r="555" spans="1:19">
      <c r="A555" s="234"/>
      <c r="B555" s="56"/>
      <c r="C555" s="56"/>
      <c r="D555" s="56"/>
      <c r="E555" s="56"/>
      <c r="F555" s="56"/>
      <c r="G555" s="56"/>
      <c r="H555" s="56"/>
      <c r="I555" s="56"/>
      <c r="J555" s="56"/>
      <c r="K555" s="56"/>
      <c r="L555" s="56"/>
      <c r="M555" s="56"/>
      <c r="N555" s="56"/>
      <c r="O555" s="56"/>
      <c r="P555" s="56"/>
      <c r="Q555" s="56"/>
      <c r="R555" s="2206"/>
      <c r="S555" s="234"/>
    </row>
    <row r="556" spans="1:19">
      <c r="A556" s="234"/>
      <c r="B556" s="56"/>
      <c r="C556" s="56"/>
      <c r="D556" s="56"/>
      <c r="E556" s="56"/>
      <c r="F556" s="56"/>
      <c r="G556" s="56"/>
      <c r="H556" s="56"/>
      <c r="I556" s="56"/>
      <c r="J556" s="56"/>
      <c r="K556" s="56"/>
      <c r="L556" s="56"/>
      <c r="M556" s="56"/>
      <c r="N556" s="56"/>
      <c r="O556" s="56"/>
      <c r="P556" s="56"/>
      <c r="Q556" s="56"/>
      <c r="R556" s="2206"/>
      <c r="S556" s="234"/>
    </row>
    <row r="557" spans="1:19">
      <c r="A557" s="234"/>
      <c r="B557" s="56"/>
      <c r="C557" s="56"/>
      <c r="D557" s="56"/>
      <c r="E557" s="56"/>
      <c r="F557" s="56"/>
      <c r="G557" s="56"/>
      <c r="H557" s="56"/>
      <c r="I557" s="56"/>
      <c r="J557" s="56"/>
      <c r="K557" s="56"/>
      <c r="L557" s="56"/>
      <c r="M557" s="56"/>
      <c r="N557" s="56"/>
      <c r="O557" s="56"/>
      <c r="P557" s="56"/>
      <c r="Q557" s="56"/>
      <c r="R557" s="2206"/>
      <c r="S557" s="234"/>
    </row>
    <row r="558" spans="1:19">
      <c r="A558" s="234"/>
      <c r="B558" s="56"/>
      <c r="C558" s="56"/>
      <c r="D558" s="56"/>
      <c r="E558" s="56"/>
      <c r="F558" s="56"/>
      <c r="G558" s="56"/>
      <c r="H558" s="56"/>
      <c r="I558" s="56"/>
      <c r="J558" s="56"/>
      <c r="K558" s="56"/>
      <c r="L558" s="56"/>
      <c r="M558" s="56"/>
      <c r="N558" s="56"/>
      <c r="O558" s="56"/>
      <c r="P558" s="56"/>
      <c r="Q558" s="56"/>
      <c r="R558" s="2206"/>
      <c r="S558" s="234"/>
    </row>
    <row r="559" spans="1:19">
      <c r="A559" s="234"/>
      <c r="B559" s="56"/>
      <c r="C559" s="56"/>
      <c r="D559" s="56"/>
      <c r="E559" s="56"/>
      <c r="F559" s="56"/>
      <c r="G559" s="56"/>
      <c r="H559" s="56"/>
      <c r="I559" s="56"/>
      <c r="J559" s="56"/>
      <c r="K559" s="56"/>
      <c r="L559" s="56"/>
      <c r="M559" s="56"/>
      <c r="N559" s="56"/>
      <c r="O559" s="56"/>
      <c r="P559" s="56"/>
      <c r="Q559" s="56"/>
      <c r="R559" s="2206"/>
      <c r="S559" s="234"/>
    </row>
    <row r="560" spans="1:19">
      <c r="A560" s="234"/>
      <c r="B560" s="56"/>
      <c r="C560" s="56"/>
      <c r="D560" s="56"/>
      <c r="E560" s="56"/>
      <c r="F560" s="56"/>
      <c r="G560" s="56"/>
      <c r="H560" s="56"/>
      <c r="I560" s="56"/>
      <c r="J560" s="56"/>
      <c r="K560" s="56"/>
      <c r="L560" s="56"/>
      <c r="M560" s="56"/>
      <c r="N560" s="56"/>
      <c r="O560" s="56"/>
      <c r="P560" s="56"/>
      <c r="Q560" s="56"/>
      <c r="R560" s="2206"/>
      <c r="S560" s="234"/>
    </row>
    <row r="561" spans="1:19">
      <c r="A561" s="234"/>
      <c r="B561" s="56"/>
      <c r="C561" s="56"/>
      <c r="D561" s="56"/>
      <c r="E561" s="56"/>
      <c r="F561" s="56"/>
      <c r="G561" s="56"/>
      <c r="H561" s="56"/>
      <c r="I561" s="56"/>
      <c r="J561" s="56"/>
      <c r="K561" s="56"/>
      <c r="L561" s="56"/>
      <c r="M561" s="56"/>
      <c r="N561" s="56"/>
      <c r="O561" s="56"/>
      <c r="P561" s="56"/>
      <c r="Q561" s="56"/>
      <c r="R561" s="2206"/>
      <c r="S561" s="234"/>
    </row>
    <row r="562" spans="1:19">
      <c r="A562" s="234"/>
      <c r="B562" s="56"/>
      <c r="C562" s="56"/>
      <c r="D562" s="56"/>
      <c r="E562" s="56"/>
      <c r="F562" s="56"/>
      <c r="G562" s="56"/>
      <c r="H562" s="56"/>
      <c r="I562" s="56"/>
      <c r="J562" s="56"/>
      <c r="K562" s="56"/>
      <c r="L562" s="56"/>
      <c r="M562" s="56"/>
      <c r="N562" s="56"/>
      <c r="O562" s="56"/>
      <c r="P562" s="56"/>
      <c r="Q562" s="56"/>
      <c r="R562" s="2206"/>
      <c r="S562" s="234"/>
    </row>
    <row r="563" spans="1:19">
      <c r="A563" s="234"/>
      <c r="B563" s="56"/>
      <c r="C563" s="56"/>
      <c r="D563" s="56"/>
      <c r="E563" s="56"/>
      <c r="F563" s="56"/>
      <c r="G563" s="56"/>
      <c r="H563" s="56"/>
      <c r="I563" s="56"/>
      <c r="J563" s="56"/>
      <c r="K563" s="56"/>
      <c r="L563" s="56"/>
      <c r="M563" s="56"/>
      <c r="N563" s="56"/>
      <c r="O563" s="56"/>
      <c r="P563" s="56"/>
      <c r="Q563" s="56"/>
      <c r="R563" s="2206"/>
      <c r="S563" s="234"/>
    </row>
    <row r="564" spans="1:19">
      <c r="A564" s="234"/>
      <c r="B564" s="56"/>
      <c r="C564" s="56"/>
      <c r="D564" s="56"/>
      <c r="E564" s="56"/>
      <c r="F564" s="56"/>
      <c r="G564" s="56"/>
      <c r="H564" s="56"/>
      <c r="I564" s="56"/>
      <c r="J564" s="56"/>
      <c r="K564" s="56"/>
      <c r="L564" s="56"/>
      <c r="M564" s="56"/>
      <c r="N564" s="56"/>
      <c r="O564" s="56"/>
      <c r="P564" s="56"/>
      <c r="Q564" s="56"/>
      <c r="R564" s="2206"/>
      <c r="S564" s="234"/>
    </row>
    <row r="565" spans="1:19">
      <c r="A565" s="234"/>
      <c r="B565" s="56"/>
      <c r="C565" s="56"/>
      <c r="D565" s="56"/>
      <c r="E565" s="56"/>
      <c r="F565" s="56"/>
      <c r="G565" s="56"/>
      <c r="H565" s="56"/>
      <c r="I565" s="56"/>
      <c r="J565" s="56"/>
      <c r="K565" s="56"/>
      <c r="L565" s="56"/>
      <c r="M565" s="56"/>
      <c r="N565" s="56"/>
      <c r="O565" s="56"/>
      <c r="P565" s="56"/>
      <c r="Q565" s="56"/>
      <c r="R565" s="2206"/>
      <c r="S565" s="234"/>
    </row>
    <row r="566" spans="1:19">
      <c r="A566" s="234"/>
      <c r="B566" s="56"/>
      <c r="C566" s="56"/>
      <c r="D566" s="56"/>
      <c r="E566" s="56"/>
      <c r="F566" s="56"/>
      <c r="G566" s="56"/>
      <c r="H566" s="56"/>
      <c r="I566" s="56"/>
      <c r="J566" s="56"/>
      <c r="K566" s="56"/>
      <c r="L566" s="56"/>
      <c r="M566" s="56"/>
      <c r="N566" s="56"/>
      <c r="O566" s="56"/>
      <c r="P566" s="56"/>
      <c r="Q566" s="56"/>
      <c r="R566" s="2206"/>
      <c r="S566" s="234"/>
    </row>
    <row r="567" spans="1:19">
      <c r="A567" s="234"/>
      <c r="B567" s="56"/>
      <c r="C567" s="56"/>
      <c r="D567" s="56"/>
      <c r="E567" s="56"/>
      <c r="F567" s="56"/>
      <c r="G567" s="56"/>
      <c r="H567" s="56"/>
      <c r="I567" s="56"/>
      <c r="J567" s="56"/>
      <c r="K567" s="56"/>
      <c r="L567" s="56"/>
      <c r="M567" s="56"/>
      <c r="N567" s="56"/>
      <c r="O567" s="56"/>
      <c r="P567" s="56"/>
      <c r="Q567" s="56"/>
      <c r="R567" s="2206"/>
      <c r="S567" s="234"/>
    </row>
    <row r="568" spans="1:19">
      <c r="A568" s="234"/>
      <c r="B568" s="56"/>
      <c r="C568" s="56"/>
      <c r="D568" s="56"/>
      <c r="E568" s="56"/>
      <c r="F568" s="56"/>
      <c r="G568" s="56"/>
      <c r="H568" s="56"/>
      <c r="I568" s="56"/>
      <c r="J568" s="56"/>
      <c r="K568" s="56"/>
      <c r="L568" s="56"/>
      <c r="M568" s="56"/>
      <c r="N568" s="56"/>
      <c r="O568" s="56"/>
      <c r="P568" s="56"/>
      <c r="Q568" s="56"/>
      <c r="R568" s="2206"/>
      <c r="S568" s="234"/>
    </row>
    <row r="569" spans="1:19">
      <c r="A569" s="234"/>
      <c r="B569" s="56"/>
      <c r="C569" s="56"/>
      <c r="D569" s="56"/>
      <c r="E569" s="56"/>
      <c r="F569" s="56"/>
      <c r="G569" s="56"/>
      <c r="H569" s="56"/>
      <c r="I569" s="56"/>
      <c r="J569" s="56"/>
      <c r="K569" s="56"/>
      <c r="L569" s="56"/>
      <c r="M569" s="56"/>
      <c r="N569" s="56"/>
      <c r="O569" s="56"/>
      <c r="P569" s="56"/>
      <c r="Q569" s="56"/>
      <c r="R569" s="2206"/>
      <c r="S569" s="234"/>
    </row>
    <row r="570" spans="1:19">
      <c r="A570" s="234"/>
      <c r="B570" s="56"/>
      <c r="C570" s="56"/>
      <c r="D570" s="56"/>
      <c r="E570" s="56"/>
      <c r="F570" s="56"/>
      <c r="G570" s="56"/>
      <c r="H570" s="56"/>
      <c r="I570" s="56"/>
      <c r="J570" s="56"/>
      <c r="K570" s="56"/>
      <c r="L570" s="56"/>
      <c r="M570" s="56"/>
      <c r="N570" s="56"/>
      <c r="O570" s="56"/>
      <c r="P570" s="56"/>
      <c r="Q570" s="56"/>
      <c r="R570" s="2206"/>
      <c r="S570" s="234"/>
    </row>
    <row r="571" spans="1:19">
      <c r="A571" s="234"/>
      <c r="B571" s="56"/>
      <c r="C571" s="56"/>
      <c r="D571" s="56"/>
      <c r="E571" s="56"/>
      <c r="F571" s="56"/>
      <c r="G571" s="56"/>
      <c r="H571" s="56"/>
      <c r="I571" s="56"/>
      <c r="J571" s="56"/>
      <c r="K571" s="56"/>
      <c r="L571" s="56"/>
      <c r="M571" s="56"/>
      <c r="N571" s="56"/>
      <c r="O571" s="56"/>
      <c r="P571" s="56"/>
      <c r="Q571" s="56"/>
      <c r="R571" s="2206"/>
      <c r="S571" s="234"/>
    </row>
    <row r="572" spans="1:19">
      <c r="A572" s="234"/>
      <c r="B572" s="56"/>
      <c r="C572" s="56"/>
      <c r="D572" s="56"/>
      <c r="E572" s="56"/>
      <c r="F572" s="56"/>
      <c r="G572" s="56"/>
      <c r="H572" s="56"/>
      <c r="I572" s="56"/>
      <c r="J572" s="56"/>
      <c r="K572" s="56"/>
      <c r="L572" s="56"/>
      <c r="M572" s="56"/>
      <c r="N572" s="56"/>
      <c r="O572" s="56"/>
      <c r="P572" s="56"/>
      <c r="Q572" s="56"/>
      <c r="R572" s="2206"/>
      <c r="S572" s="234"/>
    </row>
    <row r="573" spans="1:19">
      <c r="A573" s="234"/>
      <c r="B573" s="56"/>
      <c r="C573" s="56"/>
      <c r="D573" s="56"/>
      <c r="E573" s="56"/>
      <c r="F573" s="56"/>
      <c r="G573" s="56"/>
      <c r="H573" s="56"/>
      <c r="I573" s="56"/>
      <c r="J573" s="56"/>
      <c r="K573" s="56"/>
      <c r="L573" s="56"/>
      <c r="M573" s="56"/>
      <c r="N573" s="56"/>
      <c r="O573" s="56"/>
      <c r="P573" s="56"/>
      <c r="Q573" s="56"/>
      <c r="R573" s="2206"/>
      <c r="S573" s="234"/>
    </row>
    <row r="574" spans="1:19">
      <c r="A574" s="234"/>
      <c r="B574" s="56"/>
      <c r="C574" s="56"/>
      <c r="D574" s="56"/>
      <c r="E574" s="56"/>
      <c r="F574" s="56"/>
      <c r="G574" s="56"/>
      <c r="H574" s="56"/>
      <c r="I574" s="56"/>
      <c r="J574" s="56"/>
      <c r="K574" s="56"/>
      <c r="L574" s="56"/>
      <c r="M574" s="56"/>
      <c r="N574" s="56"/>
      <c r="O574" s="56"/>
      <c r="P574" s="56"/>
      <c r="Q574" s="56"/>
      <c r="R574" s="2206"/>
      <c r="S574" s="234"/>
    </row>
    <row r="575" spans="1:19">
      <c r="A575" s="234"/>
      <c r="B575" s="56"/>
      <c r="C575" s="56"/>
      <c r="D575" s="56"/>
      <c r="E575" s="56"/>
      <c r="F575" s="56"/>
      <c r="G575" s="56"/>
      <c r="H575" s="56"/>
      <c r="I575" s="56"/>
      <c r="J575" s="56"/>
      <c r="K575" s="56"/>
      <c r="L575" s="56"/>
      <c r="M575" s="56"/>
      <c r="N575" s="56"/>
      <c r="O575" s="56"/>
      <c r="P575" s="56"/>
      <c r="Q575" s="56"/>
      <c r="R575" s="2206"/>
      <c r="S575" s="234"/>
    </row>
    <row r="576" spans="1:19">
      <c r="A576" s="234"/>
      <c r="B576" s="56"/>
      <c r="C576" s="56"/>
      <c r="D576" s="56"/>
      <c r="E576" s="56"/>
      <c r="F576" s="56"/>
      <c r="G576" s="56"/>
      <c r="H576" s="56"/>
      <c r="I576" s="56"/>
      <c r="J576" s="56"/>
      <c r="K576" s="56"/>
      <c r="L576" s="56"/>
      <c r="M576" s="56"/>
      <c r="N576" s="56"/>
      <c r="O576" s="56"/>
      <c r="P576" s="56"/>
      <c r="Q576" s="56"/>
      <c r="R576" s="2206"/>
      <c r="S576" s="234"/>
    </row>
    <row r="577" spans="1:19">
      <c r="A577" s="234"/>
      <c r="B577" s="56"/>
      <c r="C577" s="56"/>
      <c r="D577" s="56"/>
      <c r="E577" s="56"/>
      <c r="F577" s="56"/>
      <c r="G577" s="56"/>
      <c r="H577" s="56"/>
      <c r="I577" s="56"/>
      <c r="J577" s="56"/>
      <c r="K577" s="56"/>
      <c r="L577" s="56"/>
      <c r="M577" s="56"/>
      <c r="N577" s="56"/>
      <c r="O577" s="56"/>
      <c r="P577" s="56"/>
      <c r="Q577" s="56"/>
      <c r="R577" s="2206"/>
      <c r="S577" s="234"/>
    </row>
    <row r="578" spans="1:19">
      <c r="A578" s="234"/>
      <c r="B578" s="56"/>
      <c r="C578" s="56"/>
      <c r="D578" s="56"/>
      <c r="E578" s="56"/>
      <c r="F578" s="56"/>
      <c r="G578" s="56"/>
      <c r="H578" s="56"/>
      <c r="I578" s="56"/>
      <c r="J578" s="56"/>
      <c r="K578" s="56"/>
      <c r="L578" s="56"/>
      <c r="M578" s="56"/>
      <c r="N578" s="56"/>
      <c r="O578" s="56"/>
      <c r="P578" s="56"/>
      <c r="Q578" s="56"/>
      <c r="R578" s="2206"/>
      <c r="S578" s="234"/>
    </row>
    <row r="579" spans="1:19">
      <c r="A579" s="234"/>
      <c r="B579" s="56"/>
      <c r="C579" s="56"/>
      <c r="D579" s="56"/>
      <c r="E579" s="56"/>
      <c r="F579" s="56"/>
      <c r="G579" s="56"/>
      <c r="H579" s="56"/>
      <c r="I579" s="56"/>
      <c r="J579" s="56"/>
      <c r="K579" s="56"/>
      <c r="L579" s="56"/>
      <c r="M579" s="56"/>
      <c r="N579" s="56"/>
      <c r="O579" s="56"/>
      <c r="P579" s="56"/>
      <c r="Q579" s="56"/>
      <c r="R579" s="2206"/>
      <c r="S579" s="234"/>
    </row>
    <row r="580" spans="1:19">
      <c r="A580" s="234"/>
      <c r="B580" s="56"/>
      <c r="C580" s="56"/>
      <c r="D580" s="56"/>
      <c r="E580" s="56"/>
      <c r="F580" s="56"/>
      <c r="G580" s="56"/>
      <c r="H580" s="56"/>
      <c r="I580" s="56"/>
      <c r="J580" s="56"/>
      <c r="K580" s="56"/>
      <c r="L580" s="56"/>
      <c r="M580" s="56"/>
      <c r="N580" s="56"/>
      <c r="O580" s="56"/>
      <c r="P580" s="56"/>
      <c r="Q580" s="56"/>
      <c r="R580" s="2206"/>
      <c r="S580" s="234"/>
    </row>
    <row r="581" spans="1:19">
      <c r="A581" s="234"/>
      <c r="B581" s="56"/>
      <c r="C581" s="56"/>
      <c r="D581" s="56"/>
      <c r="E581" s="56"/>
      <c r="F581" s="56"/>
      <c r="G581" s="56"/>
      <c r="H581" s="56"/>
      <c r="I581" s="56"/>
      <c r="J581" s="56"/>
      <c r="K581" s="56"/>
      <c r="L581" s="56"/>
      <c r="M581" s="56"/>
      <c r="N581" s="56"/>
      <c r="O581" s="56"/>
      <c r="P581" s="56"/>
      <c r="Q581" s="56"/>
      <c r="R581" s="2206"/>
      <c r="S581" s="234"/>
    </row>
    <row r="582" spans="1:19">
      <c r="A582" s="234"/>
      <c r="B582" s="56"/>
      <c r="C582" s="56"/>
      <c r="D582" s="56"/>
      <c r="E582" s="56"/>
      <c r="F582" s="56"/>
      <c r="G582" s="56"/>
      <c r="H582" s="56"/>
      <c r="I582" s="56"/>
      <c r="J582" s="56"/>
      <c r="K582" s="56"/>
      <c r="L582" s="56"/>
      <c r="M582" s="56"/>
      <c r="N582" s="56"/>
      <c r="O582" s="56"/>
      <c r="P582" s="56"/>
      <c r="Q582" s="56"/>
      <c r="R582" s="2206"/>
      <c r="S582" s="234"/>
    </row>
    <row r="583" spans="1:19">
      <c r="A583" s="234"/>
      <c r="B583" s="56"/>
      <c r="C583" s="56"/>
      <c r="D583" s="56"/>
      <c r="E583" s="56"/>
      <c r="F583" s="56"/>
      <c r="G583" s="56"/>
      <c r="H583" s="56"/>
      <c r="I583" s="56"/>
      <c r="J583" s="56"/>
      <c r="K583" s="56"/>
      <c r="L583" s="56"/>
      <c r="M583" s="56"/>
      <c r="N583" s="56"/>
      <c r="O583" s="56"/>
      <c r="P583" s="56"/>
      <c r="Q583" s="56"/>
      <c r="R583" s="2206"/>
      <c r="S583" s="234"/>
    </row>
    <row r="584" spans="1:19">
      <c r="A584" s="234"/>
      <c r="B584" s="56"/>
      <c r="C584" s="56"/>
      <c r="D584" s="56"/>
      <c r="E584" s="56"/>
      <c r="F584" s="56"/>
      <c r="G584" s="56"/>
      <c r="H584" s="56"/>
      <c r="I584" s="56"/>
      <c r="J584" s="56"/>
      <c r="K584" s="56"/>
      <c r="L584" s="56"/>
      <c r="M584" s="56"/>
      <c r="N584" s="56"/>
      <c r="O584" s="56"/>
      <c r="P584" s="56"/>
      <c r="Q584" s="56"/>
      <c r="R584" s="2206"/>
      <c r="S584" s="234"/>
    </row>
    <row r="585" spans="1:19">
      <c r="A585" s="234"/>
      <c r="B585" s="56"/>
      <c r="C585" s="56"/>
      <c r="D585" s="56"/>
      <c r="E585" s="56"/>
      <c r="F585" s="56"/>
      <c r="G585" s="56"/>
      <c r="H585" s="56"/>
      <c r="I585" s="56"/>
      <c r="J585" s="56"/>
      <c r="K585" s="56"/>
      <c r="L585" s="56"/>
      <c r="M585" s="56"/>
      <c r="N585" s="56"/>
      <c r="O585" s="56"/>
      <c r="P585" s="56"/>
      <c r="Q585" s="56"/>
      <c r="R585" s="2206"/>
      <c r="S585" s="234"/>
    </row>
    <row r="586" spans="1:19">
      <c r="A586" s="234"/>
      <c r="B586" s="56"/>
      <c r="C586" s="56"/>
      <c r="D586" s="56"/>
      <c r="E586" s="56"/>
      <c r="F586" s="56"/>
      <c r="G586" s="56"/>
      <c r="H586" s="56"/>
      <c r="I586" s="56"/>
      <c r="J586" s="56"/>
      <c r="K586" s="56"/>
      <c r="L586" s="56"/>
      <c r="M586" s="56"/>
      <c r="N586" s="56"/>
      <c r="O586" s="56"/>
      <c r="P586" s="56"/>
      <c r="Q586" s="56"/>
      <c r="R586" s="2206"/>
      <c r="S586" s="234"/>
    </row>
    <row r="587" spans="1:19">
      <c r="A587" s="234"/>
      <c r="B587" s="56"/>
      <c r="C587" s="56"/>
      <c r="D587" s="56"/>
      <c r="E587" s="56"/>
      <c r="F587" s="56"/>
      <c r="G587" s="56"/>
      <c r="H587" s="56"/>
      <c r="I587" s="56"/>
      <c r="J587" s="56"/>
      <c r="K587" s="56"/>
      <c r="L587" s="56"/>
      <c r="M587" s="56"/>
      <c r="N587" s="56"/>
      <c r="O587" s="56"/>
      <c r="P587" s="56"/>
      <c r="Q587" s="56"/>
      <c r="R587" s="2206"/>
      <c r="S587" s="234"/>
    </row>
    <row r="588" spans="1:19">
      <c r="A588" s="234"/>
      <c r="B588" s="56"/>
      <c r="C588" s="56"/>
      <c r="D588" s="56"/>
      <c r="E588" s="56"/>
      <c r="F588" s="56"/>
      <c r="G588" s="56"/>
      <c r="H588" s="56"/>
      <c r="I588" s="56"/>
      <c r="J588" s="56"/>
      <c r="K588" s="56"/>
      <c r="L588" s="56"/>
      <c r="M588" s="56"/>
      <c r="N588" s="56"/>
      <c r="O588" s="56"/>
      <c r="P588" s="56"/>
      <c r="Q588" s="56"/>
      <c r="R588" s="2206"/>
      <c r="S588" s="234"/>
    </row>
    <row r="589" spans="1:19">
      <c r="A589" s="234"/>
      <c r="B589" s="56"/>
      <c r="C589" s="56"/>
      <c r="D589" s="56"/>
      <c r="E589" s="56"/>
      <c r="F589" s="56"/>
      <c r="G589" s="56"/>
      <c r="H589" s="56"/>
      <c r="I589" s="56"/>
      <c r="J589" s="56"/>
      <c r="K589" s="56"/>
      <c r="L589" s="56"/>
      <c r="M589" s="56"/>
      <c r="N589" s="56"/>
      <c r="O589" s="56"/>
      <c r="P589" s="56"/>
      <c r="Q589" s="56"/>
      <c r="R589" s="2206"/>
      <c r="S589" s="234"/>
    </row>
    <row r="590" spans="1:19">
      <c r="A590" s="234"/>
      <c r="B590" s="56"/>
      <c r="C590" s="56"/>
      <c r="D590" s="56"/>
      <c r="E590" s="56"/>
      <c r="F590" s="56"/>
      <c r="G590" s="56"/>
      <c r="H590" s="56"/>
      <c r="I590" s="56"/>
      <c r="J590" s="56"/>
      <c r="K590" s="56"/>
      <c r="L590" s="56"/>
      <c r="M590" s="56"/>
      <c r="N590" s="56"/>
      <c r="O590" s="56"/>
      <c r="P590" s="56"/>
      <c r="Q590" s="56"/>
      <c r="R590" s="2206"/>
      <c r="S590" s="234"/>
    </row>
    <row r="591" spans="1:19">
      <c r="A591" s="234"/>
      <c r="B591" s="56"/>
      <c r="C591" s="56"/>
      <c r="D591" s="56"/>
      <c r="E591" s="56"/>
      <c r="F591" s="56"/>
      <c r="G591" s="56"/>
      <c r="H591" s="56"/>
      <c r="I591" s="56"/>
      <c r="J591" s="56"/>
      <c r="K591" s="56"/>
      <c r="L591" s="56"/>
      <c r="M591" s="56"/>
      <c r="N591" s="56"/>
      <c r="O591" s="56"/>
      <c r="P591" s="56"/>
      <c r="Q591" s="56"/>
      <c r="R591" s="2206"/>
      <c r="S591" s="234"/>
    </row>
    <row r="592" spans="1:19">
      <c r="A592" s="234"/>
      <c r="B592" s="56"/>
      <c r="C592" s="56"/>
      <c r="D592" s="56"/>
      <c r="E592" s="56"/>
      <c r="F592" s="56"/>
      <c r="G592" s="56"/>
      <c r="H592" s="56"/>
      <c r="I592" s="56"/>
      <c r="J592" s="56"/>
      <c r="K592" s="56"/>
      <c r="L592" s="56"/>
      <c r="M592" s="56"/>
      <c r="N592" s="56"/>
      <c r="O592" s="56"/>
      <c r="P592" s="56"/>
      <c r="Q592" s="56"/>
      <c r="R592" s="2206"/>
      <c r="S592" s="234"/>
    </row>
    <row r="593" spans="1:19">
      <c r="A593" s="234"/>
      <c r="B593" s="56"/>
      <c r="C593" s="56"/>
      <c r="D593" s="56"/>
      <c r="E593" s="56"/>
      <c r="F593" s="56"/>
      <c r="G593" s="56"/>
      <c r="H593" s="56"/>
      <c r="I593" s="56"/>
      <c r="J593" s="56"/>
      <c r="K593" s="56"/>
      <c r="L593" s="56"/>
      <c r="M593" s="56"/>
      <c r="N593" s="56"/>
      <c r="O593" s="56"/>
      <c r="P593" s="56"/>
      <c r="Q593" s="56"/>
      <c r="R593" s="2206"/>
      <c r="S593" s="234"/>
    </row>
    <row r="594" spans="1:19">
      <c r="A594" s="234"/>
      <c r="B594" s="56"/>
      <c r="C594" s="56"/>
      <c r="D594" s="56"/>
      <c r="E594" s="56"/>
      <c r="F594" s="56"/>
      <c r="G594" s="56"/>
      <c r="H594" s="56"/>
      <c r="I594" s="56"/>
      <c r="J594" s="56"/>
      <c r="K594" s="56"/>
      <c r="L594" s="56"/>
      <c r="M594" s="56"/>
      <c r="N594" s="56"/>
      <c r="O594" s="56"/>
      <c r="P594" s="56"/>
      <c r="Q594" s="56"/>
      <c r="R594" s="2206"/>
      <c r="S594" s="234"/>
    </row>
    <row r="595" spans="1:19">
      <c r="A595" s="234"/>
      <c r="B595" s="56"/>
      <c r="C595" s="56"/>
      <c r="D595" s="56"/>
      <c r="E595" s="56"/>
      <c r="F595" s="56"/>
      <c r="G595" s="56"/>
      <c r="H595" s="56"/>
      <c r="I595" s="56"/>
      <c r="J595" s="56"/>
      <c r="K595" s="56"/>
      <c r="L595" s="56"/>
      <c r="M595" s="56"/>
      <c r="N595" s="56"/>
      <c r="O595" s="56"/>
      <c r="P595" s="56"/>
      <c r="Q595" s="56"/>
      <c r="R595" s="2206"/>
      <c r="S595" s="234"/>
    </row>
    <row r="596" spans="1:19">
      <c r="A596" s="234"/>
      <c r="B596" s="56"/>
      <c r="C596" s="56"/>
      <c r="D596" s="56"/>
      <c r="E596" s="56"/>
      <c r="F596" s="56"/>
      <c r="G596" s="56"/>
      <c r="H596" s="56"/>
      <c r="I596" s="56"/>
      <c r="J596" s="56"/>
      <c r="K596" s="56"/>
      <c r="L596" s="56"/>
      <c r="M596" s="56"/>
      <c r="N596" s="56"/>
      <c r="O596" s="56"/>
      <c r="P596" s="56"/>
      <c r="Q596" s="56"/>
      <c r="R596" s="2206"/>
      <c r="S596" s="234"/>
    </row>
    <row r="597" spans="1:19">
      <c r="A597" s="234"/>
      <c r="B597" s="56"/>
      <c r="C597" s="56"/>
      <c r="D597" s="56"/>
      <c r="E597" s="56"/>
      <c r="F597" s="56"/>
      <c r="G597" s="56"/>
      <c r="H597" s="56"/>
      <c r="I597" s="56"/>
      <c r="J597" s="56"/>
      <c r="K597" s="56"/>
      <c r="L597" s="56"/>
      <c r="M597" s="56"/>
      <c r="N597" s="56"/>
      <c r="O597" s="56"/>
      <c r="P597" s="56"/>
      <c r="Q597" s="56"/>
      <c r="R597" s="2206"/>
      <c r="S597" s="234"/>
    </row>
    <row r="598" spans="1:19">
      <c r="A598" s="234"/>
      <c r="B598" s="56"/>
      <c r="C598" s="56"/>
      <c r="D598" s="56"/>
      <c r="E598" s="56"/>
      <c r="F598" s="56"/>
      <c r="G598" s="56"/>
      <c r="H598" s="56"/>
      <c r="I598" s="56"/>
      <c r="J598" s="56"/>
      <c r="K598" s="56"/>
      <c r="L598" s="56"/>
      <c r="M598" s="56"/>
      <c r="N598" s="56"/>
      <c r="O598" s="56"/>
      <c r="P598" s="56"/>
      <c r="Q598" s="56"/>
      <c r="R598" s="2206"/>
      <c r="S598" s="234"/>
    </row>
    <row r="599" spans="1:19">
      <c r="A599" s="234"/>
      <c r="B599" s="56"/>
      <c r="C599" s="56"/>
      <c r="D599" s="56"/>
      <c r="E599" s="56"/>
      <c r="F599" s="56"/>
      <c r="G599" s="56"/>
      <c r="H599" s="56"/>
      <c r="I599" s="56"/>
      <c r="J599" s="56"/>
      <c r="K599" s="56"/>
      <c r="L599" s="56"/>
      <c r="M599" s="56"/>
      <c r="N599" s="56"/>
      <c r="O599" s="56"/>
      <c r="P599" s="56"/>
      <c r="Q599" s="56"/>
      <c r="R599" s="2206"/>
      <c r="S599" s="234"/>
    </row>
    <row r="600" spans="1:19">
      <c r="A600" s="234"/>
      <c r="B600" s="56"/>
      <c r="C600" s="56"/>
      <c r="D600" s="56"/>
      <c r="E600" s="56"/>
      <c r="F600" s="56"/>
      <c r="G600" s="56"/>
      <c r="H600" s="56"/>
      <c r="I600" s="56"/>
      <c r="J600" s="56"/>
      <c r="K600" s="56"/>
      <c r="L600" s="56"/>
      <c r="M600" s="56"/>
      <c r="N600" s="56"/>
      <c r="O600" s="56"/>
      <c r="P600" s="56"/>
      <c r="Q600" s="56"/>
      <c r="R600" s="2206"/>
      <c r="S600" s="234"/>
    </row>
    <row r="601" spans="1:19">
      <c r="A601" s="234"/>
      <c r="B601" s="56"/>
      <c r="C601" s="56"/>
      <c r="D601" s="56"/>
      <c r="E601" s="56"/>
      <c r="F601" s="56"/>
      <c r="G601" s="56"/>
      <c r="H601" s="56"/>
      <c r="I601" s="56"/>
      <c r="J601" s="56"/>
      <c r="K601" s="56"/>
      <c r="L601" s="56"/>
      <c r="M601" s="56"/>
      <c r="N601" s="56"/>
      <c r="O601" s="56"/>
      <c r="P601" s="56"/>
      <c r="Q601" s="56"/>
      <c r="R601" s="2206"/>
      <c r="S601" s="234"/>
    </row>
    <row r="602" spans="1:19">
      <c r="A602" s="234"/>
      <c r="B602" s="56"/>
      <c r="C602" s="56"/>
      <c r="D602" s="56"/>
      <c r="E602" s="56"/>
      <c r="F602" s="56"/>
      <c r="G602" s="56"/>
      <c r="H602" s="56"/>
      <c r="I602" s="56"/>
      <c r="J602" s="56"/>
      <c r="K602" s="56"/>
      <c r="L602" s="56"/>
      <c r="M602" s="56"/>
      <c r="N602" s="56"/>
      <c r="O602" s="56"/>
      <c r="P602" s="56"/>
      <c r="Q602" s="56"/>
      <c r="R602" s="2206"/>
      <c r="S602" s="234"/>
    </row>
    <row r="603" spans="1:19">
      <c r="A603" s="234"/>
      <c r="B603" s="56"/>
      <c r="C603" s="56"/>
      <c r="D603" s="56"/>
      <c r="E603" s="56"/>
      <c r="F603" s="56"/>
      <c r="G603" s="56"/>
      <c r="H603" s="56"/>
      <c r="I603" s="56"/>
      <c r="J603" s="56"/>
      <c r="K603" s="56"/>
      <c r="L603" s="56"/>
      <c r="M603" s="56"/>
      <c r="N603" s="56"/>
      <c r="O603" s="56"/>
      <c r="P603" s="56"/>
      <c r="Q603" s="56"/>
      <c r="R603" s="2206"/>
      <c r="S603" s="234"/>
    </row>
    <row r="604" spans="1:19">
      <c r="A604" s="234"/>
      <c r="B604" s="56"/>
      <c r="C604" s="56"/>
      <c r="D604" s="56"/>
      <c r="E604" s="56"/>
      <c r="F604" s="56"/>
      <c r="G604" s="56"/>
      <c r="H604" s="56"/>
      <c r="I604" s="56"/>
      <c r="J604" s="56"/>
      <c r="K604" s="56"/>
      <c r="L604" s="56"/>
      <c r="M604" s="56"/>
      <c r="N604" s="56"/>
      <c r="O604" s="56"/>
      <c r="P604" s="56"/>
      <c r="Q604" s="56"/>
      <c r="R604" s="2206"/>
      <c r="S604" s="234"/>
    </row>
    <row r="605" spans="1:19">
      <c r="A605" s="234"/>
      <c r="B605" s="56"/>
      <c r="C605" s="56"/>
      <c r="D605" s="56"/>
      <c r="E605" s="56"/>
      <c r="F605" s="56"/>
      <c r="G605" s="56"/>
      <c r="H605" s="56"/>
      <c r="I605" s="56"/>
      <c r="J605" s="56"/>
      <c r="K605" s="56"/>
      <c r="L605" s="56"/>
      <c r="M605" s="56"/>
      <c r="N605" s="56"/>
      <c r="O605" s="56"/>
      <c r="P605" s="56"/>
      <c r="Q605" s="56"/>
      <c r="R605" s="2206"/>
      <c r="S605" s="234"/>
    </row>
    <row r="606" spans="1:19">
      <c r="A606" s="234"/>
      <c r="B606" s="56"/>
      <c r="C606" s="56"/>
      <c r="D606" s="56"/>
      <c r="E606" s="56"/>
      <c r="F606" s="56"/>
      <c r="G606" s="56"/>
      <c r="H606" s="56"/>
      <c r="I606" s="56"/>
      <c r="J606" s="56"/>
      <c r="K606" s="56"/>
      <c r="L606" s="56"/>
      <c r="M606" s="56"/>
      <c r="N606" s="56"/>
      <c r="O606" s="56"/>
      <c r="P606" s="56"/>
      <c r="Q606" s="56"/>
      <c r="R606" s="2206"/>
      <c r="S606" s="234"/>
    </row>
    <row r="607" spans="1:19">
      <c r="A607" s="234"/>
      <c r="B607" s="56"/>
      <c r="C607" s="56"/>
      <c r="D607" s="56"/>
      <c r="E607" s="56"/>
      <c r="F607" s="56"/>
      <c r="G607" s="56"/>
      <c r="H607" s="56"/>
      <c r="I607" s="56"/>
      <c r="J607" s="56"/>
      <c r="K607" s="56"/>
      <c r="L607" s="56"/>
      <c r="M607" s="56"/>
      <c r="N607" s="56"/>
      <c r="O607" s="56"/>
      <c r="P607" s="56"/>
      <c r="Q607" s="56"/>
      <c r="R607" s="2206"/>
      <c r="S607" s="234"/>
    </row>
    <row r="608" spans="1:19">
      <c r="A608" s="234"/>
      <c r="B608" s="56"/>
      <c r="C608" s="56"/>
      <c r="D608" s="56"/>
      <c r="E608" s="56"/>
      <c r="F608" s="56"/>
      <c r="G608" s="56"/>
      <c r="H608" s="56"/>
      <c r="I608" s="56"/>
      <c r="J608" s="56"/>
      <c r="K608" s="56"/>
      <c r="L608" s="56"/>
      <c r="M608" s="56"/>
      <c r="N608" s="56"/>
      <c r="O608" s="56"/>
      <c r="P608" s="56"/>
      <c r="Q608" s="56"/>
      <c r="R608" s="2206"/>
      <c r="S608" s="234"/>
    </row>
    <row r="609" spans="1:19">
      <c r="A609" s="234"/>
      <c r="B609" s="56"/>
      <c r="C609" s="56"/>
      <c r="D609" s="56"/>
      <c r="E609" s="56"/>
      <c r="F609" s="56"/>
      <c r="G609" s="56"/>
      <c r="H609" s="56"/>
      <c r="I609" s="56"/>
      <c r="J609" s="56"/>
      <c r="K609" s="56"/>
      <c r="L609" s="56"/>
      <c r="M609" s="56"/>
      <c r="N609" s="56"/>
      <c r="O609" s="56"/>
      <c r="P609" s="56"/>
      <c r="Q609" s="56"/>
      <c r="R609" s="2206"/>
      <c r="S609" s="234"/>
    </row>
    <row r="610" spans="1:19">
      <c r="A610" s="234"/>
      <c r="B610" s="56"/>
      <c r="C610" s="56"/>
      <c r="D610" s="56"/>
      <c r="E610" s="56"/>
      <c r="F610" s="56"/>
      <c r="G610" s="56"/>
      <c r="H610" s="56"/>
      <c r="I610" s="56"/>
      <c r="J610" s="56"/>
      <c r="K610" s="56"/>
      <c r="L610" s="56"/>
      <c r="M610" s="56"/>
      <c r="N610" s="56"/>
      <c r="O610" s="56"/>
      <c r="P610" s="56"/>
      <c r="Q610" s="56"/>
      <c r="R610" s="2206"/>
      <c r="S610" s="234"/>
    </row>
    <row r="611" spans="1:19">
      <c r="A611" s="234"/>
      <c r="B611" s="56"/>
      <c r="C611" s="56"/>
      <c r="D611" s="56"/>
      <c r="E611" s="56"/>
      <c r="F611" s="56"/>
      <c r="G611" s="56"/>
      <c r="H611" s="56"/>
      <c r="I611" s="56"/>
      <c r="J611" s="56"/>
      <c r="K611" s="56"/>
      <c r="L611" s="56"/>
      <c r="M611" s="56"/>
      <c r="N611" s="56"/>
      <c r="O611" s="56"/>
      <c r="P611" s="56"/>
      <c r="Q611" s="56"/>
      <c r="R611" s="2206"/>
      <c r="S611" s="234"/>
    </row>
    <row r="612" spans="1:19">
      <c r="A612" s="234"/>
      <c r="B612" s="56"/>
      <c r="C612" s="56"/>
      <c r="D612" s="56"/>
      <c r="E612" s="56"/>
      <c r="F612" s="56"/>
      <c r="G612" s="56"/>
      <c r="H612" s="56"/>
      <c r="I612" s="56"/>
      <c r="J612" s="56"/>
      <c r="K612" s="56"/>
      <c r="L612" s="56"/>
      <c r="M612" s="56"/>
      <c r="N612" s="56"/>
      <c r="O612" s="56"/>
      <c r="P612" s="56"/>
      <c r="Q612" s="56"/>
      <c r="R612" s="2206"/>
      <c r="S612" s="234"/>
    </row>
    <row r="613" spans="1:19">
      <c r="A613" s="234"/>
      <c r="B613" s="56"/>
      <c r="C613" s="56"/>
      <c r="D613" s="56"/>
      <c r="E613" s="56"/>
      <c r="F613" s="56"/>
      <c r="G613" s="56"/>
      <c r="H613" s="56"/>
      <c r="I613" s="56"/>
      <c r="J613" s="56"/>
      <c r="K613" s="56"/>
      <c r="L613" s="56"/>
      <c r="M613" s="56"/>
      <c r="N613" s="56"/>
      <c r="O613" s="56"/>
      <c r="P613" s="56"/>
      <c r="Q613" s="56"/>
      <c r="R613" s="2206"/>
      <c r="S613" s="234"/>
    </row>
    <row r="614" spans="1:19">
      <c r="A614" s="234"/>
      <c r="B614" s="56"/>
      <c r="C614" s="56"/>
      <c r="D614" s="56"/>
      <c r="E614" s="56"/>
      <c r="F614" s="56"/>
      <c r="G614" s="56"/>
      <c r="H614" s="56"/>
      <c r="I614" s="56"/>
      <c r="J614" s="56"/>
      <c r="K614" s="56"/>
      <c r="L614" s="56"/>
      <c r="M614" s="56"/>
      <c r="N614" s="56"/>
      <c r="O614" s="56"/>
      <c r="P614" s="56"/>
      <c r="Q614" s="56"/>
      <c r="R614" s="2206"/>
      <c r="S614" s="234"/>
    </row>
    <row r="615" spans="1:19">
      <c r="A615" s="234"/>
      <c r="B615" s="56"/>
      <c r="C615" s="56"/>
      <c r="D615" s="56"/>
      <c r="E615" s="56"/>
      <c r="F615" s="56"/>
      <c r="G615" s="56"/>
      <c r="H615" s="56"/>
      <c r="I615" s="56"/>
      <c r="J615" s="56"/>
      <c r="K615" s="56"/>
      <c r="L615" s="56"/>
      <c r="M615" s="56"/>
      <c r="N615" s="56"/>
      <c r="O615" s="56"/>
      <c r="P615" s="56"/>
      <c r="Q615" s="56"/>
      <c r="R615" s="2206"/>
      <c r="S615" s="234"/>
    </row>
    <row r="616" spans="1:19">
      <c r="A616" s="234"/>
      <c r="B616" s="56"/>
      <c r="C616" s="56"/>
      <c r="D616" s="56"/>
      <c r="E616" s="56"/>
      <c r="F616" s="56"/>
      <c r="G616" s="56"/>
      <c r="H616" s="56"/>
      <c r="I616" s="56"/>
      <c r="J616" s="56"/>
      <c r="K616" s="56"/>
      <c r="L616" s="56"/>
      <c r="M616" s="56"/>
      <c r="N616" s="56"/>
      <c r="O616" s="56"/>
      <c r="P616" s="56"/>
      <c r="Q616" s="56"/>
      <c r="R616" s="2206"/>
      <c r="S616" s="234"/>
    </row>
    <row r="617" spans="1:19">
      <c r="A617" s="234"/>
      <c r="B617" s="56"/>
      <c r="C617" s="56"/>
      <c r="D617" s="56"/>
      <c r="E617" s="56"/>
      <c r="F617" s="56"/>
      <c r="G617" s="56"/>
      <c r="H617" s="56"/>
      <c r="I617" s="56"/>
      <c r="J617" s="56"/>
      <c r="K617" s="56"/>
      <c r="L617" s="56"/>
      <c r="M617" s="56"/>
      <c r="N617" s="56"/>
      <c r="O617" s="56"/>
      <c r="P617" s="56"/>
      <c r="Q617" s="56"/>
      <c r="R617" s="2206"/>
      <c r="S617" s="234"/>
    </row>
    <row r="618" spans="1:19">
      <c r="A618" s="234"/>
      <c r="B618" s="56"/>
      <c r="C618" s="56"/>
      <c r="D618" s="56"/>
      <c r="E618" s="56"/>
      <c r="F618" s="56"/>
      <c r="G618" s="56"/>
      <c r="H618" s="56"/>
      <c r="I618" s="56"/>
      <c r="J618" s="56"/>
      <c r="K618" s="56"/>
      <c r="L618" s="56"/>
      <c r="M618" s="56"/>
      <c r="N618" s="56"/>
      <c r="O618" s="56"/>
      <c r="P618" s="56"/>
      <c r="Q618" s="56"/>
      <c r="R618" s="2206"/>
      <c r="S618" s="234"/>
    </row>
    <row r="619" spans="1:19">
      <c r="A619" s="234"/>
      <c r="B619" s="56"/>
      <c r="C619" s="56"/>
      <c r="D619" s="56"/>
      <c r="E619" s="56"/>
      <c r="F619" s="56"/>
      <c r="G619" s="56"/>
      <c r="H619" s="56"/>
      <c r="I619" s="56"/>
      <c r="J619" s="56"/>
      <c r="K619" s="56"/>
      <c r="L619" s="56"/>
      <c r="M619" s="56"/>
      <c r="N619" s="56"/>
      <c r="O619" s="56"/>
      <c r="P619" s="56"/>
      <c r="Q619" s="56"/>
      <c r="R619" s="2206"/>
      <c r="S619" s="234"/>
    </row>
    <row r="620" spans="1:19">
      <c r="A620" s="234"/>
      <c r="B620" s="56"/>
      <c r="C620" s="56"/>
      <c r="D620" s="56"/>
      <c r="E620" s="56"/>
      <c r="F620" s="56"/>
      <c r="G620" s="56"/>
      <c r="H620" s="56"/>
      <c r="I620" s="56"/>
      <c r="J620" s="56"/>
      <c r="K620" s="56"/>
      <c r="L620" s="56"/>
      <c r="M620" s="56"/>
      <c r="N620" s="56"/>
      <c r="O620" s="56"/>
      <c r="P620" s="56"/>
      <c r="Q620" s="56"/>
      <c r="R620" s="2206"/>
      <c r="S620" s="234"/>
    </row>
    <row r="621" spans="1:19">
      <c r="A621" s="234"/>
      <c r="B621" s="56"/>
      <c r="C621" s="56"/>
      <c r="D621" s="56"/>
      <c r="E621" s="56"/>
      <c r="F621" s="56"/>
      <c r="G621" s="56"/>
      <c r="H621" s="56"/>
      <c r="I621" s="56"/>
      <c r="J621" s="56"/>
      <c r="K621" s="56"/>
      <c r="L621" s="56"/>
      <c r="M621" s="56"/>
      <c r="N621" s="56"/>
      <c r="O621" s="56"/>
      <c r="P621" s="56"/>
      <c r="Q621" s="56"/>
      <c r="R621" s="2206"/>
      <c r="S621" s="234"/>
    </row>
    <row r="622" spans="1:19">
      <c r="A622" s="234"/>
      <c r="B622" s="56"/>
      <c r="C622" s="56"/>
      <c r="D622" s="56"/>
      <c r="E622" s="56"/>
      <c r="F622" s="56"/>
      <c r="G622" s="56"/>
      <c r="H622" s="56"/>
      <c r="I622" s="56"/>
      <c r="J622" s="56"/>
      <c r="K622" s="56"/>
      <c r="L622" s="56"/>
      <c r="M622" s="56"/>
      <c r="N622" s="56"/>
      <c r="O622" s="56"/>
      <c r="P622" s="56"/>
      <c r="Q622" s="56"/>
      <c r="R622" s="2206"/>
      <c r="S622" s="234"/>
    </row>
    <row r="623" spans="1:19">
      <c r="A623" s="234"/>
      <c r="B623" s="56"/>
      <c r="C623" s="56"/>
      <c r="D623" s="56"/>
      <c r="E623" s="56"/>
      <c r="F623" s="56"/>
      <c r="G623" s="56"/>
      <c r="H623" s="56"/>
      <c r="I623" s="56"/>
      <c r="J623" s="56"/>
      <c r="K623" s="56"/>
      <c r="L623" s="56"/>
      <c r="M623" s="56"/>
      <c r="N623" s="56"/>
      <c r="O623" s="56"/>
      <c r="P623" s="56"/>
      <c r="Q623" s="56"/>
      <c r="R623" s="2206"/>
      <c r="S623" s="234"/>
    </row>
    <row r="624" spans="1:19">
      <c r="A624" s="234"/>
      <c r="B624" s="56"/>
      <c r="C624" s="56"/>
      <c r="D624" s="56"/>
      <c r="E624" s="56"/>
      <c r="F624" s="56"/>
      <c r="G624" s="56"/>
      <c r="H624" s="56"/>
      <c r="I624" s="56"/>
      <c r="J624" s="56"/>
      <c r="K624" s="56"/>
      <c r="L624" s="56"/>
      <c r="M624" s="56"/>
      <c r="N624" s="56"/>
      <c r="O624" s="56"/>
      <c r="P624" s="56"/>
      <c r="Q624" s="56"/>
      <c r="R624" s="2206"/>
      <c r="S624" s="234"/>
    </row>
    <row r="625" spans="1:19">
      <c r="A625" s="234"/>
      <c r="B625" s="56"/>
      <c r="C625" s="56"/>
      <c r="D625" s="56"/>
      <c r="E625" s="56"/>
      <c r="F625" s="56"/>
      <c r="G625" s="56"/>
      <c r="H625" s="56"/>
      <c r="I625" s="56"/>
      <c r="J625" s="56"/>
      <c r="K625" s="56"/>
      <c r="L625" s="56"/>
      <c r="M625" s="56"/>
      <c r="N625" s="56"/>
      <c r="O625" s="56"/>
      <c r="P625" s="56"/>
      <c r="Q625" s="56"/>
      <c r="R625" s="2206"/>
      <c r="S625" s="234"/>
    </row>
    <row r="626" spans="1:19">
      <c r="A626" s="234"/>
      <c r="B626" s="56"/>
      <c r="C626" s="56"/>
      <c r="D626" s="56"/>
      <c r="E626" s="56"/>
      <c r="F626" s="56"/>
      <c r="G626" s="56"/>
      <c r="H626" s="56"/>
      <c r="I626" s="56"/>
      <c r="J626" s="56"/>
      <c r="K626" s="56"/>
      <c r="L626" s="56"/>
      <c r="M626" s="56"/>
      <c r="N626" s="56"/>
      <c r="O626" s="56"/>
      <c r="P626" s="56"/>
      <c r="Q626" s="56"/>
      <c r="R626" s="2206"/>
      <c r="S626" s="234"/>
    </row>
    <row r="627" spans="1:19">
      <c r="A627" s="234"/>
      <c r="B627" s="56"/>
      <c r="C627" s="56"/>
      <c r="D627" s="56"/>
      <c r="E627" s="56"/>
      <c r="F627" s="56"/>
      <c r="G627" s="56"/>
      <c r="H627" s="56"/>
      <c r="I627" s="56"/>
      <c r="J627" s="56"/>
      <c r="K627" s="56"/>
      <c r="L627" s="56"/>
      <c r="M627" s="56"/>
      <c r="N627" s="56"/>
      <c r="O627" s="56"/>
      <c r="P627" s="56"/>
      <c r="Q627" s="56"/>
      <c r="R627" s="2206"/>
      <c r="S627" s="234"/>
    </row>
    <row r="628" spans="1:19">
      <c r="A628" s="234"/>
      <c r="B628" s="56"/>
      <c r="C628" s="56"/>
      <c r="D628" s="56"/>
      <c r="E628" s="56"/>
      <c r="F628" s="56"/>
      <c r="G628" s="56"/>
      <c r="H628" s="56"/>
      <c r="I628" s="56"/>
      <c r="J628" s="56"/>
      <c r="K628" s="56"/>
      <c r="L628" s="56"/>
      <c r="M628" s="56"/>
      <c r="N628" s="56"/>
      <c r="O628" s="56"/>
      <c r="P628" s="56"/>
      <c r="Q628" s="56"/>
      <c r="R628" s="2206"/>
      <c r="S628" s="234"/>
    </row>
    <row r="629" spans="1:19">
      <c r="A629" s="234"/>
      <c r="B629" s="56"/>
      <c r="C629" s="56"/>
      <c r="D629" s="56"/>
      <c r="E629" s="56"/>
      <c r="F629" s="56"/>
      <c r="G629" s="56"/>
      <c r="H629" s="56"/>
      <c r="I629" s="56"/>
      <c r="J629" s="56"/>
      <c r="K629" s="56"/>
      <c r="L629" s="56"/>
      <c r="M629" s="56"/>
      <c r="N629" s="56"/>
      <c r="O629" s="56"/>
      <c r="P629" s="56"/>
      <c r="Q629" s="56"/>
      <c r="R629" s="2206"/>
      <c r="S629" s="234"/>
    </row>
    <row r="630" spans="1:19">
      <c r="A630" s="234"/>
      <c r="B630" s="56"/>
      <c r="C630" s="56"/>
      <c r="D630" s="56"/>
      <c r="E630" s="56"/>
      <c r="F630" s="56"/>
      <c r="G630" s="56"/>
      <c r="H630" s="56"/>
      <c r="I630" s="56"/>
      <c r="J630" s="56"/>
      <c r="K630" s="56"/>
      <c r="L630" s="56"/>
      <c r="M630" s="56"/>
      <c r="N630" s="56"/>
      <c r="O630" s="56"/>
      <c r="P630" s="56"/>
      <c r="Q630" s="56"/>
      <c r="R630" s="2206"/>
      <c r="S630" s="234"/>
    </row>
    <row r="631" spans="1:19">
      <c r="A631" s="234"/>
      <c r="B631" s="56"/>
      <c r="C631" s="56"/>
      <c r="D631" s="56"/>
      <c r="E631" s="56"/>
      <c r="F631" s="56"/>
      <c r="G631" s="56"/>
      <c r="H631" s="56"/>
      <c r="I631" s="56"/>
      <c r="J631" s="56"/>
      <c r="K631" s="56"/>
      <c r="L631" s="56"/>
      <c r="M631" s="56"/>
      <c r="N631" s="56"/>
      <c r="O631" s="56"/>
      <c r="P631" s="56"/>
      <c r="Q631" s="56"/>
      <c r="R631" s="2206"/>
      <c r="S631" s="234"/>
    </row>
    <row r="632" spans="1:19">
      <c r="A632" s="234"/>
      <c r="B632" s="56"/>
      <c r="C632" s="56"/>
      <c r="D632" s="56"/>
      <c r="E632" s="56"/>
      <c r="F632" s="56"/>
      <c r="G632" s="56"/>
      <c r="H632" s="56"/>
      <c r="I632" s="56"/>
      <c r="J632" s="56"/>
      <c r="K632" s="56"/>
      <c r="L632" s="56"/>
      <c r="M632" s="56"/>
      <c r="N632" s="56"/>
      <c r="O632" s="56"/>
      <c r="P632" s="56"/>
      <c r="Q632" s="56"/>
      <c r="R632" s="2206"/>
      <c r="S632" s="234"/>
    </row>
    <row r="633" spans="1:19">
      <c r="A633" s="234"/>
      <c r="B633" s="56"/>
      <c r="C633" s="56"/>
      <c r="D633" s="56"/>
      <c r="E633" s="56"/>
      <c r="F633" s="56"/>
      <c r="G633" s="56"/>
      <c r="H633" s="56"/>
      <c r="I633" s="56"/>
      <c r="J633" s="56"/>
      <c r="K633" s="56"/>
      <c r="L633" s="56"/>
      <c r="M633" s="56"/>
      <c r="N633" s="56"/>
      <c r="O633" s="56"/>
      <c r="P633" s="56"/>
      <c r="Q633" s="56"/>
      <c r="R633" s="2206"/>
      <c r="S633" s="234"/>
    </row>
    <row r="634" spans="1:19">
      <c r="A634" s="234"/>
      <c r="B634" s="56"/>
      <c r="C634" s="56"/>
      <c r="D634" s="56"/>
      <c r="E634" s="56"/>
      <c r="F634" s="56"/>
      <c r="G634" s="56"/>
      <c r="H634" s="56"/>
      <c r="I634" s="56"/>
      <c r="J634" s="56"/>
      <c r="K634" s="56"/>
      <c r="L634" s="56"/>
      <c r="M634" s="56"/>
      <c r="N634" s="56"/>
      <c r="O634" s="56"/>
      <c r="P634" s="56"/>
      <c r="Q634" s="56"/>
      <c r="R634" s="2206"/>
      <c r="S634" s="234"/>
    </row>
    <row r="635" spans="1:19">
      <c r="A635" s="234"/>
      <c r="B635" s="56"/>
      <c r="C635" s="56"/>
      <c r="D635" s="56"/>
      <c r="E635" s="56"/>
      <c r="F635" s="56"/>
      <c r="G635" s="56"/>
      <c r="H635" s="56"/>
      <c r="I635" s="56"/>
      <c r="J635" s="56"/>
      <c r="K635" s="56"/>
      <c r="L635" s="56"/>
      <c r="M635" s="56"/>
      <c r="N635" s="56"/>
      <c r="O635" s="56"/>
      <c r="P635" s="56"/>
      <c r="Q635" s="56"/>
      <c r="R635" s="2206"/>
      <c r="S635" s="234"/>
    </row>
    <row r="636" spans="1:19">
      <c r="A636" s="234"/>
      <c r="B636" s="56"/>
      <c r="C636" s="56"/>
      <c r="D636" s="56"/>
      <c r="E636" s="56"/>
      <c r="F636" s="56"/>
      <c r="G636" s="56"/>
      <c r="H636" s="56"/>
      <c r="I636" s="56"/>
      <c r="J636" s="56"/>
      <c r="K636" s="56"/>
      <c r="L636" s="56"/>
      <c r="M636" s="56"/>
      <c r="N636" s="56"/>
      <c r="O636" s="56"/>
      <c r="P636" s="56"/>
      <c r="Q636" s="56"/>
      <c r="R636" s="2206"/>
      <c r="S636" s="234"/>
    </row>
    <row r="637" spans="1:19">
      <c r="A637" s="234"/>
      <c r="B637" s="56"/>
      <c r="C637" s="56"/>
      <c r="D637" s="56"/>
      <c r="E637" s="56"/>
      <c r="F637" s="56"/>
      <c r="G637" s="56"/>
      <c r="H637" s="56"/>
      <c r="I637" s="56"/>
      <c r="J637" s="56"/>
      <c r="K637" s="56"/>
      <c r="L637" s="56"/>
      <c r="M637" s="56"/>
      <c r="N637" s="56"/>
      <c r="O637" s="56"/>
      <c r="P637" s="56"/>
      <c r="Q637" s="56"/>
      <c r="R637" s="2206"/>
      <c r="S637" s="234"/>
    </row>
    <row r="638" spans="1:19">
      <c r="A638" s="234"/>
      <c r="B638" s="56"/>
      <c r="C638" s="56"/>
      <c r="D638" s="56"/>
      <c r="E638" s="56"/>
      <c r="F638" s="56"/>
      <c r="G638" s="56"/>
      <c r="H638" s="56"/>
      <c r="I638" s="56"/>
      <c r="J638" s="56"/>
      <c r="K638" s="56"/>
      <c r="L638" s="56"/>
      <c r="M638" s="56"/>
      <c r="N638" s="56"/>
      <c r="O638" s="56"/>
      <c r="P638" s="56"/>
      <c r="Q638" s="56"/>
      <c r="R638" s="2206"/>
      <c r="S638" s="234"/>
    </row>
    <row r="639" spans="1:19">
      <c r="A639" s="234"/>
      <c r="B639" s="56"/>
      <c r="C639" s="56"/>
      <c r="D639" s="56"/>
      <c r="E639" s="56"/>
      <c r="F639" s="56"/>
      <c r="G639" s="56"/>
      <c r="H639" s="56"/>
      <c r="I639" s="56"/>
      <c r="J639" s="56"/>
      <c r="K639" s="56"/>
      <c r="L639" s="56"/>
      <c r="M639" s="56"/>
      <c r="N639" s="56"/>
      <c r="O639" s="56"/>
      <c r="P639" s="56"/>
      <c r="Q639" s="56"/>
      <c r="R639" s="2206"/>
      <c r="S639" s="234"/>
    </row>
    <row r="640" spans="1:19">
      <c r="A640" s="234"/>
      <c r="B640" s="56"/>
      <c r="C640" s="56"/>
      <c r="D640" s="56"/>
      <c r="E640" s="56"/>
      <c r="F640" s="56"/>
      <c r="G640" s="56"/>
      <c r="H640" s="56"/>
      <c r="I640" s="56"/>
      <c r="J640" s="56"/>
      <c r="K640" s="56"/>
      <c r="L640" s="56"/>
      <c r="M640" s="56"/>
      <c r="N640" s="56"/>
      <c r="O640" s="56"/>
      <c r="P640" s="56"/>
      <c r="Q640" s="56"/>
      <c r="R640" s="2206"/>
      <c r="S640" s="234"/>
    </row>
    <row r="641" spans="1:19">
      <c r="A641" s="234"/>
      <c r="B641" s="56"/>
      <c r="C641" s="56"/>
      <c r="D641" s="56"/>
      <c r="E641" s="56"/>
      <c r="F641" s="56"/>
      <c r="G641" s="56"/>
      <c r="H641" s="56"/>
      <c r="I641" s="56"/>
      <c r="J641" s="56"/>
      <c r="K641" s="56"/>
      <c r="L641" s="56"/>
      <c r="M641" s="56"/>
      <c r="N641" s="56"/>
      <c r="O641" s="56"/>
      <c r="P641" s="56"/>
      <c r="Q641" s="56"/>
      <c r="R641" s="2206"/>
      <c r="S641" s="234"/>
    </row>
    <row r="642" spans="1:19">
      <c r="A642" s="234"/>
      <c r="B642" s="56"/>
      <c r="C642" s="56"/>
      <c r="D642" s="56"/>
      <c r="E642" s="56"/>
      <c r="F642" s="56"/>
      <c r="G642" s="56"/>
      <c r="H642" s="56"/>
      <c r="I642" s="56"/>
      <c r="J642" s="56"/>
      <c r="K642" s="56"/>
      <c r="L642" s="56"/>
      <c r="M642" s="56"/>
      <c r="N642" s="56"/>
      <c r="O642" s="56"/>
      <c r="P642" s="56"/>
      <c r="Q642" s="56"/>
      <c r="R642" s="2206"/>
      <c r="S642" s="234"/>
    </row>
    <row r="643" spans="1:19">
      <c r="A643" s="234"/>
      <c r="B643" s="56"/>
      <c r="C643" s="56"/>
      <c r="D643" s="56"/>
      <c r="E643" s="56"/>
      <c r="F643" s="56"/>
      <c r="G643" s="56"/>
      <c r="H643" s="56"/>
      <c r="I643" s="56"/>
      <c r="J643" s="56"/>
      <c r="K643" s="56"/>
      <c r="L643" s="56"/>
      <c r="M643" s="56"/>
      <c r="N643" s="56"/>
      <c r="O643" s="56"/>
      <c r="P643" s="56"/>
      <c r="Q643" s="56"/>
      <c r="R643" s="2206"/>
      <c r="S643" s="234"/>
    </row>
    <row r="644" spans="1:19">
      <c r="A644" s="234"/>
      <c r="B644" s="56"/>
      <c r="C644" s="56"/>
      <c r="D644" s="56"/>
      <c r="E644" s="56"/>
      <c r="F644" s="56"/>
      <c r="G644" s="56"/>
      <c r="H644" s="56"/>
      <c r="I644" s="56"/>
      <c r="J644" s="56"/>
      <c r="K644" s="56"/>
      <c r="L644" s="56"/>
      <c r="M644" s="56"/>
      <c r="N644" s="56"/>
      <c r="O644" s="56"/>
      <c r="P644" s="56"/>
      <c r="Q644" s="56"/>
      <c r="R644" s="2206"/>
      <c r="S644" s="234"/>
    </row>
    <row r="645" spans="1:19">
      <c r="A645" s="234"/>
      <c r="B645" s="56"/>
      <c r="C645" s="56"/>
      <c r="D645" s="56"/>
      <c r="E645" s="56"/>
      <c r="F645" s="56"/>
      <c r="G645" s="56"/>
      <c r="H645" s="56"/>
      <c r="I645" s="56"/>
      <c r="J645" s="56"/>
      <c r="K645" s="56"/>
      <c r="L645" s="56"/>
      <c r="M645" s="56"/>
      <c r="N645" s="56"/>
      <c r="O645" s="56"/>
      <c r="P645" s="56"/>
      <c r="Q645" s="56"/>
      <c r="R645" s="2206"/>
      <c r="S645" s="234"/>
    </row>
    <row r="646" spans="1:19">
      <c r="A646" s="234"/>
      <c r="B646" s="56"/>
      <c r="C646" s="56"/>
      <c r="D646" s="56"/>
      <c r="E646" s="56"/>
      <c r="F646" s="56"/>
      <c r="G646" s="56"/>
      <c r="H646" s="56"/>
      <c r="I646" s="56"/>
      <c r="J646" s="56"/>
      <c r="K646" s="56"/>
      <c r="L646" s="56"/>
      <c r="M646" s="56"/>
      <c r="N646" s="56"/>
      <c r="O646" s="56"/>
      <c r="P646" s="56"/>
      <c r="Q646" s="56"/>
      <c r="R646" s="2206"/>
      <c r="S646" s="234"/>
    </row>
    <row r="647" spans="1:19">
      <c r="A647" s="234"/>
      <c r="B647" s="56"/>
      <c r="C647" s="56"/>
      <c r="D647" s="56"/>
      <c r="E647" s="56"/>
      <c r="F647" s="56"/>
      <c r="G647" s="56"/>
      <c r="H647" s="56"/>
      <c r="I647" s="56"/>
      <c r="J647" s="56"/>
      <c r="K647" s="56"/>
      <c r="L647" s="56"/>
      <c r="M647" s="56"/>
      <c r="N647" s="56"/>
      <c r="O647" s="56"/>
      <c r="P647" s="56"/>
      <c r="Q647" s="56"/>
      <c r="R647" s="2206"/>
      <c r="S647" s="234"/>
    </row>
    <row r="648" spans="1:19">
      <c r="A648" s="234"/>
      <c r="B648" s="56"/>
      <c r="C648" s="56"/>
      <c r="D648" s="56"/>
      <c r="E648" s="56"/>
      <c r="F648" s="56"/>
      <c r="G648" s="56"/>
      <c r="H648" s="56"/>
      <c r="I648" s="56"/>
      <c r="J648" s="56"/>
      <c r="K648" s="56"/>
      <c r="L648" s="56"/>
      <c r="M648" s="56"/>
      <c r="N648" s="56"/>
      <c r="O648" s="56"/>
      <c r="P648" s="56"/>
      <c r="Q648" s="56"/>
      <c r="R648" s="2206"/>
      <c r="S648" s="234"/>
    </row>
    <row r="649" spans="1:19">
      <c r="A649" s="234"/>
      <c r="B649" s="56"/>
      <c r="C649" s="56"/>
      <c r="D649" s="56"/>
      <c r="E649" s="56"/>
      <c r="F649" s="56"/>
      <c r="G649" s="56"/>
      <c r="H649" s="56"/>
      <c r="I649" s="56"/>
      <c r="J649" s="56"/>
      <c r="K649" s="56"/>
      <c r="L649" s="56"/>
      <c r="M649" s="56"/>
      <c r="N649" s="56"/>
      <c r="O649" s="56"/>
      <c r="P649" s="56"/>
      <c r="Q649" s="56"/>
      <c r="R649" s="2206"/>
      <c r="S649" s="234"/>
    </row>
    <row r="650" spans="1:19">
      <c r="A650" s="234"/>
      <c r="B650" s="56"/>
      <c r="C650" s="56"/>
      <c r="D650" s="56"/>
      <c r="E650" s="56"/>
      <c r="F650" s="56"/>
      <c r="G650" s="56"/>
      <c r="H650" s="56"/>
      <c r="I650" s="56"/>
      <c r="J650" s="56"/>
      <c r="K650" s="56"/>
      <c r="L650" s="56"/>
      <c r="M650" s="56"/>
      <c r="N650" s="56"/>
      <c r="O650" s="56"/>
      <c r="P650" s="56"/>
      <c r="Q650" s="56"/>
      <c r="R650" s="2206"/>
      <c r="S650" s="234"/>
    </row>
    <row r="651" spans="1:19">
      <c r="A651" s="234"/>
      <c r="B651" s="56"/>
      <c r="C651" s="56"/>
      <c r="D651" s="56"/>
      <c r="E651" s="56"/>
      <c r="F651" s="56"/>
      <c r="G651" s="56"/>
      <c r="H651" s="56"/>
      <c r="I651" s="56"/>
      <c r="J651" s="56"/>
      <c r="K651" s="56"/>
      <c r="L651" s="56"/>
      <c r="M651" s="56"/>
      <c r="N651" s="56"/>
      <c r="O651" s="56"/>
      <c r="P651" s="56"/>
      <c r="Q651" s="56"/>
      <c r="R651" s="2206"/>
      <c r="S651" s="234"/>
    </row>
    <row r="652" spans="1:19">
      <c r="A652" s="234"/>
      <c r="B652" s="56"/>
      <c r="C652" s="56"/>
      <c r="D652" s="56"/>
      <c r="E652" s="56"/>
      <c r="F652" s="56"/>
      <c r="G652" s="56"/>
      <c r="H652" s="56"/>
      <c r="I652" s="56"/>
      <c r="J652" s="56"/>
      <c r="K652" s="56"/>
      <c r="L652" s="56"/>
      <c r="M652" s="56"/>
      <c r="N652" s="56"/>
      <c r="O652" s="56"/>
      <c r="P652" s="56"/>
      <c r="Q652" s="56"/>
      <c r="R652" s="2206"/>
      <c r="S652" s="234"/>
    </row>
    <row r="653" spans="1:19">
      <c r="A653" s="234"/>
      <c r="B653" s="56"/>
      <c r="C653" s="56"/>
      <c r="D653" s="56"/>
      <c r="E653" s="56"/>
      <c r="F653" s="56"/>
      <c r="G653" s="56"/>
      <c r="H653" s="56"/>
      <c r="I653" s="56"/>
      <c r="J653" s="56"/>
      <c r="K653" s="56"/>
      <c r="L653" s="56"/>
      <c r="M653" s="56"/>
      <c r="N653" s="56"/>
      <c r="O653" s="56"/>
      <c r="P653" s="56"/>
      <c r="Q653" s="56"/>
      <c r="R653" s="2206"/>
      <c r="S653" s="234"/>
    </row>
    <row r="654" spans="1:19">
      <c r="A654" s="234"/>
      <c r="B654" s="56"/>
      <c r="C654" s="56"/>
      <c r="D654" s="56"/>
      <c r="E654" s="56"/>
      <c r="F654" s="56"/>
      <c r="G654" s="56"/>
      <c r="H654" s="56"/>
      <c r="I654" s="56"/>
      <c r="J654" s="56"/>
      <c r="K654" s="56"/>
      <c r="L654" s="56"/>
      <c r="M654" s="56"/>
      <c r="N654" s="56"/>
      <c r="O654" s="56"/>
      <c r="P654" s="56"/>
      <c r="Q654" s="56"/>
      <c r="R654" s="2206"/>
      <c r="S654" s="234"/>
    </row>
    <row r="655" spans="1:19">
      <c r="A655" s="234"/>
      <c r="B655" s="56"/>
      <c r="C655" s="56"/>
      <c r="D655" s="56"/>
      <c r="E655" s="56"/>
      <c r="F655" s="56"/>
      <c r="G655" s="56"/>
      <c r="H655" s="56"/>
      <c r="I655" s="56"/>
      <c r="J655" s="56"/>
      <c r="K655" s="56"/>
      <c r="L655" s="56"/>
      <c r="M655" s="56"/>
      <c r="N655" s="56"/>
      <c r="O655" s="56"/>
      <c r="P655" s="56"/>
      <c r="Q655" s="56"/>
      <c r="R655" s="2206"/>
      <c r="S655" s="234"/>
    </row>
    <row r="656" spans="1:19">
      <c r="A656" s="234"/>
      <c r="B656" s="56"/>
      <c r="C656" s="56"/>
      <c r="D656" s="56"/>
      <c r="E656" s="56"/>
      <c r="F656" s="56"/>
      <c r="G656" s="56"/>
      <c r="H656" s="56"/>
      <c r="I656" s="56"/>
      <c r="J656" s="56"/>
      <c r="K656" s="56"/>
      <c r="L656" s="56"/>
      <c r="M656" s="56"/>
      <c r="N656" s="56"/>
      <c r="O656" s="56"/>
      <c r="P656" s="56"/>
      <c r="Q656" s="56"/>
      <c r="R656" s="2206"/>
      <c r="S656" s="234"/>
    </row>
    <row r="657" spans="1:19">
      <c r="A657" s="234"/>
      <c r="B657" s="56"/>
      <c r="C657" s="56"/>
      <c r="D657" s="56"/>
      <c r="E657" s="56"/>
      <c r="F657" s="56"/>
      <c r="G657" s="56"/>
      <c r="H657" s="56"/>
      <c r="I657" s="56"/>
      <c r="J657" s="56"/>
      <c r="K657" s="56"/>
      <c r="L657" s="56"/>
      <c r="M657" s="56"/>
      <c r="N657" s="56"/>
      <c r="O657" s="56"/>
      <c r="P657" s="56"/>
      <c r="Q657" s="56"/>
      <c r="R657" s="2206"/>
      <c r="S657" s="234"/>
    </row>
    <row r="658" spans="1:19">
      <c r="A658" s="234"/>
      <c r="B658" s="56"/>
      <c r="C658" s="56"/>
      <c r="D658" s="56"/>
      <c r="E658" s="56"/>
      <c r="F658" s="56"/>
      <c r="G658" s="56"/>
      <c r="H658" s="56"/>
      <c r="I658" s="56"/>
      <c r="J658" s="56"/>
      <c r="K658" s="56"/>
      <c r="L658" s="56"/>
      <c r="M658" s="56"/>
      <c r="N658" s="56"/>
      <c r="O658" s="56"/>
      <c r="P658" s="56"/>
      <c r="Q658" s="56"/>
      <c r="R658" s="2206"/>
      <c r="S658" s="234"/>
    </row>
    <row r="659" spans="1:19">
      <c r="A659" s="234"/>
      <c r="B659" s="56"/>
      <c r="C659" s="56"/>
      <c r="D659" s="56"/>
      <c r="E659" s="56"/>
      <c r="F659" s="56"/>
      <c r="G659" s="56"/>
      <c r="H659" s="56"/>
      <c r="I659" s="56"/>
      <c r="J659" s="56"/>
      <c r="K659" s="56"/>
      <c r="L659" s="56"/>
      <c r="M659" s="56"/>
      <c r="N659" s="56"/>
      <c r="O659" s="56"/>
      <c r="P659" s="56"/>
      <c r="Q659" s="56"/>
      <c r="R659" s="2206"/>
      <c r="S659" s="234"/>
    </row>
    <row r="660" spans="1:19">
      <c r="A660" s="234"/>
      <c r="B660" s="56"/>
      <c r="C660" s="56"/>
      <c r="D660" s="56"/>
      <c r="E660" s="56"/>
      <c r="F660" s="56"/>
      <c r="G660" s="56"/>
      <c r="H660" s="56"/>
      <c r="I660" s="56"/>
      <c r="J660" s="56"/>
      <c r="K660" s="56"/>
      <c r="L660" s="56"/>
      <c r="M660" s="56"/>
      <c r="N660" s="56"/>
      <c r="O660" s="56"/>
      <c r="P660" s="56"/>
      <c r="Q660" s="56"/>
      <c r="R660" s="2206"/>
      <c r="S660" s="234"/>
    </row>
    <row r="661" spans="1:19">
      <c r="A661" s="234"/>
      <c r="B661" s="56"/>
      <c r="C661" s="56"/>
      <c r="D661" s="56"/>
      <c r="E661" s="56"/>
      <c r="F661" s="56"/>
      <c r="G661" s="56"/>
      <c r="H661" s="56"/>
      <c r="I661" s="56"/>
      <c r="J661" s="56"/>
      <c r="K661" s="56"/>
      <c r="L661" s="56"/>
      <c r="M661" s="56"/>
      <c r="N661" s="56"/>
      <c r="O661" s="56"/>
      <c r="P661" s="56"/>
      <c r="Q661" s="56"/>
      <c r="R661" s="2206"/>
      <c r="S661" s="234"/>
    </row>
    <row r="662" spans="1:19">
      <c r="A662" s="234"/>
      <c r="B662" s="56"/>
      <c r="C662" s="56"/>
      <c r="D662" s="56"/>
      <c r="E662" s="56"/>
      <c r="F662" s="56"/>
      <c r="G662" s="56"/>
      <c r="H662" s="56"/>
      <c r="I662" s="56"/>
      <c r="J662" s="56"/>
      <c r="K662" s="56"/>
      <c r="L662" s="56"/>
      <c r="M662" s="56"/>
      <c r="N662" s="56"/>
      <c r="O662" s="56"/>
      <c r="P662" s="56"/>
      <c r="Q662" s="56"/>
      <c r="R662" s="2206"/>
      <c r="S662" s="234"/>
    </row>
    <row r="663" spans="1:19">
      <c r="A663" s="234"/>
      <c r="B663" s="56"/>
      <c r="C663" s="56"/>
      <c r="D663" s="56"/>
      <c r="E663" s="56"/>
      <c r="F663" s="56"/>
      <c r="G663" s="56"/>
      <c r="H663" s="56"/>
      <c r="I663" s="56"/>
      <c r="J663" s="56"/>
      <c r="K663" s="56"/>
      <c r="L663" s="56"/>
      <c r="M663" s="56"/>
      <c r="N663" s="56"/>
      <c r="O663" s="56"/>
      <c r="P663" s="56"/>
      <c r="Q663" s="56"/>
      <c r="R663" s="2206"/>
      <c r="S663" s="234"/>
    </row>
    <row r="664" spans="1:19">
      <c r="A664" s="234"/>
      <c r="B664" s="56"/>
      <c r="C664" s="56"/>
      <c r="D664" s="56"/>
      <c r="E664" s="56"/>
      <c r="F664" s="56"/>
      <c r="G664" s="56"/>
      <c r="H664" s="56"/>
      <c r="I664" s="56"/>
      <c r="J664" s="56"/>
      <c r="K664" s="56"/>
      <c r="L664" s="56"/>
      <c r="M664" s="56"/>
      <c r="N664" s="56"/>
      <c r="O664" s="56"/>
      <c r="P664" s="56"/>
      <c r="Q664" s="56"/>
      <c r="R664" s="2206"/>
      <c r="S664" s="234"/>
    </row>
    <row r="665" spans="1:19">
      <c r="A665" s="234"/>
      <c r="B665" s="56"/>
      <c r="C665" s="56"/>
      <c r="D665" s="56"/>
      <c r="E665" s="56"/>
      <c r="F665" s="56"/>
      <c r="G665" s="56"/>
      <c r="H665" s="56"/>
      <c r="I665" s="56"/>
      <c r="J665" s="56"/>
      <c r="K665" s="56"/>
      <c r="L665" s="56"/>
      <c r="M665" s="56"/>
      <c r="N665" s="56"/>
      <c r="O665" s="56"/>
      <c r="P665" s="56"/>
      <c r="Q665" s="56"/>
      <c r="R665" s="2206"/>
      <c r="S665" s="234"/>
    </row>
    <row r="666" spans="1:19">
      <c r="A666" s="234"/>
      <c r="B666" s="56"/>
      <c r="C666" s="56"/>
      <c r="D666" s="56"/>
      <c r="E666" s="56"/>
      <c r="F666" s="56"/>
      <c r="G666" s="56"/>
      <c r="H666" s="56"/>
      <c r="I666" s="56"/>
      <c r="J666" s="56"/>
      <c r="K666" s="56"/>
      <c r="L666" s="56"/>
      <c r="M666" s="56"/>
      <c r="N666" s="56"/>
      <c r="O666" s="56"/>
      <c r="P666" s="56"/>
      <c r="Q666" s="56"/>
      <c r="R666" s="2206"/>
      <c r="S666" s="234"/>
    </row>
    <row r="667" spans="1:19">
      <c r="A667" s="234"/>
      <c r="B667" s="56"/>
      <c r="C667" s="56"/>
      <c r="D667" s="56"/>
      <c r="E667" s="56"/>
      <c r="F667" s="56"/>
      <c r="G667" s="56"/>
      <c r="H667" s="56"/>
      <c r="I667" s="56"/>
      <c r="J667" s="56"/>
      <c r="K667" s="56"/>
      <c r="L667" s="56"/>
      <c r="M667" s="56"/>
      <c r="N667" s="56"/>
      <c r="O667" s="56"/>
      <c r="P667" s="56"/>
      <c r="Q667" s="56"/>
      <c r="R667" s="2206"/>
      <c r="S667" s="234"/>
    </row>
    <row r="668" spans="1:19">
      <c r="A668" s="234"/>
      <c r="B668" s="56"/>
      <c r="C668" s="56"/>
      <c r="D668" s="56"/>
      <c r="E668" s="56"/>
      <c r="F668" s="56"/>
      <c r="G668" s="56"/>
      <c r="H668" s="56"/>
      <c r="I668" s="56"/>
      <c r="J668" s="56"/>
      <c r="K668" s="56"/>
      <c r="L668" s="56"/>
      <c r="M668" s="56"/>
      <c r="N668" s="56"/>
      <c r="O668" s="56"/>
      <c r="P668" s="56"/>
      <c r="Q668" s="56"/>
      <c r="R668" s="2206"/>
      <c r="S668" s="234"/>
    </row>
    <row r="669" spans="1:19">
      <c r="A669" s="234"/>
      <c r="B669" s="56"/>
      <c r="C669" s="56"/>
      <c r="D669" s="56"/>
      <c r="E669" s="56"/>
      <c r="F669" s="56"/>
      <c r="G669" s="56"/>
      <c r="H669" s="56"/>
      <c r="I669" s="56"/>
      <c r="J669" s="56"/>
      <c r="K669" s="56"/>
      <c r="L669" s="56"/>
      <c r="M669" s="56"/>
      <c r="N669" s="56"/>
      <c r="O669" s="56"/>
      <c r="P669" s="56"/>
      <c r="Q669" s="56"/>
      <c r="R669" s="2206"/>
      <c r="S669" s="234"/>
    </row>
    <row r="670" spans="1:19">
      <c r="A670" s="234"/>
      <c r="B670" s="56"/>
      <c r="C670" s="56"/>
      <c r="D670" s="56"/>
      <c r="E670" s="56"/>
      <c r="F670" s="56"/>
      <c r="G670" s="56"/>
      <c r="H670" s="56"/>
      <c r="I670" s="56"/>
      <c r="J670" s="56"/>
      <c r="K670" s="56"/>
      <c r="L670" s="56"/>
      <c r="M670" s="56"/>
      <c r="N670" s="56"/>
      <c r="O670" s="56"/>
      <c r="P670" s="56"/>
      <c r="Q670" s="56"/>
      <c r="R670" s="2206"/>
      <c r="S670" s="234"/>
    </row>
    <row r="671" spans="1:19">
      <c r="A671" s="234"/>
      <c r="B671" s="56"/>
      <c r="C671" s="56"/>
      <c r="D671" s="56"/>
      <c r="E671" s="56"/>
      <c r="F671" s="56"/>
      <c r="G671" s="56"/>
      <c r="H671" s="56"/>
      <c r="I671" s="56"/>
      <c r="J671" s="56"/>
      <c r="K671" s="56"/>
      <c r="L671" s="56"/>
      <c r="M671" s="56"/>
      <c r="N671" s="56"/>
      <c r="O671" s="56"/>
      <c r="P671" s="56"/>
      <c r="Q671" s="56"/>
      <c r="R671" s="2206"/>
      <c r="S671" s="234"/>
    </row>
    <row r="672" spans="1:19">
      <c r="A672" s="234"/>
      <c r="B672" s="56"/>
      <c r="C672" s="56"/>
      <c r="D672" s="56"/>
      <c r="E672" s="56"/>
      <c r="F672" s="56"/>
      <c r="G672" s="56"/>
      <c r="H672" s="56"/>
      <c r="I672" s="56"/>
      <c r="J672" s="56"/>
      <c r="K672" s="56"/>
      <c r="L672" s="56"/>
      <c r="M672" s="56"/>
      <c r="N672" s="56"/>
      <c r="O672" s="56"/>
      <c r="P672" s="56"/>
      <c r="Q672" s="56"/>
      <c r="R672" s="2206"/>
      <c r="S672" s="234"/>
    </row>
    <row r="673" spans="1:19">
      <c r="A673" s="234"/>
      <c r="B673" s="56"/>
      <c r="C673" s="56"/>
      <c r="D673" s="56"/>
      <c r="E673" s="56"/>
      <c r="F673" s="56"/>
      <c r="G673" s="56"/>
      <c r="H673" s="56"/>
      <c r="I673" s="56"/>
      <c r="J673" s="56"/>
      <c r="K673" s="56"/>
      <c r="L673" s="56"/>
      <c r="M673" s="56"/>
      <c r="N673" s="56"/>
      <c r="O673" s="56"/>
      <c r="P673" s="56"/>
      <c r="Q673" s="56"/>
      <c r="R673" s="2206"/>
      <c r="S673" s="234"/>
    </row>
    <row r="674" spans="1:19">
      <c r="A674" s="234"/>
      <c r="B674" s="56"/>
      <c r="C674" s="56"/>
      <c r="D674" s="56"/>
      <c r="E674" s="56"/>
      <c r="F674" s="56"/>
      <c r="G674" s="56"/>
      <c r="H674" s="56"/>
      <c r="I674" s="56"/>
      <c r="J674" s="56"/>
      <c r="K674" s="56"/>
      <c r="L674" s="56"/>
      <c r="M674" s="56"/>
      <c r="N674" s="56"/>
      <c r="O674" s="56"/>
      <c r="P674" s="56"/>
      <c r="Q674" s="56"/>
      <c r="R674" s="2206"/>
      <c r="S674" s="234"/>
    </row>
    <row r="675" spans="1:19">
      <c r="A675" s="234"/>
      <c r="B675" s="56"/>
      <c r="C675" s="56"/>
      <c r="D675" s="56"/>
      <c r="E675" s="56"/>
      <c r="F675" s="56"/>
      <c r="G675" s="56"/>
      <c r="H675" s="56"/>
      <c r="I675" s="56"/>
      <c r="J675" s="56"/>
      <c r="K675" s="56"/>
      <c r="L675" s="56"/>
      <c r="M675" s="56"/>
      <c r="N675" s="56"/>
      <c r="O675" s="56"/>
      <c r="P675" s="56"/>
      <c r="Q675" s="56"/>
      <c r="R675" s="2206"/>
      <c r="S675" s="234"/>
    </row>
    <row r="676" spans="1:19">
      <c r="A676" s="234"/>
      <c r="B676" s="56"/>
      <c r="C676" s="56"/>
      <c r="D676" s="56"/>
      <c r="E676" s="56"/>
      <c r="F676" s="56"/>
      <c r="G676" s="56"/>
      <c r="H676" s="56"/>
      <c r="I676" s="56"/>
      <c r="J676" s="56"/>
      <c r="K676" s="56"/>
      <c r="L676" s="56"/>
      <c r="M676" s="56"/>
      <c r="N676" s="56"/>
      <c r="O676" s="56"/>
      <c r="P676" s="56"/>
      <c r="Q676" s="56"/>
      <c r="R676" s="2206"/>
      <c r="S676" s="234"/>
    </row>
    <row r="677" spans="1:19">
      <c r="A677" s="234"/>
      <c r="B677" s="56"/>
      <c r="C677" s="56"/>
      <c r="D677" s="56"/>
      <c r="E677" s="56"/>
      <c r="F677" s="56"/>
      <c r="G677" s="56"/>
      <c r="H677" s="56"/>
      <c r="I677" s="56"/>
      <c r="J677" s="56"/>
      <c r="K677" s="56"/>
      <c r="L677" s="56"/>
      <c r="M677" s="56"/>
      <c r="N677" s="56"/>
      <c r="O677" s="56"/>
      <c r="P677" s="56"/>
      <c r="Q677" s="56"/>
      <c r="R677" s="2206"/>
      <c r="S677" s="234"/>
    </row>
    <row r="678" spans="1:19">
      <c r="A678" s="234"/>
      <c r="B678" s="56"/>
      <c r="C678" s="56"/>
      <c r="D678" s="56"/>
      <c r="E678" s="56"/>
      <c r="F678" s="56"/>
      <c r="G678" s="56"/>
      <c r="H678" s="56"/>
      <c r="I678" s="56"/>
      <c r="J678" s="56"/>
      <c r="K678" s="56"/>
      <c r="L678" s="56"/>
      <c r="M678" s="56"/>
      <c r="N678" s="56"/>
      <c r="O678" s="56"/>
      <c r="P678" s="56"/>
      <c r="Q678" s="56"/>
      <c r="R678" s="2206"/>
      <c r="S678" s="234"/>
    </row>
    <row r="679" spans="1:19">
      <c r="A679" s="234"/>
      <c r="B679" s="56"/>
      <c r="C679" s="56"/>
      <c r="D679" s="56"/>
      <c r="E679" s="56"/>
      <c r="F679" s="56"/>
      <c r="G679" s="56"/>
      <c r="H679" s="56"/>
      <c r="I679" s="56"/>
      <c r="J679" s="56"/>
      <c r="K679" s="56"/>
      <c r="L679" s="56"/>
      <c r="M679" s="56"/>
      <c r="N679" s="56"/>
      <c r="O679" s="56"/>
      <c r="P679" s="56"/>
      <c r="Q679" s="56"/>
      <c r="R679" s="2206"/>
      <c r="S679" s="234"/>
    </row>
    <row r="680" spans="1:19">
      <c r="A680" s="234"/>
      <c r="B680" s="56"/>
      <c r="C680" s="56"/>
      <c r="D680" s="56"/>
      <c r="E680" s="56"/>
      <c r="F680" s="56"/>
      <c r="G680" s="56"/>
      <c r="H680" s="56"/>
      <c r="I680" s="56"/>
      <c r="J680" s="56"/>
      <c r="K680" s="56"/>
      <c r="L680" s="56"/>
      <c r="M680" s="56"/>
      <c r="N680" s="56"/>
      <c r="O680" s="56"/>
      <c r="P680" s="56"/>
      <c r="Q680" s="56"/>
      <c r="R680" s="2206"/>
      <c r="S680" s="234"/>
    </row>
    <row r="681" spans="1:19">
      <c r="A681" s="234"/>
      <c r="B681" s="56"/>
      <c r="C681" s="56"/>
      <c r="D681" s="56"/>
      <c r="E681" s="56"/>
      <c r="F681" s="56"/>
      <c r="G681" s="56"/>
      <c r="H681" s="56"/>
      <c r="I681" s="56"/>
      <c r="J681" s="56"/>
      <c r="K681" s="56"/>
      <c r="L681" s="56"/>
      <c r="M681" s="56"/>
      <c r="N681" s="56"/>
      <c r="O681" s="56"/>
      <c r="P681" s="56"/>
      <c r="Q681" s="56"/>
      <c r="R681" s="2206"/>
      <c r="S681" s="234"/>
    </row>
    <row r="682" spans="1:19">
      <c r="A682" s="234"/>
      <c r="B682" s="56"/>
      <c r="C682" s="56"/>
      <c r="D682" s="56"/>
      <c r="E682" s="56"/>
      <c r="F682" s="56"/>
      <c r="G682" s="56"/>
      <c r="H682" s="56"/>
      <c r="I682" s="56"/>
      <c r="J682" s="56"/>
      <c r="K682" s="56"/>
      <c r="L682" s="56"/>
      <c r="M682" s="56"/>
      <c r="N682" s="56"/>
      <c r="O682" s="56"/>
      <c r="P682" s="56"/>
      <c r="Q682" s="56"/>
      <c r="R682" s="2206"/>
      <c r="S682" s="23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8" zoomScale="80" zoomScaleNormal="80" workbookViewId="0">
      <selection activeCell="G48" sqref="G48"/>
    </sheetView>
  </sheetViews>
  <sheetFormatPr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2201"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82" t="s">
        <v>755</v>
      </c>
      <c r="B1" s="483" t="s">
        <v>903</v>
      </c>
      <c r="C1" s="484" t="s">
        <v>757</v>
      </c>
      <c r="D1" s="829" t="s">
        <v>3398</v>
      </c>
      <c r="E1" s="486"/>
      <c r="F1" s="2825" t="s">
        <v>2843</v>
      </c>
      <c r="G1" s="1582" t="s">
        <v>758</v>
      </c>
      <c r="H1" s="486"/>
      <c r="I1" s="486"/>
      <c r="J1" s="486"/>
      <c r="K1" s="487"/>
      <c r="L1" s="1543"/>
      <c r="M1" s="1544"/>
      <c r="N1" s="1544"/>
      <c r="O1" s="1544"/>
      <c r="P1" s="2187"/>
      <c r="Q1" s="1545"/>
      <c r="R1" s="1545"/>
      <c r="S1" s="1545"/>
      <c r="T1" s="1545"/>
      <c r="U1" s="1545"/>
      <c r="V1" s="1545"/>
      <c r="W1" s="1545"/>
      <c r="X1" s="1545"/>
      <c r="Y1" s="1545"/>
      <c r="Z1" s="1545"/>
      <c r="AA1" s="1545"/>
      <c r="AB1" s="1545"/>
      <c r="AC1" s="1546"/>
    </row>
    <row r="2" spans="1:29" s="1321" customFormat="1" ht="28.5" customHeight="1">
      <c r="A2" s="403" t="s">
        <v>450</v>
      </c>
      <c r="B2" s="830">
        <f>ROUND(B3*D3/10000,0)</f>
        <v>136347</v>
      </c>
      <c r="C2" s="2107"/>
      <c r="D2" s="2107"/>
      <c r="E2" s="2038"/>
      <c r="F2" s="2109"/>
      <c r="G2" s="2108"/>
      <c r="H2" s="2108"/>
      <c r="I2" s="2108"/>
      <c r="J2" s="2108"/>
      <c r="K2" s="2108"/>
      <c r="L2" s="2111"/>
      <c r="M2" s="2112"/>
      <c r="N2" s="2112"/>
      <c r="O2" s="2112"/>
      <c r="P2" s="2187"/>
      <c r="Q2" s="1545"/>
      <c r="R2" s="1545"/>
      <c r="S2" s="1545"/>
      <c r="T2" s="1545"/>
      <c r="U2" s="1545"/>
      <c r="V2" s="1545"/>
      <c r="W2" s="1545"/>
      <c r="X2" s="1545"/>
      <c r="Y2" s="1545"/>
      <c r="Z2" s="1545"/>
      <c r="AA2" s="1545"/>
      <c r="AB2" s="1545"/>
      <c r="AC2" s="1546"/>
    </row>
    <row r="3" spans="1:29" s="1321" customFormat="1" ht="28.5" customHeight="1" thickBot="1">
      <c r="A3" s="489" t="s">
        <v>503</v>
      </c>
      <c r="B3" s="490">
        <f>C50</f>
        <v>26837</v>
      </c>
      <c r="C3" s="832" t="s">
        <v>759</v>
      </c>
      <c r="D3" s="831">
        <f>SUMIF('数据-汇总表'!$C19:$C36,D1,'数据-汇总表'!$E19:$E36)</f>
        <v>50805.77</v>
      </c>
      <c r="E3" s="2038"/>
      <c r="F3" s="2109"/>
      <c r="G3" s="2108"/>
      <c r="H3" s="2108"/>
      <c r="I3" s="2108"/>
      <c r="J3" s="2108"/>
      <c r="K3" s="2110"/>
      <c r="L3" s="2111"/>
      <c r="M3" s="2112"/>
      <c r="N3" s="2112"/>
      <c r="O3" s="2112"/>
      <c r="P3" s="2187"/>
      <c r="Q3" s="1545"/>
      <c r="R3" s="1545"/>
      <c r="S3" s="1545"/>
      <c r="T3" s="1545"/>
      <c r="U3" s="1545"/>
      <c r="V3" s="1545"/>
      <c r="W3" s="1545"/>
      <c r="X3" s="1545"/>
      <c r="Y3" s="1545"/>
      <c r="Z3" s="1545"/>
      <c r="AA3" s="1545"/>
      <c r="AB3" s="1545"/>
      <c r="AC3" s="1546"/>
    </row>
    <row r="4" spans="1:29" ht="15">
      <c r="A4" s="492" t="s">
        <v>505</v>
      </c>
      <c r="B4" s="493"/>
      <c r="C4" s="3402" t="s">
        <v>506</v>
      </c>
      <c r="D4" s="3403"/>
      <c r="E4" s="3444" t="s">
        <v>507</v>
      </c>
      <c r="F4" s="3445"/>
      <c r="G4" s="3402" t="s">
        <v>508</v>
      </c>
      <c r="H4" s="3403"/>
      <c r="I4" s="3402" t="s">
        <v>509</v>
      </c>
      <c r="J4" s="3403"/>
      <c r="K4" s="494" t="s">
        <v>510</v>
      </c>
      <c r="L4" s="2113"/>
      <c r="M4" s="2114"/>
      <c r="N4" s="2114"/>
      <c r="O4" s="2114"/>
      <c r="P4" s="3531" t="s">
        <v>511</v>
      </c>
      <c r="Q4" s="3405"/>
      <c r="R4" s="3410" t="s">
        <v>507</v>
      </c>
      <c r="S4" s="3411"/>
      <c r="T4" s="3410" t="s">
        <v>508</v>
      </c>
      <c r="U4" s="3411"/>
      <c r="V4" s="3397" t="s">
        <v>509</v>
      </c>
      <c r="W4" s="3397"/>
      <c r="X4" s="1548"/>
      <c r="Y4" s="3410" t="s">
        <v>511</v>
      </c>
      <c r="Z4" s="3411"/>
      <c r="AA4" s="3399" t="s">
        <v>507</v>
      </c>
      <c r="AB4" s="3399" t="s">
        <v>508</v>
      </c>
      <c r="AC4" s="3399" t="s">
        <v>509</v>
      </c>
    </row>
    <row r="5" spans="1:29" ht="15">
      <c r="A5" s="495"/>
      <c r="B5" s="496"/>
      <c r="C5" s="3418" t="str">
        <f>'[1]不动产比较法-商业'!C5:D5</f>
        <v>昌平区南邵镇0303-07地块</v>
      </c>
      <c r="D5" s="3419"/>
      <c r="E5" s="3534" t="str">
        <f>'[8]不动产比较法-住宅底商'!E5</f>
        <v>青秀尚园</v>
      </c>
      <c r="F5" s="3535"/>
      <c r="G5" s="3515" t="s">
        <v>3400</v>
      </c>
      <c r="H5" s="3419"/>
      <c r="I5" s="3515" t="s">
        <v>3401</v>
      </c>
      <c r="J5" s="3419"/>
      <c r="K5" s="494"/>
      <c r="L5" s="2113"/>
      <c r="M5" s="2114"/>
      <c r="N5" s="2114"/>
      <c r="O5" s="2114"/>
      <c r="P5" s="3532"/>
      <c r="Q5" s="3407"/>
      <c r="R5" s="3412"/>
      <c r="S5" s="3413"/>
      <c r="T5" s="3412"/>
      <c r="U5" s="3413"/>
      <c r="V5" s="3397"/>
      <c r="W5" s="3397"/>
      <c r="X5" s="1548"/>
      <c r="Y5" s="3412"/>
      <c r="Z5" s="3413"/>
      <c r="AA5" s="3400"/>
      <c r="AB5" s="3400"/>
      <c r="AC5" s="3400"/>
    </row>
    <row r="6" spans="1:29" ht="15.75" thickBot="1">
      <c r="A6" s="497"/>
      <c r="B6" s="498"/>
      <c r="C6" s="3418" t="str">
        <f>'[1]不动产比较法-商业'!C6:D6</f>
        <v>昌平区南邵镇（中关村科技园昌平园东区二期）0303-07地块住宅混合公建用地（配建“限价商品住房”）</v>
      </c>
      <c r="D6" s="3419"/>
      <c r="E6" s="3534" t="str">
        <f>'[1]不动产比较法-商业'!E6:F6</f>
        <v>昌平区中关村科技园昌平园东区二期0303-04地块住宅混合公建用地项目</v>
      </c>
      <c r="F6" s="3535"/>
      <c r="G6" s="3514" t="s">
        <v>3402</v>
      </c>
      <c r="H6" s="3417"/>
      <c r="I6" s="3514" t="s">
        <v>3403</v>
      </c>
      <c r="J6" s="3417"/>
      <c r="K6" s="494" t="s">
        <v>517</v>
      </c>
      <c r="L6" s="2113"/>
      <c r="M6" s="2114"/>
      <c r="N6" s="2114"/>
      <c r="O6" s="2114"/>
      <c r="P6" s="3533"/>
      <c r="Q6" s="3409"/>
      <c r="R6" s="3412"/>
      <c r="S6" s="3413"/>
      <c r="T6" s="3414"/>
      <c r="U6" s="3415"/>
      <c r="V6" s="3397"/>
      <c r="W6" s="3397"/>
      <c r="X6" s="1548"/>
      <c r="Y6" s="3414"/>
      <c r="Z6" s="3415"/>
      <c r="AA6" s="3401"/>
      <c r="AB6" s="3401"/>
      <c r="AC6" s="3401"/>
    </row>
    <row r="7" spans="1:29" s="1199" customFormat="1" ht="15.75" thickBot="1">
      <c r="A7" s="2929"/>
      <c r="B7" s="2936" t="s">
        <v>518</v>
      </c>
      <c r="C7" s="499">
        <f>'数据-取费表'!B2</f>
        <v>42898</v>
      </c>
      <c r="D7" s="500">
        <v>100</v>
      </c>
      <c r="E7" s="501">
        <v>42887</v>
      </c>
      <c r="F7" s="502">
        <f>SUMIF(59:59,YEAR(E7)&amp;"-"&amp;MONTH(E7),60:60)</f>
        <v>100</v>
      </c>
      <c r="G7" s="501">
        <f>E7</f>
        <v>42887</v>
      </c>
      <c r="H7" s="500">
        <f>SUMIF(59:59,YEAR(G7)&amp;"-"&amp;MONTH(G7),60:60)</f>
        <v>100</v>
      </c>
      <c r="I7" s="501">
        <v>42795</v>
      </c>
      <c r="J7" s="500">
        <f>SUMIF(59:59,YEAR(I7)&amp;"-"&amp;MONTH(I7),60:60)</f>
        <v>98.5</v>
      </c>
      <c r="K7" s="504"/>
      <c r="L7" s="2115"/>
      <c r="M7" s="2116"/>
      <c r="N7" s="2116"/>
      <c r="O7" s="2116"/>
      <c r="P7" s="3433" t="s">
        <v>519</v>
      </c>
      <c r="Q7" s="3433"/>
      <c r="R7" s="1549" t="s">
        <v>8</v>
      </c>
      <c r="S7" s="1550">
        <f t="shared" ref="S7:S15" si="0">F7</f>
        <v>100</v>
      </c>
      <c r="T7" s="1549" t="s">
        <v>8</v>
      </c>
      <c r="U7" s="1550">
        <f t="shared" ref="U7:U15" si="1">H7</f>
        <v>100</v>
      </c>
      <c r="V7" s="1549" t="s">
        <v>8</v>
      </c>
      <c r="W7" s="1550">
        <f t="shared" ref="W7:W15" si="2">J7</f>
        <v>98.5</v>
      </c>
      <c r="X7" s="1551"/>
      <c r="Y7" s="3431" t="s">
        <v>519</v>
      </c>
      <c r="Z7" s="3432"/>
      <c r="AA7" s="1552">
        <f>D7/F7</f>
        <v>1</v>
      </c>
      <c r="AB7" s="1552">
        <f>D7/H7</f>
        <v>1</v>
      </c>
      <c r="AC7" s="1552">
        <f>D7/J7</f>
        <v>1.015228426395939</v>
      </c>
    </row>
    <row r="8" spans="1:29" s="1199" customFormat="1" ht="15.75" thickBot="1">
      <c r="A8" s="2930"/>
      <c r="B8" s="2937" t="s">
        <v>520</v>
      </c>
      <c r="C8" s="3144" t="s">
        <v>3404</v>
      </c>
      <c r="D8" s="500">
        <v>100</v>
      </c>
      <c r="E8" s="3144" t="s">
        <v>3266</v>
      </c>
      <c r="F8" s="502">
        <f>SUMIF(62:62,E8,63:63)-SUMIF(62:62,C8,63:63)+100</f>
        <v>100</v>
      </c>
      <c r="G8" s="3144" t="s">
        <v>3404</v>
      </c>
      <c r="H8" s="500">
        <f>SUMIF(62:62,G8,63:63)-SUMIF(62:62,C8,63:63)+100</f>
        <v>100</v>
      </c>
      <c r="I8" s="3144" t="s">
        <v>3404</v>
      </c>
      <c r="J8" s="500">
        <f>SUMIF(62:62,I8,63:63)-SUMIF(62:62,C8,63:63)+100</f>
        <v>100</v>
      </c>
      <c r="K8" s="504"/>
      <c r="L8" s="2115"/>
      <c r="M8" s="2116"/>
      <c r="N8" s="2116"/>
      <c r="O8" s="2116"/>
      <c r="P8" s="3433" t="s">
        <v>522</v>
      </c>
      <c r="Q8" s="3432"/>
      <c r="R8" s="1549" t="s">
        <v>8</v>
      </c>
      <c r="S8" s="1550">
        <f t="shared" si="0"/>
        <v>100</v>
      </c>
      <c r="T8" s="1549" t="s">
        <v>8</v>
      </c>
      <c r="U8" s="1550">
        <f t="shared" si="1"/>
        <v>100</v>
      </c>
      <c r="V8" s="1549" t="s">
        <v>8</v>
      </c>
      <c r="W8" s="1550">
        <f t="shared" si="2"/>
        <v>100</v>
      </c>
      <c r="X8" s="1551"/>
      <c r="Y8" s="3431" t="s">
        <v>522</v>
      </c>
      <c r="Z8" s="3432"/>
      <c r="AA8" s="1552">
        <f t="shared" ref="AA8:AA47" si="3">D8/F8</f>
        <v>1</v>
      </c>
      <c r="AB8" s="1552">
        <f t="shared" ref="AB8:AB47" si="4">D8/H8</f>
        <v>1</v>
      </c>
      <c r="AC8" s="1552">
        <f t="shared" ref="AC8:AC47" si="5">D8/J8</f>
        <v>1</v>
      </c>
    </row>
    <row r="9" spans="1:29" s="1199" customFormat="1" ht="15">
      <c r="A9" s="2931"/>
      <c r="B9" s="2938" t="s">
        <v>3039</v>
      </c>
      <c r="C9" s="837" t="s">
        <v>3405</v>
      </c>
      <c r="D9" s="231">
        <v>100</v>
      </c>
      <c r="E9" s="3191" t="s">
        <v>904</v>
      </c>
      <c r="F9" s="231">
        <f>SUMIF(64:64,E9,65:65)-SUMIF(64:64,C9,65:65)+100</f>
        <v>100</v>
      </c>
      <c r="G9" s="3184" t="s">
        <v>1887</v>
      </c>
      <c r="H9" s="231">
        <f>SUMIF(64:64,G9,65:65)-SUMIF(64:64,C9,65:65)+100</f>
        <v>100</v>
      </c>
      <c r="I9" s="3184" t="s">
        <v>904</v>
      </c>
      <c r="J9" s="231">
        <f>SUMIF(64:64,I9,65:65)-SUMIF(64:64,C9,65:65)+100</f>
        <v>100</v>
      </c>
      <c r="K9" s="504"/>
      <c r="L9" s="2115"/>
      <c r="M9" s="2116"/>
      <c r="N9" s="2116"/>
      <c r="O9" s="2116"/>
      <c r="P9" s="3396" t="s">
        <v>524</v>
      </c>
      <c r="Q9" s="1130" t="str">
        <f t="shared" ref="Q9:Q15" si="6">B9</f>
        <v>用途</v>
      </c>
      <c r="R9" s="1549" t="s">
        <v>8</v>
      </c>
      <c r="S9" s="1550">
        <f t="shared" si="0"/>
        <v>100</v>
      </c>
      <c r="T9" s="1549" t="s">
        <v>8</v>
      </c>
      <c r="U9" s="1550">
        <f t="shared" si="1"/>
        <v>100</v>
      </c>
      <c r="V9" s="1549" t="s">
        <v>8</v>
      </c>
      <c r="W9" s="1550">
        <f t="shared" si="2"/>
        <v>100</v>
      </c>
      <c r="X9" s="1551"/>
      <c r="Y9" s="3343" t="s">
        <v>525</v>
      </c>
      <c r="Z9" s="1129" t="str">
        <f t="shared" ref="Z9:Z15" si="7">Q9</f>
        <v>用途</v>
      </c>
      <c r="AA9" s="1552">
        <f t="shared" si="3"/>
        <v>1</v>
      </c>
      <c r="AB9" s="1552">
        <f t="shared" si="4"/>
        <v>1</v>
      </c>
      <c r="AC9" s="1552">
        <f t="shared" si="5"/>
        <v>1</v>
      </c>
    </row>
    <row r="10" spans="1:29" s="1323" customFormat="1" ht="27">
      <c r="A10" s="2932"/>
      <c r="B10" s="2937" t="s">
        <v>3040</v>
      </c>
      <c r="C10" s="3181" t="s">
        <v>905</v>
      </c>
      <c r="D10" s="232">
        <v>100</v>
      </c>
      <c r="E10" s="3181" t="s">
        <v>3378</v>
      </c>
      <c r="F10" s="232">
        <f>SUMIF(66:66,E10,67:67)-SUMIF(66:66,C10,67:67)+100</f>
        <v>100</v>
      </c>
      <c r="G10" s="3185" t="s">
        <v>3378</v>
      </c>
      <c r="H10" s="232">
        <f>SUMIF(66:66,G10,67:67)-SUMIF(66:66,C10,67:67)+100</f>
        <v>100</v>
      </c>
      <c r="I10" s="3181" t="s">
        <v>3378</v>
      </c>
      <c r="J10" s="232">
        <f>SUMIF(66:66,I10,67:67)-SUMIF(66:66,C10,67:67)+100</f>
        <v>100</v>
      </c>
      <c r="K10" s="564">
        <f>'[1]不动产比较法-商业'!K10</f>
        <v>2</v>
      </c>
      <c r="L10" s="2118"/>
      <c r="M10" s="2158"/>
      <c r="N10" s="2158"/>
      <c r="O10" s="2158"/>
      <c r="P10" s="3396"/>
      <c r="Q10" s="1130" t="str">
        <f t="shared" si="6"/>
        <v>土地使用年限（年）</v>
      </c>
      <c r="R10" s="1549" t="s">
        <v>8</v>
      </c>
      <c r="S10" s="1550">
        <f t="shared" si="0"/>
        <v>100</v>
      </c>
      <c r="T10" s="1549" t="s">
        <v>8</v>
      </c>
      <c r="U10" s="1550">
        <f t="shared" si="1"/>
        <v>100</v>
      </c>
      <c r="V10" s="1549" t="s">
        <v>8</v>
      </c>
      <c r="W10" s="1550">
        <f t="shared" si="2"/>
        <v>100</v>
      </c>
      <c r="X10" s="1551"/>
      <c r="Y10" s="3343"/>
      <c r="Z10" s="1129" t="str">
        <f t="shared" si="7"/>
        <v>土地使用年限（年）</v>
      </c>
      <c r="AA10" s="1552">
        <f t="shared" si="3"/>
        <v>1</v>
      </c>
      <c r="AB10" s="1552">
        <f t="shared" si="4"/>
        <v>1</v>
      </c>
      <c r="AC10" s="1552">
        <f t="shared" si="5"/>
        <v>1</v>
      </c>
    </row>
    <row r="11" spans="1:29" ht="15">
      <c r="A11" s="2933"/>
      <c r="B11" s="2937" t="s">
        <v>3041</v>
      </c>
      <c r="C11" s="513">
        <f>'不动产比较法-住宅'!C11</f>
        <v>4.45</v>
      </c>
      <c r="D11" s="232">
        <v>100</v>
      </c>
      <c r="E11" s="513">
        <f>'[1]不动产比较法-商业'!E11</f>
        <v>2.2000000000000002</v>
      </c>
      <c r="F11" s="232">
        <f>LOOKUP(E11,69:69,70:70)-LOOKUP(C11,69:69,70:70)+100</f>
        <v>102</v>
      </c>
      <c r="G11" s="514">
        <v>2.2000000000000002</v>
      </c>
      <c r="H11" s="232">
        <f>LOOKUP(G11,69:69,70:70)-LOOKUP(C11,69:69,70:70)+100</f>
        <v>102</v>
      </c>
      <c r="I11" s="513">
        <v>3.15</v>
      </c>
      <c r="J11" s="232">
        <f>LOOKUP(I11,69:69,70:70)-LOOKUP(C11,69:69,70:70)+100</f>
        <v>101</v>
      </c>
      <c r="K11" s="564">
        <f>'[1]不动产比较法-商业'!K11</f>
        <v>1</v>
      </c>
      <c r="L11" s="2120"/>
      <c r="M11" s="2114"/>
      <c r="N11" s="2114"/>
      <c r="O11" s="2114"/>
      <c r="P11" s="3396"/>
      <c r="Q11" s="1130" t="str">
        <f t="shared" si="6"/>
        <v>容积率</v>
      </c>
      <c r="R11" s="1549" t="s">
        <v>8</v>
      </c>
      <c r="S11" s="1550">
        <f t="shared" si="0"/>
        <v>102</v>
      </c>
      <c r="T11" s="1549" t="s">
        <v>8</v>
      </c>
      <c r="U11" s="1550">
        <f t="shared" si="1"/>
        <v>102</v>
      </c>
      <c r="V11" s="1549" t="s">
        <v>8</v>
      </c>
      <c r="W11" s="1550">
        <f t="shared" si="2"/>
        <v>101</v>
      </c>
      <c r="X11" s="1551"/>
      <c r="Y11" s="3343"/>
      <c r="Z11" s="1129" t="str">
        <f t="shared" si="7"/>
        <v>容积率</v>
      </c>
      <c r="AA11" s="1552">
        <f t="shared" si="3"/>
        <v>0.98039215686274506</v>
      </c>
      <c r="AB11" s="1552">
        <f t="shared" si="4"/>
        <v>0.98039215686274506</v>
      </c>
      <c r="AC11" s="1552">
        <f t="shared" si="5"/>
        <v>0.99009900990099009</v>
      </c>
    </row>
    <row r="12" spans="1:29" s="1199" customFormat="1" ht="15">
      <c r="A12" s="2934"/>
      <c r="B12" s="2940"/>
      <c r="C12" s="508"/>
      <c r="D12" s="518">
        <v>100</v>
      </c>
      <c r="E12" s="508"/>
      <c r="F12" s="232">
        <f>SUMIF(71:71,E12,72:72)-SUMIF(71:71,C12,72:72)+100</f>
        <v>100</v>
      </c>
      <c r="G12" s="889"/>
      <c r="H12" s="232">
        <f>SUMIF(71:71,G12,72:72)-SUMIF(71:71,C12,72:72)+100</f>
        <v>100</v>
      </c>
      <c r="I12" s="508"/>
      <c r="J12" s="232">
        <f>SUMIF(71:71,I12,72:72)-SUMIF(71:71,C12,72:72)+100</f>
        <v>100</v>
      </c>
      <c r="K12" s="561"/>
      <c r="L12" s="2115"/>
      <c r="M12" s="2116"/>
      <c r="N12" s="2116"/>
      <c r="O12" s="2116"/>
      <c r="P12" s="3396"/>
      <c r="Q12" s="1130">
        <f t="shared" si="6"/>
        <v>0</v>
      </c>
      <c r="R12" s="1549" t="s">
        <v>8</v>
      </c>
      <c r="S12" s="1550">
        <f t="shared" si="0"/>
        <v>100</v>
      </c>
      <c r="T12" s="1549" t="s">
        <v>8</v>
      </c>
      <c r="U12" s="1550">
        <f t="shared" si="1"/>
        <v>100</v>
      </c>
      <c r="V12" s="1549" t="s">
        <v>8</v>
      </c>
      <c r="W12" s="1550">
        <f t="shared" si="2"/>
        <v>100</v>
      </c>
      <c r="X12" s="1551"/>
      <c r="Y12" s="3343"/>
      <c r="Z12" s="1129">
        <f t="shared" si="7"/>
        <v>0</v>
      </c>
      <c r="AA12" s="1552">
        <f>D12/F12</f>
        <v>1</v>
      </c>
      <c r="AB12" s="1552">
        <f>D12/H12</f>
        <v>1</v>
      </c>
      <c r="AC12" s="1552">
        <f>D12/J12</f>
        <v>1</v>
      </c>
    </row>
    <row r="13" spans="1:29" ht="15">
      <c r="A13" s="2934"/>
      <c r="B13" s="2940"/>
      <c r="C13" s="519"/>
      <c r="D13" s="520">
        <v>100</v>
      </c>
      <c r="E13" s="508"/>
      <c r="F13" s="232">
        <f>SUMIF(73:73,E13,74:74)-SUMIF(73:73,C13,74:74)+100</f>
        <v>100</v>
      </c>
      <c r="G13" s="889"/>
      <c r="H13" s="520">
        <f>SUMIF(73:73,G13,74:74)-SUMIF(73:73,C13,74:74)+100</f>
        <v>100</v>
      </c>
      <c r="I13" s="508"/>
      <c r="J13" s="520">
        <f>SUMIF(73:73,I13,74:74)-SUMIF(73:73,C13,74:74)+100</f>
        <v>100</v>
      </c>
      <c r="K13" s="561"/>
      <c r="L13" s="2122"/>
      <c r="M13" s="2114"/>
      <c r="N13" s="2114"/>
      <c r="O13" s="2114"/>
      <c r="P13" s="3396"/>
      <c r="Q13" s="1130">
        <f t="shared" si="6"/>
        <v>0</v>
      </c>
      <c r="R13" s="1549" t="s">
        <v>8</v>
      </c>
      <c r="S13" s="1550">
        <f t="shared" si="0"/>
        <v>100</v>
      </c>
      <c r="T13" s="1549" t="s">
        <v>8</v>
      </c>
      <c r="U13" s="1550">
        <f t="shared" si="1"/>
        <v>100</v>
      </c>
      <c r="V13" s="1549" t="s">
        <v>8</v>
      </c>
      <c r="W13" s="1550">
        <f t="shared" si="2"/>
        <v>100</v>
      </c>
      <c r="X13" s="1551"/>
      <c r="Y13" s="3343"/>
      <c r="Z13" s="1129">
        <f t="shared" si="7"/>
        <v>0</v>
      </c>
      <c r="AA13" s="1552">
        <f t="shared" si="3"/>
        <v>1</v>
      </c>
      <c r="AB13" s="1552">
        <f t="shared" si="4"/>
        <v>1</v>
      </c>
      <c r="AC13" s="1552">
        <f t="shared" si="5"/>
        <v>1</v>
      </c>
    </row>
    <row r="14" spans="1:29" ht="15.75" thickBot="1">
      <c r="A14" s="2935"/>
      <c r="B14" s="2941"/>
      <c r="C14" s="525"/>
      <c r="D14" s="526">
        <v>100</v>
      </c>
      <c r="E14" s="890"/>
      <c r="F14" s="526">
        <f>SUMIF(75:75,E14,76:76)-SUMIF(75:75,C14,76:76)+100</f>
        <v>100</v>
      </c>
      <c r="G14" s="889"/>
      <c r="H14" s="526">
        <f>SUMIF(75:75,G14,76:76)-SUMIF(75:75,C14,76:76)+100</f>
        <v>100</v>
      </c>
      <c r="I14" s="508"/>
      <c r="J14" s="526">
        <f>SUMIF(75:75,I14,76:76)-SUMIF(75:75,C14,76:76)+100</f>
        <v>100</v>
      </c>
      <c r="K14" s="561"/>
      <c r="L14" s="2122"/>
      <c r="M14" s="2114"/>
      <c r="N14" s="2114"/>
      <c r="O14" s="2114"/>
      <c r="P14" s="3396"/>
      <c r="Q14" s="1130">
        <f t="shared" si="6"/>
        <v>0</v>
      </c>
      <c r="R14" s="1549" t="s">
        <v>8</v>
      </c>
      <c r="S14" s="1550">
        <f t="shared" si="0"/>
        <v>100</v>
      </c>
      <c r="T14" s="1549" t="s">
        <v>8</v>
      </c>
      <c r="U14" s="1550">
        <f t="shared" si="1"/>
        <v>100</v>
      </c>
      <c r="V14" s="1549" t="s">
        <v>8</v>
      </c>
      <c r="W14" s="1550">
        <f t="shared" si="2"/>
        <v>100</v>
      </c>
      <c r="X14" s="1551"/>
      <c r="Y14" s="3343"/>
      <c r="Z14" s="1129">
        <f t="shared" si="7"/>
        <v>0</v>
      </c>
      <c r="AA14" s="1552">
        <f t="shared" si="3"/>
        <v>1</v>
      </c>
      <c r="AB14" s="1552">
        <f t="shared" si="4"/>
        <v>1</v>
      </c>
      <c r="AC14" s="1552">
        <f t="shared" si="5"/>
        <v>1</v>
      </c>
    </row>
    <row r="15" spans="1:29" ht="108">
      <c r="A15" s="2927" t="s">
        <v>3037</v>
      </c>
      <c r="B15" s="527" t="s">
        <v>533</v>
      </c>
      <c r="C15" s="528" t="str">
        <f>估价对象房地状况!C5</f>
        <v>估价对象周边办公用地比例合宜，周边有企业墅等办公楼、办公规模一般，综合评价办公集聚程度一般</v>
      </c>
      <c r="D15" s="529">
        <v>100</v>
      </c>
      <c r="E15" s="3203" t="s">
        <v>3247</v>
      </c>
      <c r="F15" s="529">
        <f>SUMIF(77:77,E16,78:78)-SUMIF(77:77,C16,78:78)+100</f>
        <v>100</v>
      </c>
      <c r="G15" s="3201" t="s">
        <v>3247</v>
      </c>
      <c r="H15" s="529">
        <f>SUMIF(77:77,G16,78:78)-SUMIF(77:77,C16,78:78)+100</f>
        <v>100</v>
      </c>
      <c r="I15" s="3150" t="s">
        <v>3409</v>
      </c>
      <c r="J15" s="529">
        <f>SUMIF(77:77,I16,78:78)-SUMIF(77:77,C16,78:78)+100</f>
        <v>105</v>
      </c>
      <c r="K15" s="878">
        <v>5</v>
      </c>
      <c r="L15" s="2122"/>
      <c r="M15" s="2114"/>
      <c r="N15" s="2114"/>
      <c r="O15" s="2114"/>
      <c r="P15" s="3434" t="s">
        <v>529</v>
      </c>
      <c r="Q15" s="1553" t="str">
        <f t="shared" si="6"/>
        <v>办公集聚程度</v>
      </c>
      <c r="R15" s="1554" t="s">
        <v>8</v>
      </c>
      <c r="S15" s="1555">
        <f t="shared" si="0"/>
        <v>100</v>
      </c>
      <c r="T15" s="1554" t="s">
        <v>8</v>
      </c>
      <c r="U15" s="1555">
        <f t="shared" si="1"/>
        <v>100</v>
      </c>
      <c r="V15" s="1554" t="s">
        <v>8</v>
      </c>
      <c r="W15" s="1555">
        <f t="shared" si="2"/>
        <v>105</v>
      </c>
      <c r="X15" s="1548"/>
      <c r="Y15" s="3434" t="s">
        <v>529</v>
      </c>
      <c r="Z15" s="1556" t="str">
        <f t="shared" si="7"/>
        <v>办公集聚程度</v>
      </c>
      <c r="AA15" s="1557">
        <f t="shared" si="3"/>
        <v>1</v>
      </c>
      <c r="AB15" s="1557">
        <f t="shared" si="4"/>
        <v>1</v>
      </c>
      <c r="AC15" s="1557">
        <f t="shared" si="5"/>
        <v>0.95238095238095233</v>
      </c>
    </row>
    <row r="16" spans="1:29" ht="15">
      <c r="A16" s="512"/>
      <c r="B16" s="533"/>
      <c r="C16" s="534" t="s">
        <v>530</v>
      </c>
      <c r="D16" s="535"/>
      <c r="E16" s="556" t="s">
        <v>1073</v>
      </c>
      <c r="F16" s="535"/>
      <c r="G16" s="534" t="s">
        <v>1073</v>
      </c>
      <c r="H16" s="539"/>
      <c r="I16" s="556" t="s">
        <v>1072</v>
      </c>
      <c r="J16" s="535"/>
      <c r="K16" s="879"/>
      <c r="L16" s="2122"/>
      <c r="M16" s="2114"/>
      <c r="N16" s="2114"/>
      <c r="O16" s="2114"/>
      <c r="P16" s="3435"/>
      <c r="Q16" s="1553"/>
      <c r="R16" s="1554"/>
      <c r="S16" s="1555"/>
      <c r="T16" s="1554"/>
      <c r="U16" s="1555"/>
      <c r="V16" s="1554"/>
      <c r="W16" s="1555"/>
      <c r="X16" s="1548"/>
      <c r="Y16" s="3435"/>
      <c r="Z16" s="1556"/>
      <c r="AA16" s="1557">
        <v>1</v>
      </c>
      <c r="AB16" s="1557">
        <v>1</v>
      </c>
      <c r="AC16" s="1557">
        <v>1</v>
      </c>
    </row>
    <row r="17" spans="1:29" ht="128.25">
      <c r="A17" s="512"/>
      <c r="B17" s="540" t="s">
        <v>279</v>
      </c>
      <c r="C17" s="553" t="str">
        <f>估价对象房地状况!C6</f>
        <v>估价对象周边有326、643等公交线路、紧邻昌平线，公共交通通达情况；项目自身有停车位、停车便捷程度较好，综合评价交通便捷度较好</v>
      </c>
      <c r="D17" s="539">
        <v>100</v>
      </c>
      <c r="E17" s="3146" t="s">
        <v>3320</v>
      </c>
      <c r="F17" s="539">
        <f>SUMIF(79:79,E18,80:80)-SUMIF(79:79,C18,80:80)+100</f>
        <v>100</v>
      </c>
      <c r="G17" s="3151" t="s">
        <v>3320</v>
      </c>
      <c r="H17" s="545">
        <f>SUMIF(79:79,G18,80:80)-SUMIF(79:79,C18,80:80)+100</f>
        <v>100</v>
      </c>
      <c r="I17" s="3151" t="s">
        <v>3410</v>
      </c>
      <c r="J17" s="545">
        <f>SUMIF(79:79,I18,80:80)-SUMIF(79:79,C18,80:80)+100</f>
        <v>98</v>
      </c>
      <c r="K17" s="878">
        <v>2</v>
      </c>
      <c r="L17" s="2122"/>
      <c r="M17" s="2114"/>
      <c r="N17" s="2114"/>
      <c r="O17" s="2114"/>
      <c r="P17" s="3435"/>
      <c r="Q17" s="1553" t="str">
        <f>B17</f>
        <v>交通便捷度</v>
      </c>
      <c r="R17" s="1554" t="s">
        <v>8</v>
      </c>
      <c r="S17" s="1555">
        <f>F17</f>
        <v>100</v>
      </c>
      <c r="T17" s="1554" t="s">
        <v>8</v>
      </c>
      <c r="U17" s="1555">
        <f>H17</f>
        <v>100</v>
      </c>
      <c r="V17" s="1554" t="s">
        <v>8</v>
      </c>
      <c r="W17" s="1555">
        <f>J17</f>
        <v>98</v>
      </c>
      <c r="X17" s="1548"/>
      <c r="Y17" s="3435"/>
      <c r="Z17" s="1556" t="str">
        <f>Q17</f>
        <v>交通便捷度</v>
      </c>
      <c r="AA17" s="1557">
        <f t="shared" si="3"/>
        <v>1</v>
      </c>
      <c r="AB17" s="1557">
        <f t="shared" si="4"/>
        <v>1</v>
      </c>
      <c r="AC17" s="1557">
        <f t="shared" si="5"/>
        <v>1.0204081632653061</v>
      </c>
    </row>
    <row r="18" spans="1:29" ht="15">
      <c r="A18" s="512"/>
      <c r="B18" s="546"/>
      <c r="C18" s="547" t="s">
        <v>1072</v>
      </c>
      <c r="D18" s="539"/>
      <c r="E18" s="853" t="s">
        <v>1072</v>
      </c>
      <c r="F18" s="539"/>
      <c r="G18" s="547" t="s">
        <v>531</v>
      </c>
      <c r="H18" s="535"/>
      <c r="I18" s="547" t="s">
        <v>1073</v>
      </c>
      <c r="J18" s="535"/>
      <c r="K18" s="879"/>
      <c r="L18" s="2122"/>
      <c r="M18" s="2114"/>
      <c r="N18" s="2114"/>
      <c r="O18" s="2114"/>
      <c r="P18" s="3435"/>
      <c r="Q18" s="1553"/>
      <c r="R18" s="1554"/>
      <c r="S18" s="1555"/>
      <c r="T18" s="1554"/>
      <c r="U18" s="1555"/>
      <c r="V18" s="1554"/>
      <c r="W18" s="1555"/>
      <c r="X18" s="1548"/>
      <c r="Y18" s="3435"/>
      <c r="Z18" s="1556"/>
      <c r="AA18" s="1557">
        <v>1</v>
      </c>
      <c r="AB18" s="1557">
        <v>1</v>
      </c>
      <c r="AC18" s="1557">
        <v>1</v>
      </c>
    </row>
    <row r="19" spans="1:29" ht="42.75">
      <c r="A19" s="512"/>
      <c r="B19" s="2616" t="s">
        <v>2813</v>
      </c>
      <c r="C19" s="553" t="str">
        <f>估价对象房地状况!C7</f>
        <v>估价对象所在区域公共配套设施较齐备；</v>
      </c>
      <c r="D19" s="545">
        <v>100</v>
      </c>
      <c r="E19" s="3210" t="s">
        <v>3263</v>
      </c>
      <c r="F19" s="545">
        <f>SUMIF(81:81,E20,82:82)-SUMIF(81:81,C20,82:82)+100</f>
        <v>100</v>
      </c>
      <c r="G19" s="571" t="s">
        <v>3263</v>
      </c>
      <c r="H19" s="539">
        <f>SUMIF(81:81,G20,82:82)-SUMIF(81:81,C20,82:82)+100</f>
        <v>100</v>
      </c>
      <c r="I19" s="571" t="s">
        <v>3263</v>
      </c>
      <c r="J19" s="539">
        <f>SUMIF(81:81,I20,82:82)-SUMIF(81:81,C20,82:82)+100</f>
        <v>100</v>
      </c>
      <c r="K19" s="878">
        <v>2</v>
      </c>
      <c r="L19" s="2122"/>
      <c r="M19" s="2114"/>
      <c r="N19" s="2114"/>
      <c r="O19" s="2114"/>
      <c r="P19" s="3435"/>
      <c r="Q19" s="1553" t="str">
        <f>B19</f>
        <v>公共配套设施</v>
      </c>
      <c r="R19" s="1554" t="s">
        <v>8</v>
      </c>
      <c r="S19" s="1555">
        <f>F19</f>
        <v>100</v>
      </c>
      <c r="T19" s="1554" t="s">
        <v>8</v>
      </c>
      <c r="U19" s="1555">
        <f>H19</f>
        <v>100</v>
      </c>
      <c r="V19" s="1554" t="s">
        <v>8</v>
      </c>
      <c r="W19" s="1555">
        <f>J19</f>
        <v>100</v>
      </c>
      <c r="X19" s="1548"/>
      <c r="Y19" s="3435"/>
      <c r="Z19" s="1556" t="str">
        <f>Q19</f>
        <v>公共配套设施</v>
      </c>
      <c r="AA19" s="1557">
        <f t="shared" si="3"/>
        <v>1</v>
      </c>
      <c r="AB19" s="1557">
        <f t="shared" si="4"/>
        <v>1</v>
      </c>
      <c r="AC19" s="1557">
        <f t="shared" si="5"/>
        <v>1</v>
      </c>
    </row>
    <row r="20" spans="1:29" ht="15">
      <c r="A20" s="512"/>
      <c r="B20" s="546"/>
      <c r="C20" s="534" t="s">
        <v>531</v>
      </c>
      <c r="D20" s="535"/>
      <c r="E20" s="556" t="s">
        <v>1072</v>
      </c>
      <c r="F20" s="535"/>
      <c r="G20" s="534" t="s">
        <v>1072</v>
      </c>
      <c r="H20" s="535"/>
      <c r="I20" s="534" t="s">
        <v>1072</v>
      </c>
      <c r="J20" s="535"/>
      <c r="K20" s="879"/>
      <c r="L20" s="2122"/>
      <c r="M20" s="2114"/>
      <c r="N20" s="2114"/>
      <c r="O20" s="2114"/>
      <c r="P20" s="3435"/>
      <c r="Q20" s="1553"/>
      <c r="R20" s="1554"/>
      <c r="S20" s="1555"/>
      <c r="T20" s="1554"/>
      <c r="U20" s="1555"/>
      <c r="V20" s="1554"/>
      <c r="W20" s="1555"/>
      <c r="X20" s="1548"/>
      <c r="Y20" s="3435"/>
      <c r="Z20" s="1556"/>
      <c r="AA20" s="1557">
        <v>1</v>
      </c>
      <c r="AB20" s="1557">
        <v>1</v>
      </c>
      <c r="AC20" s="1557">
        <v>1</v>
      </c>
    </row>
    <row r="21" spans="1:29" ht="28.5">
      <c r="A21" s="512"/>
      <c r="B21" s="2604" t="s">
        <v>2827</v>
      </c>
      <c r="C21" s="553" t="str">
        <f>估价对象房地状况!C8</f>
        <v>基础设施水平七通一平</v>
      </c>
      <c r="D21" s="545">
        <v>100</v>
      </c>
      <c r="E21" s="3210" t="s">
        <v>3264</v>
      </c>
      <c r="F21" s="545">
        <f>SUMIF(83:83,E22,84:84)-SUMIF(83:83,C22,84:84)+100</f>
        <v>100</v>
      </c>
      <c r="G21" s="571" t="s">
        <v>3264</v>
      </c>
      <c r="H21" s="545">
        <f>SUMIF(83:83,G22,84:84)-SUMIF(83:83,C22,84:84)+100</f>
        <v>100</v>
      </c>
      <c r="I21" s="571" t="s">
        <v>3264</v>
      </c>
      <c r="J21" s="545">
        <f>SUMIF(83:83,I22,84:84)-SUMIF(83:83,C22,84:84)+100</f>
        <v>100</v>
      </c>
      <c r="K21" s="878">
        <v>1</v>
      </c>
      <c r="L21" s="2122"/>
      <c r="M21" s="2114"/>
      <c r="N21" s="2114"/>
      <c r="O21" s="2114"/>
      <c r="P21" s="3435"/>
      <c r="Q21" s="2591" t="str">
        <f>B21</f>
        <v>基础设施水平</v>
      </c>
      <c r="R21" s="1554" t="s">
        <v>8</v>
      </c>
      <c r="S21" s="1555">
        <f>F21</f>
        <v>100</v>
      </c>
      <c r="T21" s="1554" t="s">
        <v>8</v>
      </c>
      <c r="U21" s="1555">
        <f>H21</f>
        <v>100</v>
      </c>
      <c r="V21" s="1554" t="s">
        <v>8</v>
      </c>
      <c r="W21" s="1555">
        <f>J21</f>
        <v>100</v>
      </c>
      <c r="X21" s="2593"/>
      <c r="Y21" s="3435"/>
      <c r="Z21" s="2592" t="str">
        <f>Q21</f>
        <v>基础设施水平</v>
      </c>
      <c r="AA21" s="1557">
        <f t="shared" ref="AA21" si="8">D21/F21</f>
        <v>1</v>
      </c>
      <c r="AB21" s="1557">
        <f t="shared" ref="AB21" si="9">D21/H21</f>
        <v>1</v>
      </c>
      <c r="AC21" s="1557">
        <f t="shared" ref="AC21" si="10">D21/J21</f>
        <v>1</v>
      </c>
    </row>
    <row r="22" spans="1:29" ht="15">
      <c r="A22" s="512"/>
      <c r="B22" s="558"/>
      <c r="C22" s="547" t="s">
        <v>2805</v>
      </c>
      <c r="D22" s="535"/>
      <c r="E22" s="556" t="s">
        <v>2805</v>
      </c>
      <c r="F22" s="535"/>
      <c r="G22" s="534" t="s">
        <v>2805</v>
      </c>
      <c r="H22" s="535"/>
      <c r="I22" s="534" t="s">
        <v>2805</v>
      </c>
      <c r="J22" s="535"/>
      <c r="K22" s="2615"/>
      <c r="L22" s="2122"/>
      <c r="M22" s="2114"/>
      <c r="N22" s="2114"/>
      <c r="O22" s="2114"/>
      <c r="P22" s="3435"/>
      <c r="Q22" s="2591"/>
      <c r="R22" s="1554"/>
      <c r="S22" s="1555"/>
      <c r="T22" s="1554"/>
      <c r="U22" s="1555"/>
      <c r="V22" s="1554"/>
      <c r="W22" s="1555"/>
      <c r="X22" s="2593"/>
      <c r="Y22" s="3435"/>
      <c r="Z22" s="2592"/>
      <c r="AA22" s="1557">
        <v>1</v>
      </c>
      <c r="AB22" s="1557">
        <v>1</v>
      </c>
      <c r="AC22" s="1557">
        <v>1</v>
      </c>
    </row>
    <row r="23" spans="1:29" ht="94.5">
      <c r="A23" s="512"/>
      <c r="B23" s="540" t="s">
        <v>906</v>
      </c>
      <c r="C23" s="553" t="str">
        <f>估价对象房地状况!C9</f>
        <v>区域自然环境：白浮泉公园等；人文环境：无；综合评价环境状况一般</v>
      </c>
      <c r="D23" s="539">
        <v>100</v>
      </c>
      <c r="E23" s="3146" t="s">
        <v>3251</v>
      </c>
      <c r="F23" s="539">
        <f>SUMIF(85:85,E24,86:86)-SUMIF(85:85,C24,86:86)+100</f>
        <v>100</v>
      </c>
      <c r="G23" s="3151" t="s">
        <v>3251</v>
      </c>
      <c r="H23" s="539">
        <f>SUMIF(85:85,G24,86:86)-SUMIF(85:85,C24,86:86)+100</f>
        <v>100</v>
      </c>
      <c r="I23" s="3153" t="s">
        <v>3411</v>
      </c>
      <c r="J23" s="539">
        <f>SUMIF(85:85,I24,86:86)-SUMIF(85:85,C24,86:86)+100</f>
        <v>102</v>
      </c>
      <c r="K23" s="878">
        <v>2</v>
      </c>
      <c r="L23" s="2122"/>
      <c r="M23" s="2114"/>
      <c r="N23" s="2114"/>
      <c r="O23" s="2114"/>
      <c r="P23" s="3435"/>
      <c r="Q23" s="1553" t="str">
        <f>B23</f>
        <v>环境质量</v>
      </c>
      <c r="R23" s="1554" t="s">
        <v>8</v>
      </c>
      <c r="S23" s="1555">
        <f>F23</f>
        <v>100</v>
      </c>
      <c r="T23" s="1554" t="s">
        <v>8</v>
      </c>
      <c r="U23" s="1555">
        <f>H23</f>
        <v>100</v>
      </c>
      <c r="V23" s="1554" t="s">
        <v>8</v>
      </c>
      <c r="W23" s="1555">
        <f>J23</f>
        <v>102</v>
      </c>
      <c r="X23" s="1548"/>
      <c r="Y23" s="3435"/>
      <c r="Z23" s="1556" t="str">
        <f>Q23</f>
        <v>环境质量</v>
      </c>
      <c r="AA23" s="1557">
        <f t="shared" si="3"/>
        <v>1</v>
      </c>
      <c r="AB23" s="1557">
        <f t="shared" si="4"/>
        <v>1</v>
      </c>
      <c r="AC23" s="1557">
        <f t="shared" si="5"/>
        <v>0.98039215686274506</v>
      </c>
    </row>
    <row r="24" spans="1:29" ht="15">
      <c r="A24" s="512"/>
      <c r="B24" s="558"/>
      <c r="C24" s="534" t="s">
        <v>530</v>
      </c>
      <c r="D24" s="535"/>
      <c r="E24" s="556" t="s">
        <v>1073</v>
      </c>
      <c r="F24" s="535"/>
      <c r="G24" s="534" t="s">
        <v>1073</v>
      </c>
      <c r="H24" s="535"/>
      <c r="I24" s="534" t="s">
        <v>531</v>
      </c>
      <c r="J24" s="535"/>
      <c r="K24" s="879"/>
      <c r="L24" s="2122"/>
      <c r="M24" s="2114"/>
      <c r="N24" s="2114"/>
      <c r="O24" s="2114"/>
      <c r="P24" s="3435"/>
      <c r="Q24" s="1553"/>
      <c r="R24" s="1554"/>
      <c r="S24" s="1555"/>
      <c r="T24" s="1554"/>
      <c r="U24" s="1555"/>
      <c r="V24" s="1554"/>
      <c r="W24" s="1555"/>
      <c r="X24" s="1548"/>
      <c r="Y24" s="3435"/>
      <c r="Z24" s="1556"/>
      <c r="AA24" s="1557">
        <v>1</v>
      </c>
      <c r="AB24" s="1557">
        <v>1</v>
      </c>
      <c r="AC24" s="1557">
        <v>1</v>
      </c>
    </row>
    <row r="25" spans="1:29" ht="28.5">
      <c r="A25" s="495"/>
      <c r="B25" s="540" t="s">
        <v>540</v>
      </c>
      <c r="C25" s="891" t="str">
        <f>'[1]比较法-住宅、综合'!C34</f>
        <v>城市支路——南中路</v>
      </c>
      <c r="D25" s="520">
        <v>100</v>
      </c>
      <c r="E25" s="891" t="s">
        <v>3406</v>
      </c>
      <c r="F25" s="520">
        <f>SUMIF(87:87,E26,88:88)-SUMIF(87:87,C26,88:88)+100</f>
        <v>100</v>
      </c>
      <c r="G25" s="891" t="s">
        <v>3408</v>
      </c>
      <c r="H25" s="520">
        <f>SUMIF(87:87,G26,88:88)-SUMIF(87:87,C26,88:88)+100</f>
        <v>100</v>
      </c>
      <c r="I25" s="891" t="s">
        <v>3412</v>
      </c>
      <c r="J25" s="520">
        <f>SUMIF(87:87,I26,88:88)-SUMIF(87:87,C26,88:88)+100</f>
        <v>100</v>
      </c>
      <c r="K25" s="878">
        <v>1.5</v>
      </c>
      <c r="L25" s="2122"/>
      <c r="M25" s="2114"/>
      <c r="N25" s="2114"/>
      <c r="O25" s="2114"/>
      <c r="P25" s="3435"/>
      <c r="Q25" s="1553" t="str">
        <f>B25</f>
        <v>毗邻道路的类型与等级</v>
      </c>
      <c r="R25" s="1554" t="s">
        <v>8</v>
      </c>
      <c r="S25" s="1555">
        <f>F25</f>
        <v>100</v>
      </c>
      <c r="T25" s="1554" t="s">
        <v>8</v>
      </c>
      <c r="U25" s="1555">
        <f>H25</f>
        <v>100</v>
      </c>
      <c r="V25" s="1554" t="s">
        <v>8</v>
      </c>
      <c r="W25" s="1555">
        <f>J25</f>
        <v>100</v>
      </c>
      <c r="X25" s="1548"/>
      <c r="Y25" s="3435"/>
      <c r="Z25" s="1556" t="str">
        <f>Q25</f>
        <v>毗邻道路的类型与等级</v>
      </c>
      <c r="AA25" s="1557">
        <f t="shared" si="3"/>
        <v>1</v>
      </c>
      <c r="AB25" s="1557">
        <f t="shared" si="4"/>
        <v>1</v>
      </c>
      <c r="AC25" s="1557">
        <f t="shared" si="5"/>
        <v>1</v>
      </c>
    </row>
    <row r="26" spans="1:29" ht="15">
      <c r="A26" s="495"/>
      <c r="B26" s="546"/>
      <c r="C26" s="560" t="s">
        <v>1890</v>
      </c>
      <c r="D26" s="520"/>
      <c r="E26" s="563" t="s">
        <v>1890</v>
      </c>
      <c r="F26" s="520"/>
      <c r="G26" s="560" t="s">
        <v>1890</v>
      </c>
      <c r="H26" s="520"/>
      <c r="I26" s="563" t="s">
        <v>541</v>
      </c>
      <c r="J26" s="520"/>
      <c r="K26" s="879"/>
      <c r="L26" s="2122"/>
      <c r="M26" s="2114"/>
      <c r="N26" s="2114"/>
      <c r="O26" s="2114"/>
      <c r="P26" s="3435"/>
      <c r="Q26" s="1553"/>
      <c r="R26" s="1554"/>
      <c r="S26" s="1555"/>
      <c r="T26" s="1554"/>
      <c r="U26" s="1555"/>
      <c r="V26" s="1554"/>
      <c r="W26" s="1555"/>
      <c r="X26" s="1548"/>
      <c r="Y26" s="3435"/>
      <c r="Z26" s="1556"/>
      <c r="AA26" s="1557">
        <v>1</v>
      </c>
      <c r="AB26" s="1557">
        <v>1</v>
      </c>
      <c r="AC26" s="1557">
        <v>1</v>
      </c>
    </row>
    <row r="27" spans="1:29" ht="15">
      <c r="A27" s="512"/>
      <c r="B27" s="546" t="s">
        <v>852</v>
      </c>
      <c r="C27" s="560"/>
      <c r="D27" s="520">
        <v>100</v>
      </c>
      <c r="E27" s="563"/>
      <c r="F27" s="520">
        <f>SUMIF(89:89,E27,90:90)-SUMIF(89:89,C27,90:90)+100</f>
        <v>100</v>
      </c>
      <c r="G27" s="560"/>
      <c r="H27" s="520">
        <f>SUMIF(89:89,G27,90:90)-SUMIF(89:89,C27,90:90)+100</f>
        <v>100</v>
      </c>
      <c r="I27" s="563"/>
      <c r="J27" s="520">
        <f>SUMIF(89:89,I27,90:90)-SUMIF(89:89,C27,90:90)+100</f>
        <v>100</v>
      </c>
      <c r="K27" s="564"/>
      <c r="L27" s="2122"/>
      <c r="M27" s="2114"/>
      <c r="N27" s="2114"/>
      <c r="O27" s="2114"/>
      <c r="P27" s="3435"/>
      <c r="Q27" s="1553" t="str">
        <f t="shared" ref="Q27:Q47" si="11">B27</f>
        <v>楼层</v>
      </c>
      <c r="R27" s="1554" t="s">
        <v>8</v>
      </c>
      <c r="S27" s="1555">
        <f>F27</f>
        <v>100</v>
      </c>
      <c r="T27" s="1554" t="s">
        <v>8</v>
      </c>
      <c r="U27" s="1555">
        <f>H27</f>
        <v>100</v>
      </c>
      <c r="V27" s="1554" t="s">
        <v>8</v>
      </c>
      <c r="W27" s="1555">
        <f>J27</f>
        <v>100</v>
      </c>
      <c r="X27" s="1548"/>
      <c r="Y27" s="3435"/>
      <c r="Z27" s="1556" t="str">
        <f>Q27</f>
        <v>楼层</v>
      </c>
      <c r="AA27" s="1557">
        <f t="shared" si="3"/>
        <v>1</v>
      </c>
      <c r="AB27" s="1557">
        <f t="shared" si="4"/>
        <v>1</v>
      </c>
      <c r="AC27" s="1557">
        <f t="shared" si="5"/>
        <v>1</v>
      </c>
    </row>
    <row r="28" spans="1:29" s="1199" customFormat="1" ht="15">
      <c r="A28" s="516"/>
      <c r="B28" s="540" t="s">
        <v>907</v>
      </c>
      <c r="C28" s="892"/>
      <c r="D28" s="855">
        <v>100</v>
      </c>
      <c r="E28" s="881"/>
      <c r="F28" s="855">
        <f>SUMIF(91:91,E28,92:92)-SUMIF(91:91,C28,92:92)+100</f>
        <v>100</v>
      </c>
      <c r="G28" s="892"/>
      <c r="H28" s="855">
        <f>SUMIF(91:91,G28,92:92)-SUMIF(91:91,C28,92:92)+100</f>
        <v>100</v>
      </c>
      <c r="I28" s="881"/>
      <c r="J28" s="855">
        <f>SUMIF(91:91,I28,92:92)-SUMIF(91:91,C28,92:92)+100</f>
        <v>100</v>
      </c>
      <c r="K28" s="564"/>
      <c r="L28" s="2115"/>
      <c r="M28" s="2116"/>
      <c r="N28" s="2116"/>
      <c r="O28" s="2116"/>
      <c r="P28" s="3435"/>
      <c r="Q28" s="1130" t="str">
        <f t="shared" si="11"/>
        <v>朝向</v>
      </c>
      <c r="R28" s="1549" t="s">
        <v>8</v>
      </c>
      <c r="S28" s="1550">
        <f>F28</f>
        <v>100</v>
      </c>
      <c r="T28" s="1549" t="s">
        <v>8</v>
      </c>
      <c r="U28" s="1550">
        <f>H28</f>
        <v>100</v>
      </c>
      <c r="V28" s="1549" t="s">
        <v>8</v>
      </c>
      <c r="W28" s="1550">
        <f>J28</f>
        <v>100</v>
      </c>
      <c r="X28" s="1551"/>
      <c r="Y28" s="3435"/>
      <c r="Z28" s="1129" t="str">
        <f>Q28</f>
        <v>朝向</v>
      </c>
      <c r="AA28" s="1557">
        <f>D28/F28</f>
        <v>1</v>
      </c>
      <c r="AB28" s="1557">
        <f>D28/H28</f>
        <v>1</v>
      </c>
      <c r="AC28" s="1557">
        <f>D28/J28</f>
        <v>1</v>
      </c>
    </row>
    <row r="29" spans="1:29" ht="15">
      <c r="A29" s="512"/>
      <c r="B29" s="565"/>
      <c r="C29" s="891">
        <v>20</v>
      </c>
      <c r="D29" s="520">
        <v>100</v>
      </c>
      <c r="E29" s="508">
        <v>18</v>
      </c>
      <c r="F29" s="520">
        <f>SUMIF(93:93,E29,94:94)-SUMIF(93:93,C29,94:94)+100</f>
        <v>100</v>
      </c>
      <c r="G29" s="889">
        <v>17</v>
      </c>
      <c r="H29" s="520">
        <f>SUMIF(93:93,G29,94:94)-SUMIF(93:93,C29,94:94)+100</f>
        <v>100</v>
      </c>
      <c r="I29" s="508">
        <v>24</v>
      </c>
      <c r="J29" s="520">
        <f>SUMIF(93:93,I29,94:94)-SUMIF(93:93,C29,94:94)+100</f>
        <v>100</v>
      </c>
      <c r="K29" s="561"/>
      <c r="L29" s="2122"/>
      <c r="M29" s="2114"/>
      <c r="N29" s="2114"/>
      <c r="O29" s="2114"/>
      <c r="P29" s="3435"/>
      <c r="Q29" s="1553">
        <f t="shared" si="11"/>
        <v>0</v>
      </c>
      <c r="R29" s="1554" t="s">
        <v>8</v>
      </c>
      <c r="S29" s="1555">
        <f t="shared" ref="S29:S47" si="12">F29</f>
        <v>100</v>
      </c>
      <c r="T29" s="1554" t="s">
        <v>8</v>
      </c>
      <c r="U29" s="1555">
        <f t="shared" ref="U29:U47" si="13">H29</f>
        <v>100</v>
      </c>
      <c r="V29" s="1554" t="s">
        <v>8</v>
      </c>
      <c r="W29" s="1555">
        <f t="shared" ref="W29:W47" si="14">J29</f>
        <v>100</v>
      </c>
      <c r="X29" s="1548"/>
      <c r="Y29" s="3435"/>
      <c r="Z29" s="1556">
        <f t="shared" ref="Z29:Z47" si="15">Q29</f>
        <v>0</v>
      </c>
      <c r="AA29" s="1557">
        <f t="shared" si="3"/>
        <v>1</v>
      </c>
      <c r="AB29" s="1557">
        <f t="shared" si="4"/>
        <v>1</v>
      </c>
      <c r="AC29" s="1557">
        <f t="shared" si="5"/>
        <v>1</v>
      </c>
    </row>
    <row r="30" spans="1:29" ht="15">
      <c r="A30" s="512"/>
      <c r="B30" s="565"/>
      <c r="C30" s="891"/>
      <c r="D30" s="520">
        <v>100</v>
      </c>
      <c r="E30" s="508"/>
      <c r="F30" s="520">
        <f>SUMIF(95:95,E30,96:96)-SUMIF(95:95,C30,96:96)+100</f>
        <v>100</v>
      </c>
      <c r="G30" s="889"/>
      <c r="H30" s="520">
        <f>SUMIF(95:95,G30,96:96)-SUMIF(95:95,C30,96:96)+100</f>
        <v>100</v>
      </c>
      <c r="I30" s="508"/>
      <c r="J30" s="520">
        <f>SUMIF(95:95,I30,96:96)-SUMIF(95:95,C30,96:96)+100</f>
        <v>100</v>
      </c>
      <c r="K30" s="561"/>
      <c r="L30" s="2122"/>
      <c r="M30" s="2114"/>
      <c r="N30" s="2114"/>
      <c r="O30" s="2114"/>
      <c r="P30" s="3435"/>
      <c r="Q30" s="1553">
        <f t="shared" si="11"/>
        <v>0</v>
      </c>
      <c r="R30" s="1554" t="s">
        <v>8</v>
      </c>
      <c r="S30" s="1555">
        <f t="shared" si="12"/>
        <v>100</v>
      </c>
      <c r="T30" s="1554" t="s">
        <v>8</v>
      </c>
      <c r="U30" s="1555">
        <f t="shared" si="13"/>
        <v>100</v>
      </c>
      <c r="V30" s="1554" t="s">
        <v>8</v>
      </c>
      <c r="W30" s="1555">
        <f t="shared" si="14"/>
        <v>100</v>
      </c>
      <c r="X30" s="1548"/>
      <c r="Y30" s="3435"/>
      <c r="Z30" s="1556">
        <f t="shared" si="15"/>
        <v>0</v>
      </c>
      <c r="AA30" s="1557">
        <f t="shared" si="3"/>
        <v>1</v>
      </c>
      <c r="AB30" s="1557">
        <f t="shared" si="4"/>
        <v>1</v>
      </c>
      <c r="AC30" s="1557">
        <f t="shared" si="5"/>
        <v>1</v>
      </c>
    </row>
    <row r="31" spans="1:29" ht="15">
      <c r="A31" s="512"/>
      <c r="B31" s="565"/>
      <c r="C31" s="891"/>
      <c r="D31" s="520">
        <v>100</v>
      </c>
      <c r="E31" s="508"/>
      <c r="F31" s="520">
        <f>SUMIF(97:97,E31,98:98)-SUMIF(97:97,C31,98:98)+100</f>
        <v>100</v>
      </c>
      <c r="G31" s="889"/>
      <c r="H31" s="520">
        <f>SUMIF(97:97,G31,98:98)-SUMIF(97:97,C31,98:98)+100</f>
        <v>100</v>
      </c>
      <c r="I31" s="508"/>
      <c r="J31" s="520">
        <f>SUMIF(97:97,I31,98:98)-SUMIF(97:97,C31,98:98)+100</f>
        <v>100</v>
      </c>
      <c r="K31" s="561"/>
      <c r="L31" s="2122"/>
      <c r="M31" s="2114"/>
      <c r="N31" s="2114"/>
      <c r="O31" s="2114"/>
      <c r="P31" s="3435"/>
      <c r="Q31" s="1553">
        <f t="shared" si="11"/>
        <v>0</v>
      </c>
      <c r="R31" s="1554" t="s">
        <v>8</v>
      </c>
      <c r="S31" s="1555">
        <f t="shared" si="12"/>
        <v>100</v>
      </c>
      <c r="T31" s="1554" t="s">
        <v>8</v>
      </c>
      <c r="U31" s="1555">
        <f t="shared" si="13"/>
        <v>100</v>
      </c>
      <c r="V31" s="1554" t="s">
        <v>8</v>
      </c>
      <c r="W31" s="1555">
        <f t="shared" si="14"/>
        <v>100</v>
      </c>
      <c r="X31" s="1548"/>
      <c r="Y31" s="3435"/>
      <c r="Z31" s="1556">
        <f t="shared" si="15"/>
        <v>0</v>
      </c>
      <c r="AA31" s="1557">
        <f t="shared" si="3"/>
        <v>1</v>
      </c>
      <c r="AB31" s="1557">
        <f t="shared" si="4"/>
        <v>1</v>
      </c>
      <c r="AC31" s="1557">
        <f t="shared" si="5"/>
        <v>1</v>
      </c>
    </row>
    <row r="32" spans="1:29" ht="15.75" thickBot="1">
      <c r="A32" s="523"/>
      <c r="B32" s="893"/>
      <c r="C32" s="894"/>
      <c r="D32" s="526">
        <v>100</v>
      </c>
      <c r="E32" s="890"/>
      <c r="F32" s="526">
        <f>SUMIF(99:99,E32,100:100)-SUMIF(99:99,C32,100:100)+100</f>
        <v>100</v>
      </c>
      <c r="G32" s="889"/>
      <c r="H32" s="526">
        <f>SUMIF(99:99,G32,100:100)-SUMIF(99:99,C32,100:100)+100</f>
        <v>100</v>
      </c>
      <c r="I32" s="508"/>
      <c r="J32" s="526">
        <f>SUMIF(99:99,I32,100:100)-SUMIF(99:99,C32,100:100)+100</f>
        <v>100</v>
      </c>
      <c r="K32" s="561"/>
      <c r="L32" s="2122"/>
      <c r="M32" s="2114"/>
      <c r="N32" s="2114"/>
      <c r="O32" s="2114"/>
      <c r="P32" s="3435"/>
      <c r="Q32" s="1553">
        <f t="shared" si="11"/>
        <v>0</v>
      </c>
      <c r="R32" s="1554" t="s">
        <v>8</v>
      </c>
      <c r="S32" s="1555">
        <f t="shared" si="12"/>
        <v>100</v>
      </c>
      <c r="T32" s="1554" t="s">
        <v>8</v>
      </c>
      <c r="U32" s="1555">
        <f t="shared" si="13"/>
        <v>100</v>
      </c>
      <c r="V32" s="1554" t="s">
        <v>8</v>
      </c>
      <c r="W32" s="1555">
        <f t="shared" si="14"/>
        <v>100</v>
      </c>
      <c r="X32" s="1548"/>
      <c r="Y32" s="3435"/>
      <c r="Z32" s="1556">
        <f t="shared" si="15"/>
        <v>0</v>
      </c>
      <c r="AA32" s="1557">
        <f t="shared" si="3"/>
        <v>1</v>
      </c>
      <c r="AB32" s="1557">
        <f t="shared" si="4"/>
        <v>1</v>
      </c>
      <c r="AC32" s="1557">
        <f t="shared" si="5"/>
        <v>1</v>
      </c>
    </row>
    <row r="33" spans="1:29" ht="15">
      <c r="A33" s="2925" t="s">
        <v>3038</v>
      </c>
      <c r="B33" s="163" t="s">
        <v>908</v>
      </c>
      <c r="C33" s="895" t="s">
        <v>909</v>
      </c>
      <c r="D33" s="577">
        <v>100</v>
      </c>
      <c r="E33" s="895" t="s">
        <v>3285</v>
      </c>
      <c r="F33" s="555">
        <f>SUMIF(101:101,E33,102:102)-SUMIF(101:101,C33,102:102)+100</f>
        <v>100</v>
      </c>
      <c r="G33" s="895" t="s">
        <v>3285</v>
      </c>
      <c r="H33" s="520">
        <f>SUMIF(101:101,G33,102:102)-SUMIF(101:101,C33,102:102)+100</f>
        <v>100</v>
      </c>
      <c r="I33" s="895" t="s">
        <v>3285</v>
      </c>
      <c r="J33" s="577">
        <f>SUMIF(101:101,I33,102:102)-SUMIF(101:101,C33,102:102)+100</f>
        <v>100</v>
      </c>
      <c r="K33" s="564">
        <v>5</v>
      </c>
      <c r="L33" s="2122"/>
      <c r="M33" s="2114"/>
      <c r="N33" s="2114"/>
      <c r="O33" s="2114"/>
      <c r="P33" s="3436" t="s">
        <v>543</v>
      </c>
      <c r="Q33" s="1553" t="str">
        <f t="shared" si="11"/>
        <v>建筑类型</v>
      </c>
      <c r="R33" s="1554" t="s">
        <v>8</v>
      </c>
      <c r="S33" s="1555">
        <f t="shared" si="12"/>
        <v>100</v>
      </c>
      <c r="T33" s="1554" t="s">
        <v>8</v>
      </c>
      <c r="U33" s="1555">
        <f t="shared" si="13"/>
        <v>100</v>
      </c>
      <c r="V33" s="1554" t="s">
        <v>8</v>
      </c>
      <c r="W33" s="1555">
        <f t="shared" si="14"/>
        <v>100</v>
      </c>
      <c r="X33" s="1548"/>
      <c r="Y33" s="3437" t="s">
        <v>543</v>
      </c>
      <c r="Z33" s="1556" t="str">
        <f t="shared" si="15"/>
        <v>建筑类型</v>
      </c>
      <c r="AA33" s="1557">
        <f t="shared" si="3"/>
        <v>1</v>
      </c>
      <c r="AB33" s="1557">
        <f t="shared" si="4"/>
        <v>1</v>
      </c>
      <c r="AC33" s="1557">
        <f t="shared" si="5"/>
        <v>1</v>
      </c>
    </row>
    <row r="34" spans="1:29" s="1324" customFormat="1" ht="15">
      <c r="A34" s="583"/>
      <c r="B34" s="507" t="s">
        <v>772</v>
      </c>
      <c r="C34" s="3182">
        <v>550500</v>
      </c>
      <c r="D34" s="232">
        <v>100</v>
      </c>
      <c r="E34" s="514">
        <f>'[1]不动产比较法-商业'!E33</f>
        <v>169000</v>
      </c>
      <c r="F34" s="843">
        <f>LOOKUP(E34,104:104,105:105)-LOOKUP(C34,104:104,105:105)+100</f>
        <v>96</v>
      </c>
      <c r="G34" s="513">
        <v>240000</v>
      </c>
      <c r="H34" s="232">
        <f>LOOKUP(G34,104:104,105:105)-LOOKUP(C34,104:104,105:105)+100</f>
        <v>97</v>
      </c>
      <c r="I34" s="513">
        <v>40500</v>
      </c>
      <c r="J34" s="232">
        <f>LOOKUP(I34,104:104,105:105)-LOOKUP(C34,104:104,105:105)+100</f>
        <v>95</v>
      </c>
      <c r="K34" s="561"/>
      <c r="L34" s="2120"/>
      <c r="M34" s="2151"/>
      <c r="N34" s="2151"/>
      <c r="O34" s="2151"/>
      <c r="P34" s="3437"/>
      <c r="Q34" s="1586" t="str">
        <f t="shared" si="11"/>
        <v>项目建筑规模</v>
      </c>
      <c r="R34" s="1558" t="s">
        <v>8</v>
      </c>
      <c r="S34" s="1559">
        <f t="shared" si="12"/>
        <v>96</v>
      </c>
      <c r="T34" s="1558" t="s">
        <v>8</v>
      </c>
      <c r="U34" s="1559">
        <f t="shared" si="13"/>
        <v>97</v>
      </c>
      <c r="V34" s="1558" t="s">
        <v>8</v>
      </c>
      <c r="W34" s="1559">
        <f t="shared" si="14"/>
        <v>95</v>
      </c>
      <c r="X34" s="1560"/>
      <c r="Y34" s="3437"/>
      <c r="Z34" s="1561" t="str">
        <f t="shared" si="15"/>
        <v>项目建筑规模</v>
      </c>
      <c r="AA34" s="1557">
        <f t="shared" si="3"/>
        <v>1.0416666666666667</v>
      </c>
      <c r="AB34" s="1557">
        <f t="shared" si="4"/>
        <v>1.0309278350515463</v>
      </c>
      <c r="AC34" s="1557">
        <f t="shared" si="5"/>
        <v>1.0526315789473684</v>
      </c>
    </row>
    <row r="35" spans="1:29" ht="15">
      <c r="A35" s="574"/>
      <c r="B35" s="507" t="s">
        <v>773</v>
      </c>
      <c r="C35" s="554" t="s">
        <v>774</v>
      </c>
      <c r="D35" s="520">
        <v>100</v>
      </c>
      <c r="E35" s="554" t="s">
        <v>2626</v>
      </c>
      <c r="F35" s="555">
        <f>SUMIF(106:106,E35,107:107)-SUMIF(106:106,C35,107:107)+100</f>
        <v>100</v>
      </c>
      <c r="G35" s="554" t="s">
        <v>774</v>
      </c>
      <c r="H35" s="520">
        <f>SUMIF(106:106,G35,107:107)-SUMIF(106:106,C35,107:107)+100</f>
        <v>100</v>
      </c>
      <c r="I35" s="554" t="s">
        <v>2626</v>
      </c>
      <c r="J35" s="520">
        <f>SUMIF(106:106,I35,107:107)-SUMIF(106:106,C35,107:107)+100</f>
        <v>100</v>
      </c>
      <c r="K35" s="564">
        <f>'[1]不动产比较法-商业'!K34</f>
        <v>2</v>
      </c>
      <c r="L35" s="2122"/>
      <c r="M35" s="2114"/>
      <c r="N35" s="2114"/>
      <c r="O35" s="2114"/>
      <c r="P35" s="3437"/>
      <c r="Q35" s="1553" t="str">
        <f t="shared" si="11"/>
        <v>建筑结构</v>
      </c>
      <c r="R35" s="1554" t="s">
        <v>8</v>
      </c>
      <c r="S35" s="1555">
        <f t="shared" si="12"/>
        <v>100</v>
      </c>
      <c r="T35" s="1554" t="s">
        <v>8</v>
      </c>
      <c r="U35" s="1555">
        <f t="shared" si="13"/>
        <v>100</v>
      </c>
      <c r="V35" s="1554" t="s">
        <v>8</v>
      </c>
      <c r="W35" s="1555">
        <f t="shared" si="14"/>
        <v>100</v>
      </c>
      <c r="X35" s="1548"/>
      <c r="Y35" s="3437"/>
      <c r="Z35" s="1556" t="str">
        <f t="shared" si="15"/>
        <v>建筑结构</v>
      </c>
      <c r="AA35" s="1557">
        <f t="shared" si="3"/>
        <v>1</v>
      </c>
      <c r="AB35" s="1557">
        <f t="shared" si="4"/>
        <v>1</v>
      </c>
      <c r="AC35" s="1557">
        <f t="shared" si="5"/>
        <v>1</v>
      </c>
    </row>
    <row r="36" spans="1:29" ht="15">
      <c r="A36" s="574"/>
      <c r="B36" s="507" t="s">
        <v>860</v>
      </c>
      <c r="C36" s="554" t="s">
        <v>3318</v>
      </c>
      <c r="D36" s="520">
        <v>100</v>
      </c>
      <c r="E36" s="554" t="s">
        <v>777</v>
      </c>
      <c r="F36" s="555">
        <f>SUMIF(108:108,E36,109:109)-SUMIF(108:108,C36,109:109)+100</f>
        <v>100</v>
      </c>
      <c r="G36" s="554" t="s">
        <v>3318</v>
      </c>
      <c r="H36" s="520">
        <f>SUMIF(108:108,G36,109:109)-SUMIF(108:108,C36,109:109)+100</f>
        <v>100</v>
      </c>
      <c r="I36" s="554" t="s">
        <v>3318</v>
      </c>
      <c r="J36" s="520">
        <f>SUMIF(108:108,I36,109:109)-SUMIF(108:108,C36,109:109)+100</f>
        <v>100</v>
      </c>
      <c r="K36" s="564">
        <f>'[1]不动产比较法-商业'!K35</f>
        <v>2</v>
      </c>
      <c r="L36" s="2122"/>
      <c r="M36" s="2114"/>
      <c r="N36" s="2114"/>
      <c r="O36" s="2114"/>
      <c r="P36" s="3437"/>
      <c r="Q36" s="1553" t="str">
        <f t="shared" si="11"/>
        <v>公共部分装修</v>
      </c>
      <c r="R36" s="1554" t="s">
        <v>8</v>
      </c>
      <c r="S36" s="1555">
        <f t="shared" si="12"/>
        <v>100</v>
      </c>
      <c r="T36" s="1554" t="s">
        <v>8</v>
      </c>
      <c r="U36" s="1555">
        <f t="shared" si="13"/>
        <v>100</v>
      </c>
      <c r="V36" s="1554" t="s">
        <v>8</v>
      </c>
      <c r="W36" s="1555">
        <f t="shared" si="14"/>
        <v>100</v>
      </c>
      <c r="X36" s="1548"/>
      <c r="Y36" s="3437"/>
      <c r="Z36" s="1556" t="str">
        <f t="shared" si="15"/>
        <v>公共部分装修</v>
      </c>
      <c r="AA36" s="1557">
        <f t="shared" si="3"/>
        <v>1</v>
      </c>
      <c r="AB36" s="1557">
        <f t="shared" si="4"/>
        <v>1</v>
      </c>
      <c r="AC36" s="1557">
        <f t="shared" si="5"/>
        <v>1</v>
      </c>
    </row>
    <row r="37" spans="1:29" ht="15">
      <c r="A37" s="574"/>
      <c r="B37" s="507" t="s">
        <v>863</v>
      </c>
      <c r="C37" s="863">
        <v>1</v>
      </c>
      <c r="D37" s="520">
        <v>100</v>
      </c>
      <c r="E37" s="3190">
        <f>ROUND(1-(2017-2015)/60,2)</f>
        <v>0.97</v>
      </c>
      <c r="F37" s="555">
        <f>LOOKUP(E37,111:111,112:112)-LOOKUP(C37,111:111,112:112)+100</f>
        <v>100</v>
      </c>
      <c r="G37" s="3190">
        <f>ROUND(1-(2017-2015)/60,2)</f>
        <v>0.97</v>
      </c>
      <c r="H37" s="555">
        <f>LOOKUP(G37,111:111,112:112)-LOOKUP(C37,111:111,112:112)+100</f>
        <v>100</v>
      </c>
      <c r="I37" s="3190">
        <f>ROUND(1-(2017-2011)/60,2)</f>
        <v>0.9</v>
      </c>
      <c r="J37" s="520">
        <f>LOOKUP(I37,111:111,112:112)-LOOKUP(C37,111:111,112:112)+100</f>
        <v>100</v>
      </c>
      <c r="K37" s="564">
        <f>'[1]不动产比较法-商业'!K36</f>
        <v>2</v>
      </c>
      <c r="L37" s="2122"/>
      <c r="M37" s="2114"/>
      <c r="N37" s="2114"/>
      <c r="O37" s="2114"/>
      <c r="P37" s="3437"/>
      <c r="Q37" s="1553" t="str">
        <f t="shared" si="11"/>
        <v>成新度</v>
      </c>
      <c r="R37" s="1554" t="s">
        <v>8</v>
      </c>
      <c r="S37" s="1555">
        <f t="shared" si="12"/>
        <v>100</v>
      </c>
      <c r="T37" s="1554" t="s">
        <v>8</v>
      </c>
      <c r="U37" s="1555">
        <f t="shared" si="13"/>
        <v>100</v>
      </c>
      <c r="V37" s="1554" t="s">
        <v>8</v>
      </c>
      <c r="W37" s="1555">
        <f t="shared" si="14"/>
        <v>100</v>
      </c>
      <c r="X37" s="1548"/>
      <c r="Y37" s="3437"/>
      <c r="Z37" s="1556" t="str">
        <f t="shared" si="15"/>
        <v>成新度</v>
      </c>
      <c r="AA37" s="1557">
        <f t="shared" si="3"/>
        <v>1</v>
      </c>
      <c r="AB37" s="1557">
        <f t="shared" si="4"/>
        <v>1</v>
      </c>
      <c r="AC37" s="1557">
        <f t="shared" si="5"/>
        <v>1</v>
      </c>
    </row>
    <row r="38" spans="1:29" s="1199" customFormat="1" ht="15">
      <c r="A38" s="580"/>
      <c r="B38" s="507" t="s">
        <v>910</v>
      </c>
      <c r="C38" s="554" t="s">
        <v>911</v>
      </c>
      <c r="D38" s="232">
        <v>100</v>
      </c>
      <c r="E38" s="554" t="s">
        <v>3377</v>
      </c>
      <c r="F38" s="555">
        <f>SUMIF(113:113,E38,114:114)-SUMIF(113:113,C38,114:114)+100</f>
        <v>100</v>
      </c>
      <c r="G38" s="554" t="s">
        <v>3377</v>
      </c>
      <c r="H38" s="520">
        <f>SUMIF(113:113,G38,114:114)-SUMIF(113:113,C38,114:114)+100</f>
        <v>100</v>
      </c>
      <c r="I38" s="554" t="s">
        <v>911</v>
      </c>
      <c r="J38" s="520">
        <f>SUMIF(113:113,I38,114:114)-SUMIF(113:113,C38,114:114)+100</f>
        <v>100</v>
      </c>
      <c r="K38" s="564">
        <v>2</v>
      </c>
      <c r="L38" s="2115"/>
      <c r="M38" s="2116"/>
      <c r="N38" s="2116"/>
      <c r="O38" s="2116"/>
      <c r="P38" s="3437"/>
      <c r="Q38" s="1130" t="str">
        <f t="shared" si="11"/>
        <v>写字楼等级</v>
      </c>
      <c r="R38" s="1549" t="s">
        <v>8</v>
      </c>
      <c r="S38" s="1550">
        <f t="shared" si="12"/>
        <v>100</v>
      </c>
      <c r="T38" s="1549" t="s">
        <v>8</v>
      </c>
      <c r="U38" s="1550">
        <f t="shared" si="13"/>
        <v>100</v>
      </c>
      <c r="V38" s="1549" t="s">
        <v>8</v>
      </c>
      <c r="W38" s="1550">
        <f t="shared" si="14"/>
        <v>100</v>
      </c>
      <c r="X38" s="1551"/>
      <c r="Y38" s="3437"/>
      <c r="Z38" s="1129" t="str">
        <f t="shared" si="15"/>
        <v>写字楼等级</v>
      </c>
      <c r="AA38" s="1552">
        <f t="shared" si="3"/>
        <v>1</v>
      </c>
      <c r="AB38" s="1552">
        <f t="shared" si="4"/>
        <v>1</v>
      </c>
      <c r="AC38" s="1552">
        <f t="shared" si="5"/>
        <v>1</v>
      </c>
    </row>
    <row r="39" spans="1:29" ht="15">
      <c r="A39" s="574"/>
      <c r="B39" s="507" t="s">
        <v>914</v>
      </c>
      <c r="C39" s="554" t="s">
        <v>780</v>
      </c>
      <c r="D39" s="520">
        <v>100</v>
      </c>
      <c r="E39" s="554" t="s">
        <v>3407</v>
      </c>
      <c r="F39" s="555">
        <f>SUMIF(115:115,E39,116:116)-SUMIF(115:115,C39,116:116)+100</f>
        <v>100</v>
      </c>
      <c r="G39" s="554" t="s">
        <v>780</v>
      </c>
      <c r="H39" s="520">
        <f>SUMIF(115:115,G39,116:116)-SUMIF(115:115,C39,116:116)+100</f>
        <v>100</v>
      </c>
      <c r="I39" s="554" t="s">
        <v>3407</v>
      </c>
      <c r="J39" s="520">
        <f>SUMIF(115:115,I39,116:116)-SUMIF(115:115,C39,116:116)+100</f>
        <v>100</v>
      </c>
      <c r="K39" s="564">
        <f>'[1]不动产比较法-多层'!K38</f>
        <v>3</v>
      </c>
      <c r="L39" s="2122"/>
      <c r="M39" s="2114"/>
      <c r="N39" s="2114"/>
      <c r="O39" s="2114"/>
      <c r="P39" s="3437" t="s">
        <v>543</v>
      </c>
      <c r="Q39" s="1553" t="str">
        <f t="shared" si="11"/>
        <v>物业管理</v>
      </c>
      <c r="R39" s="1554" t="s">
        <v>8</v>
      </c>
      <c r="S39" s="1555">
        <f t="shared" si="12"/>
        <v>100</v>
      </c>
      <c r="T39" s="1554" t="s">
        <v>8</v>
      </c>
      <c r="U39" s="1555">
        <f t="shared" si="13"/>
        <v>100</v>
      </c>
      <c r="V39" s="1554" t="s">
        <v>8</v>
      </c>
      <c r="W39" s="1555">
        <f t="shared" si="14"/>
        <v>100</v>
      </c>
      <c r="X39" s="1548"/>
      <c r="Y39" s="3437" t="s">
        <v>543</v>
      </c>
      <c r="Z39" s="1556" t="str">
        <f t="shared" si="15"/>
        <v>物业管理</v>
      </c>
      <c r="AA39" s="1557">
        <f t="shared" si="3"/>
        <v>1</v>
      </c>
      <c r="AB39" s="1557">
        <f t="shared" si="4"/>
        <v>1</v>
      </c>
      <c r="AC39" s="1557">
        <f t="shared" si="5"/>
        <v>1</v>
      </c>
    </row>
    <row r="40" spans="1:29" ht="15">
      <c r="A40" s="574"/>
      <c r="B40" s="1870" t="s">
        <v>2834</v>
      </c>
      <c r="C40" s="3205" t="s">
        <v>2805</v>
      </c>
      <c r="D40" s="520">
        <v>100</v>
      </c>
      <c r="E40" s="554" t="s">
        <v>2587</v>
      </c>
      <c r="F40" s="555">
        <f>SUMIF(117:117,E40,118:118)-SUMIF(117:117,C40,118:118)+100</f>
        <v>98</v>
      </c>
      <c r="G40" s="554" t="s">
        <v>865</v>
      </c>
      <c r="H40" s="520">
        <f>SUMIF(117:117,G40,118:118)-SUMIF(117:117,C40,118:118)+100</f>
        <v>98</v>
      </c>
      <c r="I40" s="554" t="s">
        <v>2587</v>
      </c>
      <c r="J40" s="520">
        <f>SUMIF(117:117,I40,118:118)-SUMIF(117:117,C40,118:118)+100</f>
        <v>98</v>
      </c>
      <c r="K40" s="564">
        <f>'[1]不动产比较法-商业'!K37</f>
        <v>1</v>
      </c>
      <c r="L40" s="2122"/>
      <c r="M40" s="2114"/>
      <c r="N40" s="2114"/>
      <c r="O40" s="2114"/>
      <c r="P40" s="3437"/>
      <c r="Q40" s="1553" t="str">
        <f t="shared" si="11"/>
        <v>市政基础设施</v>
      </c>
      <c r="R40" s="1554" t="s">
        <v>8</v>
      </c>
      <c r="S40" s="1555">
        <f t="shared" si="12"/>
        <v>98</v>
      </c>
      <c r="T40" s="1554" t="s">
        <v>8</v>
      </c>
      <c r="U40" s="1555">
        <f t="shared" si="13"/>
        <v>98</v>
      </c>
      <c r="V40" s="1554" t="s">
        <v>8</v>
      </c>
      <c r="W40" s="1555">
        <f t="shared" si="14"/>
        <v>98</v>
      </c>
      <c r="X40" s="1548"/>
      <c r="Y40" s="3437"/>
      <c r="Z40" s="1556" t="str">
        <f t="shared" si="15"/>
        <v>市政基础设施</v>
      </c>
      <c r="AA40" s="1557">
        <f t="shared" si="3"/>
        <v>1.0204081632653061</v>
      </c>
      <c r="AB40" s="1557">
        <f t="shared" si="4"/>
        <v>1.0204081632653061</v>
      </c>
      <c r="AC40" s="1557">
        <f t="shared" si="5"/>
        <v>1.0204081632653061</v>
      </c>
    </row>
    <row r="41" spans="1:29" ht="15">
      <c r="A41" s="574"/>
      <c r="B41" s="507" t="s">
        <v>870</v>
      </c>
      <c r="C41" s="563" t="s">
        <v>871</v>
      </c>
      <c r="D41" s="520">
        <v>100</v>
      </c>
      <c r="E41" s="563" t="s">
        <v>871</v>
      </c>
      <c r="F41" s="555">
        <f>SUMIF(119:119,E41,120:120)-SUMIF(119:119,C41,120:120)+100</f>
        <v>100</v>
      </c>
      <c r="G41" s="563" t="s">
        <v>871</v>
      </c>
      <c r="H41" s="520">
        <f>SUMIF(119:119,G41,120:120)-SUMIF(119:119,C41,120:120)+100</f>
        <v>100</v>
      </c>
      <c r="I41" s="563" t="s">
        <v>3355</v>
      </c>
      <c r="J41" s="520">
        <f>SUMIF(119:119,I41,120:120)-SUMIF(119:119,C41,120:120)+100</f>
        <v>100</v>
      </c>
      <c r="K41" s="564">
        <f>'[1]不动产比较法-商业'!K39</f>
        <v>2</v>
      </c>
      <c r="L41" s="2122"/>
      <c r="M41" s="2114"/>
      <c r="N41" s="2114"/>
      <c r="O41" s="2114"/>
      <c r="P41" s="3437"/>
      <c r="Q41" s="1553" t="str">
        <f t="shared" si="11"/>
        <v>层高</v>
      </c>
      <c r="R41" s="1554" t="s">
        <v>8</v>
      </c>
      <c r="S41" s="1555">
        <f t="shared" si="12"/>
        <v>100</v>
      </c>
      <c r="T41" s="1554" t="s">
        <v>8</v>
      </c>
      <c r="U41" s="1555">
        <f t="shared" si="13"/>
        <v>100</v>
      </c>
      <c r="V41" s="1554" t="s">
        <v>8</v>
      </c>
      <c r="W41" s="1555">
        <f t="shared" si="14"/>
        <v>100</v>
      </c>
      <c r="X41" s="1548"/>
      <c r="Y41" s="3437"/>
      <c r="Z41" s="1556" t="str">
        <f t="shared" si="15"/>
        <v>层高</v>
      </c>
      <c r="AA41" s="1557">
        <f t="shared" si="3"/>
        <v>1</v>
      </c>
      <c r="AB41" s="1557">
        <f t="shared" si="4"/>
        <v>1</v>
      </c>
      <c r="AC41" s="1557">
        <f t="shared" si="5"/>
        <v>1</v>
      </c>
    </row>
    <row r="42" spans="1:29" s="1324" customFormat="1" ht="15">
      <c r="A42" s="583"/>
      <c r="B42" s="883" t="s">
        <v>916</v>
      </c>
      <c r="C42" s="519"/>
      <c r="D42" s="520">
        <v>100</v>
      </c>
      <c r="E42" s="519"/>
      <c r="F42" s="555">
        <f>SUMIF(121:121,E42,122:122)-SUMIF(121:121,C42,122:122)+100</f>
        <v>100</v>
      </c>
      <c r="G42" s="519"/>
      <c r="H42" s="520">
        <f>SUMIF(121:121,G42,122:122)-SUMIF(121:121,C42,122:122)+100</f>
        <v>100</v>
      </c>
      <c r="I42" s="519"/>
      <c r="J42" s="520">
        <f>SUMIF(121:121,I42,122:122)-SUMIF(121:121,C42,122:122)+100</f>
        <v>100</v>
      </c>
      <c r="K42" s="561"/>
      <c r="L42" s="2120"/>
      <c r="M42" s="2151"/>
      <c r="N42" s="2151"/>
      <c r="O42" s="2151"/>
      <c r="P42" s="3437"/>
      <c r="Q42" s="1586" t="str">
        <f t="shared" si="11"/>
        <v>单套建筑面积</v>
      </c>
      <c r="R42" s="1558" t="s">
        <v>8</v>
      </c>
      <c r="S42" s="1559">
        <f t="shared" si="12"/>
        <v>100</v>
      </c>
      <c r="T42" s="1558" t="s">
        <v>8</v>
      </c>
      <c r="U42" s="1559">
        <f t="shared" si="13"/>
        <v>100</v>
      </c>
      <c r="V42" s="1558" t="s">
        <v>8</v>
      </c>
      <c r="W42" s="1559">
        <f t="shared" si="14"/>
        <v>100</v>
      </c>
      <c r="X42" s="1560"/>
      <c r="Y42" s="3437"/>
      <c r="Z42" s="1561" t="str">
        <f t="shared" si="15"/>
        <v>单套建筑面积</v>
      </c>
      <c r="AA42" s="1557">
        <f t="shared" si="3"/>
        <v>1</v>
      </c>
      <c r="AB42" s="1557">
        <f t="shared" si="4"/>
        <v>1</v>
      </c>
      <c r="AC42" s="1557">
        <f t="shared" si="5"/>
        <v>1</v>
      </c>
    </row>
    <row r="43" spans="1:29" ht="15">
      <c r="A43" s="574"/>
      <c r="B43" s="507" t="s">
        <v>875</v>
      </c>
      <c r="C43" s="554" t="s">
        <v>3335</v>
      </c>
      <c r="D43" s="520">
        <v>100</v>
      </c>
      <c r="E43" s="554" t="s">
        <v>3335</v>
      </c>
      <c r="F43" s="555">
        <f>SUMIF(123:123,E43,124:124)-SUMIF(123:123,C43,124:124)+100</f>
        <v>100</v>
      </c>
      <c r="G43" s="554" t="s">
        <v>3335</v>
      </c>
      <c r="H43" s="520">
        <f>SUMIF(123:123,G43,124:124)-SUMIF(123:123,C43,124:124)+100</f>
        <v>100</v>
      </c>
      <c r="I43" s="554" t="s">
        <v>786</v>
      </c>
      <c r="J43" s="520">
        <f>SUMIF(123:123,I43,124:124)-SUMIF(123:123,C43,124:124)+100</f>
        <v>100</v>
      </c>
      <c r="K43" s="564">
        <v>2</v>
      </c>
      <c r="L43" s="2122"/>
      <c r="M43" s="2114"/>
      <c r="N43" s="2114"/>
      <c r="O43" s="2114"/>
      <c r="P43" s="3437"/>
      <c r="Q43" s="1553" t="str">
        <f t="shared" si="11"/>
        <v>内部装修</v>
      </c>
      <c r="R43" s="1554" t="s">
        <v>8</v>
      </c>
      <c r="S43" s="1555">
        <f t="shared" si="12"/>
        <v>100</v>
      </c>
      <c r="T43" s="1554" t="s">
        <v>8</v>
      </c>
      <c r="U43" s="1555">
        <f t="shared" si="13"/>
        <v>100</v>
      </c>
      <c r="V43" s="1554" t="s">
        <v>8</v>
      </c>
      <c r="W43" s="1555">
        <f t="shared" si="14"/>
        <v>100</v>
      </c>
      <c r="X43" s="1548"/>
      <c r="Y43" s="3437"/>
      <c r="Z43" s="1556" t="str">
        <f t="shared" si="15"/>
        <v>内部装修</v>
      </c>
      <c r="AA43" s="1557">
        <f t="shared" si="3"/>
        <v>1</v>
      </c>
      <c r="AB43" s="1557">
        <f t="shared" si="4"/>
        <v>1</v>
      </c>
      <c r="AC43" s="1557">
        <f t="shared" si="5"/>
        <v>1</v>
      </c>
    </row>
    <row r="44" spans="1:29" ht="27">
      <c r="A44" s="574"/>
      <c r="B44" s="507" t="s">
        <v>787</v>
      </c>
      <c r="C44" s="554" t="s">
        <v>531</v>
      </c>
      <c r="D44" s="520">
        <v>100</v>
      </c>
      <c r="E44" s="554" t="s">
        <v>1072</v>
      </c>
      <c r="F44" s="555">
        <f>SUMIF(125:125,E44,126:126)-SUMIF(125:125,C44,126:126)+100</f>
        <v>100</v>
      </c>
      <c r="G44" s="554" t="s">
        <v>1072</v>
      </c>
      <c r="H44" s="520">
        <f>SUMIF(125:125,G44,126:126)-SUMIF(125:125,C44,126:126)+100</f>
        <v>100</v>
      </c>
      <c r="I44" s="554" t="s">
        <v>1072</v>
      </c>
      <c r="J44" s="520">
        <f>SUMIF(125:125,I44,126:126)-SUMIF(125:125,C44,126:126)+100</f>
        <v>100</v>
      </c>
      <c r="K44" s="564">
        <v>2</v>
      </c>
      <c r="L44" s="2122"/>
      <c r="M44" s="2114"/>
      <c r="N44" s="2114"/>
      <c r="O44" s="2114"/>
      <c r="P44" s="3437"/>
      <c r="Q44" s="1553" t="str">
        <f t="shared" si="11"/>
        <v>内部装修维护情况</v>
      </c>
      <c r="R44" s="1554" t="s">
        <v>8</v>
      </c>
      <c r="S44" s="1555">
        <f t="shared" si="12"/>
        <v>100</v>
      </c>
      <c r="T44" s="1554" t="s">
        <v>8</v>
      </c>
      <c r="U44" s="1555">
        <f t="shared" si="13"/>
        <v>100</v>
      </c>
      <c r="V44" s="1554" t="s">
        <v>8</v>
      </c>
      <c r="W44" s="1555">
        <f t="shared" si="14"/>
        <v>100</v>
      </c>
      <c r="X44" s="1548"/>
      <c r="Y44" s="3437"/>
      <c r="Z44" s="1556" t="str">
        <f t="shared" si="15"/>
        <v>内部装修维护情况</v>
      </c>
      <c r="AA44" s="1557">
        <f t="shared" si="3"/>
        <v>1</v>
      </c>
      <c r="AB44" s="1557">
        <f t="shared" si="4"/>
        <v>1</v>
      </c>
      <c r="AC44" s="1557">
        <f t="shared" si="5"/>
        <v>1</v>
      </c>
    </row>
    <row r="45" spans="1:29" s="1199" customFormat="1" ht="15">
      <c r="A45" s="580"/>
      <c r="B45" s="857"/>
      <c r="C45" s="860"/>
      <c r="D45" s="232">
        <v>100</v>
      </c>
      <c r="E45" s="508"/>
      <c r="F45" s="843">
        <f>SUMIF(127:127,E45,128:128)-SUMIF(127:127,C45,128:128)+100</f>
        <v>100</v>
      </c>
      <c r="G45" s="508"/>
      <c r="H45" s="232">
        <f>SUMIF(127:127,G45,128:128)-SUMIF(127:127,C45,128:128)+100</f>
        <v>100</v>
      </c>
      <c r="I45" s="508"/>
      <c r="J45" s="232">
        <f>SUMIF(127:127,I45,128:128)-SUMIF(127:127,C45,128:128)+100</f>
        <v>100</v>
      </c>
      <c r="K45" s="561"/>
      <c r="L45" s="2115"/>
      <c r="M45" s="2116"/>
      <c r="N45" s="2116"/>
      <c r="O45" s="2116"/>
      <c r="P45" s="3437"/>
      <c r="Q45" s="1130">
        <f t="shared" si="11"/>
        <v>0</v>
      </c>
      <c r="R45" s="1549" t="s">
        <v>8</v>
      </c>
      <c r="S45" s="1550">
        <f t="shared" si="12"/>
        <v>100</v>
      </c>
      <c r="T45" s="1549" t="s">
        <v>8</v>
      </c>
      <c r="U45" s="1550">
        <f t="shared" si="13"/>
        <v>100</v>
      </c>
      <c r="V45" s="1549" t="s">
        <v>8</v>
      </c>
      <c r="W45" s="1550">
        <f t="shared" si="14"/>
        <v>100</v>
      </c>
      <c r="X45" s="1551"/>
      <c r="Y45" s="3437"/>
      <c r="Z45" s="1129">
        <f t="shared" si="15"/>
        <v>0</v>
      </c>
      <c r="AA45" s="1552">
        <f t="shared" si="3"/>
        <v>1</v>
      </c>
      <c r="AB45" s="1552">
        <f t="shared" si="4"/>
        <v>1</v>
      </c>
      <c r="AC45" s="1552">
        <f t="shared" si="5"/>
        <v>1</v>
      </c>
    </row>
    <row r="46" spans="1:29" ht="15">
      <c r="A46" s="574"/>
      <c r="B46" s="857"/>
      <c r="C46" s="519"/>
      <c r="D46" s="520">
        <v>100</v>
      </c>
      <c r="E46" s="508"/>
      <c r="F46" s="555">
        <f>SUMIF(129:129,E46,130:130)-SUMIF(129:129,C46,130:130)+100</f>
        <v>100</v>
      </c>
      <c r="G46" s="508"/>
      <c r="H46" s="520">
        <f>SUMIF(129:129,G46,130:130)-SUMIF(129:129,C46,130:130)+100</f>
        <v>100</v>
      </c>
      <c r="I46" s="508"/>
      <c r="J46" s="520">
        <f>SUMIF(129:129,I46,130:130)-SUMIF(129:129,C46,130:130)+100</f>
        <v>100</v>
      </c>
      <c r="K46" s="561"/>
      <c r="L46" s="2122"/>
      <c r="M46" s="2114"/>
      <c r="N46" s="2114"/>
      <c r="O46" s="2114"/>
      <c r="P46" s="3437"/>
      <c r="Q46" s="1553">
        <f t="shared" si="11"/>
        <v>0</v>
      </c>
      <c r="R46" s="1554" t="s">
        <v>8</v>
      </c>
      <c r="S46" s="1555">
        <f t="shared" si="12"/>
        <v>100</v>
      </c>
      <c r="T46" s="1554" t="s">
        <v>8</v>
      </c>
      <c r="U46" s="1555">
        <f t="shared" si="13"/>
        <v>100</v>
      </c>
      <c r="V46" s="1554" t="s">
        <v>8</v>
      </c>
      <c r="W46" s="1555">
        <f t="shared" si="14"/>
        <v>100</v>
      </c>
      <c r="X46" s="1548"/>
      <c r="Y46" s="3437"/>
      <c r="Z46" s="1556">
        <f t="shared" si="15"/>
        <v>0</v>
      </c>
      <c r="AA46" s="1557">
        <f t="shared" si="3"/>
        <v>1</v>
      </c>
      <c r="AB46" s="1557">
        <f t="shared" si="4"/>
        <v>1</v>
      </c>
      <c r="AC46" s="1557">
        <f t="shared" si="5"/>
        <v>1</v>
      </c>
    </row>
    <row r="47" spans="1:29" ht="15.75" thickBot="1">
      <c r="A47" s="866"/>
      <c r="B47" s="524"/>
      <c r="C47" s="525"/>
      <c r="D47" s="526">
        <v>100</v>
      </c>
      <c r="E47" s="508"/>
      <c r="F47" s="846">
        <f>SUMIF(131:131,E47,132:132)-SUMIF(131:131,C47,132:132)+100</f>
        <v>100</v>
      </c>
      <c r="G47" s="508"/>
      <c r="H47" s="526">
        <f>SUMIF(131:131,G47,132:132)-SUMIF(131:131,C47,132:132)+100</f>
        <v>100</v>
      </c>
      <c r="I47" s="508"/>
      <c r="J47" s="526">
        <f>SUMIF(131:131,I47,132:132)-SUMIF(131:131,C47,132:132)+100</f>
        <v>100</v>
      </c>
      <c r="K47" s="561"/>
      <c r="L47" s="2122"/>
      <c r="M47" s="2114"/>
      <c r="N47" s="2114"/>
      <c r="O47" s="2114"/>
      <c r="P47" s="3513"/>
      <c r="Q47" s="1553">
        <f t="shared" si="11"/>
        <v>0</v>
      </c>
      <c r="R47" s="1554" t="s">
        <v>8</v>
      </c>
      <c r="S47" s="1555">
        <f t="shared" si="12"/>
        <v>100</v>
      </c>
      <c r="T47" s="1554" t="s">
        <v>8</v>
      </c>
      <c r="U47" s="1555">
        <f t="shared" si="13"/>
        <v>100</v>
      </c>
      <c r="V47" s="1554" t="s">
        <v>8</v>
      </c>
      <c r="W47" s="1555">
        <f t="shared" si="14"/>
        <v>100</v>
      </c>
      <c r="X47" s="1548"/>
      <c r="Y47" s="3513"/>
      <c r="Z47" s="1556">
        <f t="shared" si="15"/>
        <v>0</v>
      </c>
      <c r="AA47" s="1557">
        <f t="shared" si="3"/>
        <v>1</v>
      </c>
      <c r="AB47" s="1557">
        <f t="shared" si="4"/>
        <v>1</v>
      </c>
      <c r="AC47" s="1557">
        <f t="shared" si="5"/>
        <v>1</v>
      </c>
    </row>
    <row r="48" spans="1:29" ht="15">
      <c r="A48" s="587" t="s">
        <v>790</v>
      </c>
      <c r="B48" s="867"/>
      <c r="C48" s="2640" t="s">
        <v>1</v>
      </c>
      <c r="D48" s="2641"/>
      <c r="E48" s="2642">
        <f>ROUND(24566.6,0)</f>
        <v>24567</v>
      </c>
      <c r="F48" s="2643"/>
      <c r="G48" s="2642">
        <f>ROUND(28547.8,0)</f>
        <v>28548</v>
      </c>
      <c r="H48" s="2645"/>
      <c r="I48" s="2642">
        <f>ROUND(24757.16,0)</f>
        <v>24757</v>
      </c>
      <c r="J48" s="2645"/>
      <c r="K48" s="1592"/>
      <c r="L48" s="2124"/>
      <c r="M48" s="2114"/>
      <c r="N48" s="2114"/>
      <c r="O48" s="2114"/>
      <c r="P48" s="3394" t="str">
        <f>A48</f>
        <v>成交单价（元/平方米）</v>
      </c>
      <c r="Q48" s="3396"/>
      <c r="R48" s="3512">
        <f>E48</f>
        <v>24567</v>
      </c>
      <c r="S48" s="3512"/>
      <c r="T48" s="3512">
        <f>G48</f>
        <v>28548</v>
      </c>
      <c r="U48" s="3512"/>
      <c r="V48" s="3512">
        <f>I48</f>
        <v>24757</v>
      </c>
      <c r="W48" s="3512"/>
      <c r="X48" s="1540"/>
      <c r="Y48" s="1562"/>
      <c r="Z48" s="1540"/>
      <c r="AA48" s="1540"/>
      <c r="AB48" s="1540"/>
      <c r="AC48" s="1540"/>
    </row>
    <row r="49" spans="1:29" ht="15.75" thickBot="1">
      <c r="A49" s="595" t="s">
        <v>3043</v>
      </c>
      <c r="B49" s="868"/>
      <c r="C49" s="2646">
        <f>R50</f>
        <v>26837</v>
      </c>
      <c r="D49" s="2647"/>
      <c r="E49" s="2648">
        <f>R49</f>
        <v>25601</v>
      </c>
      <c r="F49" s="2648"/>
      <c r="G49" s="2646">
        <f>T49</f>
        <v>29443</v>
      </c>
      <c r="H49" s="2647"/>
      <c r="I49" s="2648">
        <f>V49</f>
        <v>25467</v>
      </c>
      <c r="J49" s="2647"/>
      <c r="K49" s="1593"/>
      <c r="L49" s="2124"/>
      <c r="M49" s="2114"/>
      <c r="N49" s="2114"/>
      <c r="O49" s="2114"/>
      <c r="P49" s="3394" t="str">
        <f>A49</f>
        <v>比较价格（元/平方米）</v>
      </c>
      <c r="Q49" s="3396"/>
      <c r="R49" s="3512">
        <f>IF(F1="售价",ROUND(PRODUCT(R48,AA7:AA47),0),ROUND(PRODUCT(R48,AA7:AA47),1))</f>
        <v>25601</v>
      </c>
      <c r="S49" s="3512"/>
      <c r="T49" s="3512">
        <f>IF(F1="售价",ROUND(PRODUCT(T48,AB7:AB47),0),ROUND(PRODUCT(T48,AB7:AB47),1))</f>
        <v>29443</v>
      </c>
      <c r="U49" s="3512"/>
      <c r="V49" s="3512">
        <f>IF(F1="售价",ROUND(PRODUCT(V48,AC7:AC47),0),ROUND(PRODUCT(V48,AC7:AC47),1))</f>
        <v>25467</v>
      </c>
      <c r="W49" s="3512"/>
      <c r="X49" s="1540"/>
      <c r="Y49" s="1540"/>
      <c r="Z49" s="1540"/>
      <c r="AA49" s="1540"/>
      <c r="AB49" s="1540"/>
      <c r="AC49" s="1540"/>
    </row>
    <row r="50" spans="1:29" ht="15.75" thickBot="1">
      <c r="A50" s="601" t="s">
        <v>3044</v>
      </c>
      <c r="B50" s="602"/>
      <c r="C50" s="2649">
        <f>R50</f>
        <v>26837</v>
      </c>
      <c r="D50" s="2649"/>
      <c r="E50" s="2649"/>
      <c r="F50" s="2649"/>
      <c r="G50" s="2649"/>
      <c r="H50" s="2649"/>
      <c r="I50" s="2649"/>
      <c r="J50" s="2649"/>
      <c r="K50" s="1594"/>
      <c r="L50" s="2124"/>
      <c r="M50" s="2114"/>
      <c r="N50" s="2114"/>
      <c r="O50" s="2114"/>
      <c r="P50" s="3530" t="str">
        <f>A50</f>
        <v>估价对象XX用房的比较价格（楼面单价，元/平方米）</v>
      </c>
      <c r="Q50" s="3394"/>
      <c r="R50" s="3511">
        <f>IF(F1="售价",ROUND(AVERAGE(R49:V49),0),ROUND(AVERAGE(R49:V49),1))</f>
        <v>26837</v>
      </c>
      <c r="S50" s="3511"/>
      <c r="T50" s="3511"/>
      <c r="U50" s="3511"/>
      <c r="V50" s="3511"/>
      <c r="W50" s="3511"/>
      <c r="X50" s="1540"/>
      <c r="Y50" s="1540"/>
      <c r="Z50" s="1540"/>
      <c r="AA50" s="1540"/>
      <c r="AB50" s="1540"/>
      <c r="AC50" s="1540"/>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04" t="s">
        <v>553</v>
      </c>
      <c r="D53" s="605"/>
      <c r="E53" s="606">
        <f>IF(E48&lt;E49,E49/E48-1,E48/E49-1)</f>
        <v>4.2088981153580063E-2</v>
      </c>
      <c r="F53" s="607" t="str">
        <f>IF(OR(E53&gt;=0.3,E53&lt;=-0.3),"超过30%","")</f>
        <v/>
      </c>
      <c r="G53" s="606">
        <f>IF(G48&lt;G49,G49/G48-1,G48/G49-1)</f>
        <v>3.1350707580215742E-2</v>
      </c>
      <c r="H53" s="607" t="str">
        <f>IF(OR(G53&gt;=0.3,G53&lt;=-0.3),"超过30%","")</f>
        <v/>
      </c>
      <c r="I53" s="606">
        <f>IF(I48&lt;I49,I49/I48-1,I48/I49-1)</f>
        <v>2.8678757523124876E-2</v>
      </c>
      <c r="J53" s="607" t="str">
        <f>IF(OR(I53&gt;=0.3,I53&lt;=-0.3),"超过30%","")</f>
        <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04" t="s">
        <v>554</v>
      </c>
      <c r="D54" s="608"/>
      <c r="E54" s="606">
        <f>IF(E49&lt;G49,G49/E49-1,E49/G49-1)</f>
        <v>0.15007226280223418</v>
      </c>
      <c r="F54" s="607" t="str">
        <f>IF(OR(E54&gt;=0.2,E54&lt;=-0.2),"超过20%","")</f>
        <v/>
      </c>
      <c r="G54" s="606">
        <f>IF(G49&lt;I49,I49/G49-1,G49/I49-1)</f>
        <v>0.1561236109475006</v>
      </c>
      <c r="H54" s="607" t="str">
        <f>IF(OR(G54&gt;=0.2,G54&lt;=-0.2),"超过20%","")</f>
        <v/>
      </c>
      <c r="I54" s="606">
        <f>IF(I49&lt;E49,E49/I49-1,I49/E49-1)</f>
        <v>5.2617112341462047E-3</v>
      </c>
      <c r="J54" s="607" t="str">
        <f>IF(OR(I54&gt;=0.2,I54&lt;=-0.2),"超过20%","")</f>
        <v/>
      </c>
      <c r="K54" s="2129"/>
      <c r="L54" s="2130"/>
      <c r="M54" s="2125"/>
      <c r="N54" s="2125"/>
      <c r="O54" s="2125"/>
      <c r="P54" s="2188"/>
      <c r="Q54" s="2125"/>
      <c r="R54" s="2125"/>
      <c r="S54" s="2125"/>
      <c r="T54" s="2125"/>
      <c r="U54" s="2125"/>
      <c r="V54" s="2125"/>
      <c r="W54" s="2125"/>
      <c r="X54" s="2125"/>
      <c r="Y54" s="2125"/>
      <c r="Z54" s="2125"/>
      <c r="AA54" s="2125"/>
      <c r="AB54" s="2125"/>
      <c r="AC54" s="2125"/>
    </row>
    <row r="55" spans="1:29" s="1330" customFormat="1" ht="13.5" customHeight="1">
      <c r="A55" s="2126"/>
      <c r="B55" s="2126"/>
      <c r="C55" s="604" t="s">
        <v>555</v>
      </c>
      <c r="D55" s="608"/>
      <c r="E55" s="606">
        <f>IF(E48&lt;G48,G48/E48-1,E48/G48-1)</f>
        <v>0.16204664794236168</v>
      </c>
      <c r="F55" s="607" t="str">
        <f>IF(OR(E55&gt;=0.3,E55&lt;=-0.3),"超过30%","")</f>
        <v/>
      </c>
      <c r="G55" s="606">
        <f>IF(G48&lt;I48,I48/G48-1,G48/I48-1)</f>
        <v>0.15312840812699435</v>
      </c>
      <c r="H55" s="607" t="str">
        <f>IF(OR(G55&gt;=0.3,G55&lt;=-0.3),"超过30%","")</f>
        <v/>
      </c>
      <c r="I55" s="606">
        <f>IF(I48&lt;E48,E48/I48-1,I48/E48-1)</f>
        <v>7.733952049497228E-3</v>
      </c>
      <c r="J55" s="607" t="str">
        <f>IF(OR(I55&gt;=0.3,I55&lt;=-0.3),"超过30%","")</f>
        <v/>
      </c>
      <c r="K55" s="2132"/>
      <c r="L55" s="2133"/>
      <c r="M55" s="2126"/>
      <c r="N55" s="2126"/>
      <c r="O55" s="2126"/>
      <c r="P55" s="2189"/>
      <c r="Q55" s="2126"/>
      <c r="R55" s="2126"/>
      <c r="S55" s="2126"/>
      <c r="T55" s="2126"/>
      <c r="U55" s="2126"/>
      <c r="V55" s="2126"/>
      <c r="W55" s="2126"/>
      <c r="X55" s="2126"/>
      <c r="Y55" s="2126"/>
      <c r="Z55" s="2126"/>
      <c r="AA55" s="2126"/>
      <c r="AB55" s="2126"/>
      <c r="AC55" s="2126"/>
    </row>
    <row r="56" spans="1:29" s="1330"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5" t="s">
        <v>570</v>
      </c>
      <c r="B58" s="1540"/>
      <c r="C58" s="1564"/>
      <c r="D58" s="1564"/>
      <c r="E58" s="1564"/>
      <c r="F58" s="1566"/>
      <c r="G58" s="1566"/>
      <c r="H58" s="1564"/>
      <c r="I58" s="1564"/>
      <c r="J58" s="1564"/>
      <c r="K58" s="1567"/>
      <c r="L58" s="1563"/>
      <c r="M58" s="1564"/>
      <c r="N58" s="1564"/>
      <c r="O58" s="1564"/>
      <c r="P58" s="2190"/>
      <c r="Q58" s="2138"/>
      <c r="R58" s="2125"/>
      <c r="S58" s="2125"/>
      <c r="T58" s="2125"/>
      <c r="U58" s="2125"/>
      <c r="V58" s="2125"/>
      <c r="W58" s="2125"/>
      <c r="X58" s="2125"/>
      <c r="Y58" s="2125"/>
      <c r="Z58" s="2125"/>
      <c r="AA58" s="2125"/>
      <c r="AB58" s="2125"/>
      <c r="AC58" s="2125"/>
    </row>
    <row r="59" spans="1:29" s="1332" customFormat="1" ht="15">
      <c r="A59" s="625" t="s">
        <v>518</v>
      </c>
      <c r="B59" s="626"/>
      <c r="C59" s="2820" t="str">
        <f>YEAR(C7)&amp;"-"&amp;MONTH(C7)</f>
        <v>2017-6</v>
      </c>
      <c r="D59" s="2822">
        <f>EDATE(C59,-1)</f>
        <v>42856</v>
      </c>
      <c r="E59" s="2822">
        <f t="shared" ref="E59:O59" si="16">EDATE(D59,-1)</f>
        <v>42826</v>
      </c>
      <c r="F59" s="2822">
        <f t="shared" si="16"/>
        <v>42795</v>
      </c>
      <c r="G59" s="2822">
        <f t="shared" si="16"/>
        <v>42767</v>
      </c>
      <c r="H59" s="2822">
        <f t="shared" si="16"/>
        <v>42736</v>
      </c>
      <c r="I59" s="2822">
        <f t="shared" si="16"/>
        <v>42705</v>
      </c>
      <c r="J59" s="2822">
        <f t="shared" si="16"/>
        <v>42675</v>
      </c>
      <c r="K59" s="2822">
        <f t="shared" si="16"/>
        <v>42644</v>
      </c>
      <c r="L59" s="2822">
        <f t="shared" si="16"/>
        <v>42614</v>
      </c>
      <c r="M59" s="2822">
        <f t="shared" si="16"/>
        <v>42583</v>
      </c>
      <c r="N59" s="2822">
        <f t="shared" si="16"/>
        <v>42552</v>
      </c>
      <c r="O59" s="2822">
        <f t="shared" si="16"/>
        <v>42522</v>
      </c>
      <c r="P59" s="2191"/>
      <c r="Q59" s="2141"/>
      <c r="R59" s="2141"/>
      <c r="S59" s="2141"/>
      <c r="T59" s="2141"/>
      <c r="U59" s="2141"/>
      <c r="V59" s="2141"/>
      <c r="W59" s="2141"/>
      <c r="X59" s="2141"/>
      <c r="Y59" s="2141"/>
      <c r="Z59" s="2141"/>
      <c r="AA59" s="2141"/>
      <c r="AB59" s="2141"/>
      <c r="AC59" s="2141"/>
    </row>
    <row r="60" spans="1:29" s="1199" customFormat="1" ht="15">
      <c r="A60" s="627"/>
      <c r="B60" s="628"/>
      <c r="C60" s="629">
        <v>100</v>
      </c>
      <c r="D60" s="630">
        <v>99.5</v>
      </c>
      <c r="E60" s="630">
        <v>99</v>
      </c>
      <c r="F60" s="630">
        <v>98.5</v>
      </c>
      <c r="G60" s="630">
        <v>98</v>
      </c>
      <c r="H60" s="630">
        <v>97.5</v>
      </c>
      <c r="I60" s="630">
        <v>97</v>
      </c>
      <c r="J60" s="630">
        <v>96.5</v>
      </c>
      <c r="K60" s="630">
        <v>96</v>
      </c>
      <c r="L60" s="630">
        <v>95.5</v>
      </c>
      <c r="M60" s="631">
        <v>95</v>
      </c>
      <c r="N60" s="630">
        <v>94.5</v>
      </c>
      <c r="O60" s="631">
        <v>94</v>
      </c>
      <c r="P60" s="2192"/>
      <c r="Q60" s="1969"/>
      <c r="R60" s="1969"/>
      <c r="S60" s="1969"/>
      <c r="T60" s="1969"/>
      <c r="U60" s="1969"/>
      <c r="V60" s="1969"/>
      <c r="W60" s="1969"/>
      <c r="X60" s="1969"/>
      <c r="Y60" s="1969"/>
      <c r="Z60" s="1969"/>
      <c r="AA60" s="1969"/>
      <c r="AB60" s="1969"/>
      <c r="AC60" s="1969"/>
    </row>
    <row r="61" spans="1:29" s="1199" customFormat="1" ht="15.75" thickBot="1">
      <c r="A61" s="633" t="s">
        <v>571</v>
      </c>
      <c r="B61" s="634"/>
      <c r="C61" s="635"/>
      <c r="D61" s="636"/>
      <c r="E61" s="636"/>
      <c r="F61" s="636"/>
      <c r="G61" s="636"/>
      <c r="H61" s="636"/>
      <c r="I61" s="636"/>
      <c r="J61" s="636"/>
      <c r="K61" s="636"/>
      <c r="L61" s="636"/>
      <c r="M61" s="637"/>
      <c r="N61" s="636"/>
      <c r="O61" s="637"/>
      <c r="P61" s="2192"/>
      <c r="Q61" s="2138"/>
      <c r="R61" s="1969"/>
      <c r="S61" s="1969"/>
      <c r="T61" s="1969"/>
      <c r="U61" s="1969"/>
      <c r="V61" s="1969"/>
      <c r="W61" s="1969"/>
      <c r="X61" s="1969"/>
      <c r="Y61" s="1969"/>
      <c r="Z61" s="1969"/>
      <c r="AA61" s="1969"/>
      <c r="AB61" s="1969"/>
      <c r="AC61" s="1969"/>
    </row>
    <row r="62" spans="1:29" s="1199" customFormat="1" ht="15">
      <c r="A62" s="639" t="s">
        <v>520</v>
      </c>
      <c r="B62" s="628"/>
      <c r="C62" s="640" t="s">
        <v>572</v>
      </c>
      <c r="D62" s="641" t="s">
        <v>573</v>
      </c>
      <c r="E62" s="641"/>
      <c r="F62" s="641"/>
      <c r="G62" s="641"/>
      <c r="H62" s="641"/>
      <c r="I62" s="641"/>
      <c r="J62" s="641"/>
      <c r="K62" s="641"/>
      <c r="L62" s="642"/>
      <c r="M62" s="643"/>
      <c r="N62" s="2142"/>
      <c r="O62" s="2142"/>
      <c r="P62" s="2193"/>
      <c r="Q62" s="2138"/>
      <c r="R62" s="1969"/>
      <c r="S62" s="1969"/>
      <c r="T62" s="1969"/>
      <c r="U62" s="1969"/>
      <c r="V62" s="1969"/>
      <c r="W62" s="1969"/>
      <c r="X62" s="1969"/>
      <c r="Y62" s="1969"/>
      <c r="Z62" s="1969"/>
      <c r="AA62" s="1969"/>
      <c r="AB62" s="1969"/>
      <c r="AC62" s="1969"/>
    </row>
    <row r="63" spans="1:29" s="1199" customFormat="1" ht="15.75" thickBot="1">
      <c r="A63" s="639"/>
      <c r="B63" s="628"/>
      <c r="C63" s="869">
        <v>100</v>
      </c>
      <c r="D63" s="630">
        <v>99</v>
      </c>
      <c r="E63" s="630"/>
      <c r="F63" s="630"/>
      <c r="G63" s="630"/>
      <c r="H63" s="630"/>
      <c r="I63" s="630"/>
      <c r="J63" s="630"/>
      <c r="K63" s="630"/>
      <c r="L63" s="630"/>
      <c r="M63" s="632"/>
      <c r="N63" s="2142"/>
      <c r="O63" s="2142"/>
      <c r="P63" s="2192"/>
      <c r="Q63" s="2138"/>
      <c r="R63" s="1969"/>
      <c r="S63" s="1969"/>
      <c r="T63" s="1969"/>
      <c r="U63" s="1969"/>
      <c r="V63" s="1969"/>
      <c r="W63" s="1969"/>
      <c r="X63" s="1969"/>
      <c r="Y63" s="1969"/>
      <c r="Z63" s="1969"/>
      <c r="AA63" s="1969"/>
      <c r="AB63" s="1969"/>
      <c r="AC63" s="1969"/>
    </row>
    <row r="64" spans="1:29">
      <c r="A64" s="644" t="s">
        <v>574</v>
      </c>
      <c r="B64" s="645" t="s">
        <v>523</v>
      </c>
      <c r="C64" s="684" t="str">
        <f>C9</f>
        <v>办公</v>
      </c>
      <c r="D64" s="578" t="s">
        <v>917</v>
      </c>
      <c r="E64" s="578"/>
      <c r="F64" s="578"/>
      <c r="G64" s="578"/>
      <c r="H64" s="578"/>
      <c r="I64" s="578"/>
      <c r="J64" s="578"/>
      <c r="K64" s="646"/>
      <c r="L64" s="647"/>
      <c r="M64" s="648"/>
      <c r="N64" s="2144"/>
      <c r="O64" s="2144"/>
      <c r="P64" s="2194"/>
      <c r="Q64" s="2138"/>
      <c r="R64" s="2125"/>
      <c r="S64" s="2125"/>
      <c r="T64" s="2125"/>
      <c r="U64" s="2125"/>
      <c r="V64" s="2125"/>
      <c r="W64" s="2125"/>
      <c r="X64" s="2125"/>
      <c r="Y64" s="2125"/>
      <c r="Z64" s="2125"/>
      <c r="AA64" s="2125"/>
      <c r="AB64" s="2125"/>
      <c r="AC64" s="2125"/>
    </row>
    <row r="65" spans="1:29" ht="15.75" thickBot="1">
      <c r="A65" s="649"/>
      <c r="B65" s="650"/>
      <c r="C65" s="651">
        <v>100</v>
      </c>
      <c r="D65" s="651">
        <v>95</v>
      </c>
      <c r="E65" s="651"/>
      <c r="F65" s="651"/>
      <c r="G65" s="651"/>
      <c r="H65" s="651"/>
      <c r="I65" s="651"/>
      <c r="J65" s="651"/>
      <c r="K65" s="651"/>
      <c r="L65" s="651"/>
      <c r="M65" s="652"/>
      <c r="N65" s="2146"/>
      <c r="O65" s="2146"/>
      <c r="P65" s="2194"/>
      <c r="Q65" s="2138"/>
      <c r="R65" s="2125"/>
      <c r="S65" s="2125"/>
      <c r="T65" s="2125"/>
      <c r="U65" s="2125"/>
      <c r="V65" s="2125"/>
      <c r="W65" s="2125"/>
      <c r="X65" s="2125"/>
      <c r="Y65" s="2125"/>
      <c r="Z65" s="2125"/>
      <c r="AA65" s="2125"/>
      <c r="AB65" s="2125"/>
      <c r="AC65" s="2125"/>
    </row>
    <row r="66" spans="1:29" ht="27.75" thickTop="1">
      <c r="A66" s="649"/>
      <c r="B66" s="653" t="s">
        <v>526</v>
      </c>
      <c r="C66" s="654" t="s">
        <v>792</v>
      </c>
      <c r="D66" s="654" t="s">
        <v>793</v>
      </c>
      <c r="E66" s="654" t="s">
        <v>794</v>
      </c>
      <c r="F66" s="654" t="s">
        <v>795</v>
      </c>
      <c r="G66" s="654" t="s">
        <v>796</v>
      </c>
      <c r="H66" s="654" t="s">
        <v>797</v>
      </c>
      <c r="I66" s="654" t="s">
        <v>798</v>
      </c>
      <c r="J66" s="654"/>
      <c r="K66" s="655"/>
      <c r="L66" s="656"/>
      <c r="M66" s="657"/>
      <c r="N66" s="2144"/>
      <c r="O66" s="2144"/>
      <c r="P66" s="2194"/>
      <c r="Q66" s="2138"/>
      <c r="R66" s="2125"/>
      <c r="S66" s="2125"/>
      <c r="T66" s="2125"/>
      <c r="U66" s="2125"/>
      <c r="V66" s="2125"/>
      <c r="W66" s="2125"/>
      <c r="X66" s="2125"/>
      <c r="Y66" s="2125"/>
      <c r="Z66" s="2125"/>
      <c r="AA66" s="2125"/>
      <c r="AB66" s="2125"/>
      <c r="AC66" s="2125"/>
    </row>
    <row r="67" spans="1:29" ht="15.75" thickBot="1">
      <c r="A67" s="649"/>
      <c r="B67" s="658"/>
      <c r="C67" s="659" t="s">
        <v>14</v>
      </c>
      <c r="D67" s="659" t="s">
        <v>15</v>
      </c>
      <c r="E67" s="659">
        <v>100</v>
      </c>
      <c r="F67" s="659">
        <f>E67-$K10</f>
        <v>98</v>
      </c>
      <c r="G67" s="659">
        <f>F67-$K10</f>
        <v>96</v>
      </c>
      <c r="H67" s="659">
        <f>G67-$K10</f>
        <v>94</v>
      </c>
      <c r="I67" s="659">
        <f>H67-$K10</f>
        <v>92</v>
      </c>
      <c r="J67" s="659"/>
      <c r="K67" s="659"/>
      <c r="L67" s="659"/>
      <c r="M67" s="660"/>
      <c r="N67" s="2146"/>
      <c r="O67" s="2146"/>
      <c r="P67" s="2194"/>
      <c r="Q67" s="2138"/>
      <c r="R67" s="2125"/>
      <c r="S67" s="2125"/>
      <c r="T67" s="2125"/>
      <c r="U67" s="2125"/>
      <c r="V67" s="2125"/>
      <c r="W67" s="2125"/>
      <c r="X67" s="2125"/>
      <c r="Y67" s="2125"/>
      <c r="Z67" s="2125"/>
      <c r="AA67" s="2125"/>
      <c r="AB67" s="2125"/>
      <c r="AC67" s="2125"/>
    </row>
    <row r="68" spans="1:29" ht="15.75" thickTop="1">
      <c r="A68" s="649"/>
      <c r="B68" s="661" t="s">
        <v>527</v>
      </c>
      <c r="C68" s="662" t="str">
        <f>C69&amp;"（含）"&amp;"-"&amp;D69</f>
        <v>0（含）-1</v>
      </c>
      <c r="D68" s="662" t="str">
        <f t="shared" ref="D68:L68" si="17">D69&amp;"（含）"&amp;"-"&amp;E69</f>
        <v>1（含）-2</v>
      </c>
      <c r="E68" s="662" t="str">
        <f t="shared" si="17"/>
        <v>2（含）-3</v>
      </c>
      <c r="F68" s="662" t="str">
        <f t="shared" si="17"/>
        <v>3（含）-4</v>
      </c>
      <c r="G68" s="662" t="str">
        <f t="shared" si="17"/>
        <v>4（含）-</v>
      </c>
      <c r="H68" s="662" t="str">
        <f t="shared" si="17"/>
        <v>（含）-</v>
      </c>
      <c r="I68" s="662" t="str">
        <f t="shared" si="17"/>
        <v>（含）-</v>
      </c>
      <c r="J68" s="662" t="str">
        <f t="shared" si="17"/>
        <v>（含）-</v>
      </c>
      <c r="K68" s="662" t="str">
        <f t="shared" si="17"/>
        <v>（含）-</v>
      </c>
      <c r="L68" s="662" t="str">
        <f t="shared" si="17"/>
        <v>（含）-</v>
      </c>
      <c r="M68" s="535"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49"/>
      <c r="B69" s="663"/>
      <c r="C69" s="521">
        <v>0</v>
      </c>
      <c r="D69" s="521">
        <v>1</v>
      </c>
      <c r="E69" s="521">
        <v>2</v>
      </c>
      <c r="F69" s="521">
        <v>3</v>
      </c>
      <c r="G69" s="521">
        <v>4</v>
      </c>
      <c r="H69" s="521"/>
      <c r="I69" s="521"/>
      <c r="J69" s="521"/>
      <c r="K69" s="664"/>
      <c r="L69" s="665"/>
      <c r="M69" s="666"/>
      <c r="N69" s="2144"/>
      <c r="O69" s="2144"/>
      <c r="P69" s="2194"/>
      <c r="Q69" s="2138"/>
      <c r="R69" s="2125"/>
      <c r="S69" s="2125"/>
      <c r="T69" s="2125"/>
      <c r="U69" s="2125"/>
      <c r="V69" s="2125"/>
      <c r="W69" s="2125"/>
      <c r="X69" s="2125"/>
      <c r="Y69" s="2125"/>
      <c r="Z69" s="2125"/>
      <c r="AA69" s="2125"/>
      <c r="AB69" s="2125"/>
      <c r="AC69" s="2125"/>
    </row>
    <row r="70" spans="1:29" ht="15.75" thickBot="1">
      <c r="A70" s="649"/>
      <c r="B70" s="650"/>
      <c r="C70" s="659">
        <v>100</v>
      </c>
      <c r="D70" s="659">
        <f t="shared" ref="D70:M70" si="18">C70-$K11</f>
        <v>99</v>
      </c>
      <c r="E70" s="659">
        <f t="shared" si="18"/>
        <v>98</v>
      </c>
      <c r="F70" s="659">
        <f t="shared" si="18"/>
        <v>97</v>
      </c>
      <c r="G70" s="659">
        <f t="shared" si="18"/>
        <v>96</v>
      </c>
      <c r="H70" s="659">
        <f t="shared" si="18"/>
        <v>95</v>
      </c>
      <c r="I70" s="659">
        <f t="shared" si="18"/>
        <v>94</v>
      </c>
      <c r="J70" s="659">
        <f t="shared" si="18"/>
        <v>93</v>
      </c>
      <c r="K70" s="659">
        <f t="shared" si="18"/>
        <v>92</v>
      </c>
      <c r="L70" s="659">
        <f t="shared" si="18"/>
        <v>91</v>
      </c>
      <c r="M70" s="660">
        <f t="shared" si="18"/>
        <v>90</v>
      </c>
      <c r="N70" s="2146"/>
      <c r="O70" s="2146"/>
      <c r="P70" s="2194"/>
      <c r="Q70" s="2138"/>
      <c r="R70" s="2125"/>
      <c r="S70" s="2125"/>
      <c r="T70" s="2125"/>
      <c r="U70" s="2125"/>
      <c r="V70" s="2125"/>
      <c r="W70" s="2125"/>
      <c r="X70" s="2125"/>
      <c r="Y70" s="2125"/>
      <c r="Z70" s="2125"/>
      <c r="AA70" s="2125"/>
      <c r="AB70" s="2125"/>
      <c r="AC70" s="2125"/>
    </row>
    <row r="71" spans="1:29" s="1324" customFormat="1" ht="15.75" thickTop="1">
      <c r="A71" s="667"/>
      <c r="B71" s="653">
        <f>B12</f>
        <v>0</v>
      </c>
      <c r="C71" s="668">
        <v>111</v>
      </c>
      <c r="D71" s="668">
        <v>222</v>
      </c>
      <c r="E71" s="668">
        <v>333</v>
      </c>
      <c r="F71" s="668">
        <v>444</v>
      </c>
      <c r="G71" s="668"/>
      <c r="H71" s="669"/>
      <c r="I71" s="669"/>
      <c r="J71" s="669"/>
      <c r="K71" s="669"/>
      <c r="L71" s="670"/>
      <c r="M71" s="671"/>
      <c r="N71" s="2147"/>
      <c r="O71" s="2147"/>
      <c r="P71" s="2195"/>
      <c r="Q71" s="2149"/>
      <c r="R71" s="2150"/>
      <c r="S71" s="2150"/>
      <c r="T71" s="2150"/>
      <c r="U71" s="2150"/>
      <c r="V71" s="2150"/>
      <c r="W71" s="2150"/>
      <c r="X71" s="2150"/>
      <c r="Y71" s="2150"/>
      <c r="Z71" s="2150"/>
      <c r="AA71" s="2150"/>
      <c r="AB71" s="2150"/>
      <c r="AC71" s="2150"/>
    </row>
    <row r="72" spans="1:29" s="1324" customFormat="1" ht="15.75" thickBot="1">
      <c r="A72" s="667"/>
      <c r="B72" s="658"/>
      <c r="C72" s="672">
        <v>100</v>
      </c>
      <c r="D72" s="651">
        <v>101</v>
      </c>
      <c r="E72" s="651">
        <v>102</v>
      </c>
      <c r="F72" s="651">
        <v>103</v>
      </c>
      <c r="G72" s="651"/>
      <c r="H72" s="651"/>
      <c r="I72" s="651"/>
      <c r="J72" s="651"/>
      <c r="K72" s="651"/>
      <c r="L72" s="651"/>
      <c r="M72" s="652"/>
      <c r="N72" s="2146"/>
      <c r="O72" s="2146"/>
      <c r="P72" s="2195"/>
      <c r="Q72" s="2149"/>
      <c r="R72" s="2150"/>
      <c r="S72" s="2150"/>
      <c r="T72" s="2150"/>
      <c r="U72" s="2150"/>
      <c r="V72" s="2150"/>
      <c r="W72" s="2150"/>
      <c r="X72" s="2150"/>
      <c r="Y72" s="2150"/>
      <c r="Z72" s="2150"/>
      <c r="AA72" s="2150"/>
      <c r="AB72" s="2150"/>
      <c r="AC72" s="2150"/>
    </row>
    <row r="73" spans="1:29" s="1324" customFormat="1" ht="15.75" thickTop="1">
      <c r="A73" s="667"/>
      <c r="B73" s="653">
        <f>B13</f>
        <v>0</v>
      </c>
      <c r="C73" s="668">
        <v>111</v>
      </c>
      <c r="D73" s="668">
        <v>222</v>
      </c>
      <c r="E73" s="668">
        <v>333</v>
      </c>
      <c r="F73" s="668">
        <v>444</v>
      </c>
      <c r="G73" s="668"/>
      <c r="H73" s="669"/>
      <c r="I73" s="669"/>
      <c r="J73" s="669"/>
      <c r="K73" s="669"/>
      <c r="L73" s="670"/>
      <c r="M73" s="671"/>
      <c r="N73" s="2147"/>
      <c r="O73" s="2147"/>
      <c r="P73" s="2196"/>
      <c r="Q73" s="2152"/>
      <c r="R73" s="2150"/>
      <c r="S73" s="2150"/>
      <c r="T73" s="2150"/>
      <c r="U73" s="2150"/>
      <c r="V73" s="2150"/>
      <c r="W73" s="2150"/>
      <c r="X73" s="2150"/>
      <c r="Y73" s="2150"/>
      <c r="Z73" s="2150"/>
      <c r="AA73" s="2150"/>
      <c r="AB73" s="2150"/>
      <c r="AC73" s="2150"/>
    </row>
    <row r="74" spans="1:29" s="1324" customFormat="1" ht="15.75" thickBot="1">
      <c r="A74" s="667"/>
      <c r="B74" s="658"/>
      <c r="C74" s="672">
        <v>100</v>
      </c>
      <c r="D74" s="672">
        <v>101</v>
      </c>
      <c r="E74" s="672">
        <v>102</v>
      </c>
      <c r="F74" s="672">
        <v>103</v>
      </c>
      <c r="G74" s="672"/>
      <c r="H74" s="673"/>
      <c r="I74" s="673"/>
      <c r="J74" s="673"/>
      <c r="K74" s="673"/>
      <c r="L74" s="673"/>
      <c r="M74" s="674"/>
      <c r="N74" s="2147"/>
      <c r="O74" s="2147"/>
      <c r="P74" s="2195"/>
      <c r="Q74" s="2149"/>
      <c r="R74" s="2150"/>
      <c r="S74" s="2150"/>
      <c r="T74" s="2150"/>
      <c r="U74" s="2150"/>
      <c r="V74" s="2150"/>
      <c r="W74" s="2150"/>
      <c r="X74" s="2150"/>
      <c r="Y74" s="2150"/>
      <c r="Z74" s="2150"/>
      <c r="AA74" s="2150"/>
      <c r="AB74" s="2150"/>
      <c r="AC74" s="2150"/>
    </row>
    <row r="75" spans="1:29" s="1324" customFormat="1" ht="15.75" thickTop="1">
      <c r="A75" s="667"/>
      <c r="B75" s="661">
        <f>B14</f>
        <v>0</v>
      </c>
      <c r="C75" s="641">
        <v>111</v>
      </c>
      <c r="D75" s="641">
        <v>222</v>
      </c>
      <c r="E75" s="641">
        <v>333</v>
      </c>
      <c r="F75" s="641">
        <v>444</v>
      </c>
      <c r="G75" s="641"/>
      <c r="H75" s="675"/>
      <c r="I75" s="675"/>
      <c r="J75" s="675"/>
      <c r="K75" s="675"/>
      <c r="L75" s="676"/>
      <c r="M75" s="677"/>
      <c r="N75" s="2147"/>
      <c r="O75" s="2147"/>
      <c r="P75" s="2197"/>
      <c r="Q75" s="2149"/>
      <c r="R75" s="2150"/>
      <c r="S75" s="2150"/>
      <c r="T75" s="2150"/>
      <c r="U75" s="2150"/>
      <c r="V75" s="2150"/>
      <c r="W75" s="2150"/>
      <c r="X75" s="2150"/>
      <c r="Y75" s="2150"/>
      <c r="Z75" s="2150"/>
      <c r="AA75" s="2150"/>
      <c r="AB75" s="2150"/>
      <c r="AC75" s="2150"/>
    </row>
    <row r="76" spans="1:29" s="1324" customFormat="1" ht="15.75" thickBot="1">
      <c r="A76" s="678"/>
      <c r="B76" s="679"/>
      <c r="C76" s="680">
        <v>100</v>
      </c>
      <c r="D76" s="680">
        <v>98</v>
      </c>
      <c r="E76" s="680">
        <v>96</v>
      </c>
      <c r="F76" s="680">
        <v>94</v>
      </c>
      <c r="G76" s="680"/>
      <c r="H76" s="681"/>
      <c r="I76" s="681"/>
      <c r="J76" s="681"/>
      <c r="K76" s="681"/>
      <c r="L76" s="681"/>
      <c r="M76" s="682"/>
      <c r="N76" s="2147"/>
      <c r="O76" s="2147"/>
      <c r="P76" s="2195"/>
      <c r="Q76" s="2149"/>
      <c r="R76" s="2150"/>
      <c r="S76" s="2150"/>
      <c r="T76" s="2150"/>
      <c r="U76" s="2150"/>
      <c r="V76" s="2150"/>
      <c r="W76" s="2150"/>
      <c r="X76" s="2150"/>
      <c r="Y76" s="2150"/>
      <c r="Z76" s="2150"/>
      <c r="AA76" s="2150"/>
      <c r="AB76" s="2150"/>
      <c r="AC76" s="2150"/>
    </row>
    <row r="77" spans="1:29">
      <c r="A77" s="644" t="s">
        <v>528</v>
      </c>
      <c r="B77" s="645" t="s">
        <v>582</v>
      </c>
      <c r="C77" s="683" t="s">
        <v>576</v>
      </c>
      <c r="D77" s="683" t="s">
        <v>577</v>
      </c>
      <c r="E77" s="683" t="s">
        <v>578</v>
      </c>
      <c r="F77" s="683" t="s">
        <v>579</v>
      </c>
      <c r="G77" s="683" t="s">
        <v>580</v>
      </c>
      <c r="H77" s="684"/>
      <c r="I77" s="684"/>
      <c r="J77" s="684"/>
      <c r="K77" s="685"/>
      <c r="L77" s="686"/>
      <c r="M77" s="687"/>
      <c r="N77" s="2144"/>
      <c r="O77" s="2144"/>
      <c r="P77" s="2198"/>
      <c r="Q77" s="2138"/>
      <c r="R77" s="2125"/>
      <c r="S77" s="2125"/>
      <c r="T77" s="2125"/>
      <c r="U77" s="2125"/>
      <c r="V77" s="2125"/>
      <c r="W77" s="2125"/>
      <c r="X77" s="2125"/>
      <c r="Y77" s="2125"/>
      <c r="Z77" s="2125"/>
      <c r="AA77" s="2125"/>
      <c r="AB77" s="2125"/>
      <c r="AC77" s="2125"/>
    </row>
    <row r="78" spans="1:29" ht="15.75" thickBot="1">
      <c r="A78" s="649"/>
      <c r="B78" s="658"/>
      <c r="C78" s="659">
        <v>100</v>
      </c>
      <c r="D78" s="659">
        <f>C78-$K15</f>
        <v>95</v>
      </c>
      <c r="E78" s="659">
        <f>D78-$K15</f>
        <v>90</v>
      </c>
      <c r="F78" s="659">
        <f>E78-$K15</f>
        <v>85</v>
      </c>
      <c r="G78" s="659">
        <f>F78-$K15</f>
        <v>80</v>
      </c>
      <c r="H78" s="659"/>
      <c r="I78" s="659"/>
      <c r="J78" s="659"/>
      <c r="K78" s="659"/>
      <c r="L78" s="659"/>
      <c r="M78" s="660"/>
      <c r="N78" s="2146"/>
      <c r="O78" s="2146"/>
      <c r="P78" s="2194"/>
      <c r="Q78" s="2138"/>
      <c r="R78" s="2125"/>
      <c r="S78" s="2125"/>
      <c r="T78" s="2125"/>
      <c r="U78" s="2125"/>
      <c r="V78" s="2125"/>
      <c r="W78" s="2125"/>
      <c r="X78" s="2125"/>
      <c r="Y78" s="2125"/>
      <c r="Z78" s="2125"/>
      <c r="AA78" s="2125"/>
      <c r="AB78" s="2125"/>
      <c r="AC78" s="2125"/>
    </row>
    <row r="79" spans="1:29" ht="15.75" thickTop="1">
      <c r="A79" s="649"/>
      <c r="B79" s="653" t="s">
        <v>583</v>
      </c>
      <c r="C79" s="688" t="s">
        <v>576</v>
      </c>
      <c r="D79" s="688" t="s">
        <v>577</v>
      </c>
      <c r="E79" s="688" t="s">
        <v>578</v>
      </c>
      <c r="F79" s="688" t="s">
        <v>579</v>
      </c>
      <c r="G79" s="688" t="s">
        <v>580</v>
      </c>
      <c r="H79" s="654"/>
      <c r="I79" s="654"/>
      <c r="J79" s="654"/>
      <c r="K79" s="655"/>
      <c r="L79" s="656"/>
      <c r="M79" s="657"/>
      <c r="N79" s="2144"/>
      <c r="O79" s="2144"/>
      <c r="P79" s="2194"/>
      <c r="Q79" s="2138"/>
      <c r="R79" s="2125"/>
      <c r="S79" s="2125"/>
      <c r="T79" s="2125"/>
      <c r="U79" s="2125"/>
      <c r="V79" s="2125"/>
      <c r="W79" s="2125"/>
      <c r="X79" s="2125"/>
      <c r="Y79" s="2125"/>
      <c r="Z79" s="2125"/>
      <c r="AA79" s="2125"/>
      <c r="AB79" s="2125"/>
      <c r="AC79" s="2125"/>
    </row>
    <row r="80" spans="1:29" ht="15.75" thickBot="1">
      <c r="A80" s="649"/>
      <c r="B80" s="658"/>
      <c r="C80" s="659">
        <v>100</v>
      </c>
      <c r="D80" s="659">
        <f>C80-$K17</f>
        <v>98</v>
      </c>
      <c r="E80" s="659">
        <f>D80-$K17</f>
        <v>96</v>
      </c>
      <c r="F80" s="659">
        <f>E80-$K17</f>
        <v>94</v>
      </c>
      <c r="G80" s="659">
        <f>F80-$K17</f>
        <v>92</v>
      </c>
      <c r="H80" s="659"/>
      <c r="I80" s="659"/>
      <c r="J80" s="659"/>
      <c r="K80" s="659"/>
      <c r="L80" s="659"/>
      <c r="M80" s="660"/>
      <c r="N80" s="2146"/>
      <c r="O80" s="2146"/>
      <c r="P80" s="2194"/>
      <c r="Q80" s="2138"/>
      <c r="R80" s="2125"/>
      <c r="S80" s="2125"/>
      <c r="T80" s="2125"/>
      <c r="U80" s="2125"/>
      <c r="V80" s="2125"/>
      <c r="W80" s="2125"/>
      <c r="X80" s="2125"/>
      <c r="Y80" s="2125"/>
      <c r="Z80" s="2125"/>
      <c r="AA80" s="2125"/>
      <c r="AB80" s="2125"/>
      <c r="AC80" s="2125"/>
    </row>
    <row r="81" spans="1:29" ht="15.75" thickTop="1">
      <c r="A81" s="649"/>
      <c r="B81" s="1871" t="s">
        <v>2826</v>
      </c>
      <c r="C81" s="688" t="s">
        <v>576</v>
      </c>
      <c r="D81" s="688" t="s">
        <v>577</v>
      </c>
      <c r="E81" s="688" t="s">
        <v>578</v>
      </c>
      <c r="F81" s="688" t="s">
        <v>579</v>
      </c>
      <c r="G81" s="688" t="s">
        <v>580</v>
      </c>
      <c r="H81" s="654"/>
      <c r="I81" s="654"/>
      <c r="J81" s="654"/>
      <c r="K81" s="655"/>
      <c r="L81" s="656"/>
      <c r="M81" s="657"/>
      <c r="N81" s="2144"/>
      <c r="O81" s="2144"/>
      <c r="P81" s="2194"/>
      <c r="Q81" s="2138"/>
      <c r="R81" s="2125"/>
      <c r="S81" s="2125"/>
      <c r="T81" s="2125"/>
      <c r="U81" s="2125"/>
      <c r="V81" s="2125"/>
      <c r="W81" s="2125"/>
      <c r="X81" s="2125"/>
      <c r="Y81" s="2125"/>
      <c r="Z81" s="2125"/>
      <c r="AA81" s="2125"/>
      <c r="AB81" s="2125"/>
      <c r="AC81" s="2125"/>
    </row>
    <row r="82" spans="1:29" ht="15.75" thickBot="1">
      <c r="A82" s="649"/>
      <c r="B82" s="658"/>
      <c r="C82" s="659">
        <v>100</v>
      </c>
      <c r="D82" s="659">
        <f>C82-$K19</f>
        <v>98</v>
      </c>
      <c r="E82" s="659">
        <f>D82-$K19</f>
        <v>96</v>
      </c>
      <c r="F82" s="659">
        <f>E82-$K19</f>
        <v>94</v>
      </c>
      <c r="G82" s="659">
        <f>F82-$K19</f>
        <v>92</v>
      </c>
      <c r="H82" s="659"/>
      <c r="I82" s="659"/>
      <c r="J82" s="659"/>
      <c r="K82" s="659"/>
      <c r="L82" s="659"/>
      <c r="M82" s="660"/>
      <c r="N82" s="2146"/>
      <c r="O82" s="2146"/>
      <c r="P82" s="2194"/>
      <c r="Q82" s="2138"/>
      <c r="R82" s="2125"/>
      <c r="S82" s="2125"/>
      <c r="T82" s="2125"/>
      <c r="U82" s="2125"/>
      <c r="V82" s="2125"/>
      <c r="W82" s="2125"/>
      <c r="X82" s="2125"/>
      <c r="Y82" s="2125"/>
      <c r="Z82" s="2125"/>
      <c r="AA82" s="2125"/>
      <c r="AB82" s="2125"/>
      <c r="AC82" s="2125"/>
    </row>
    <row r="83" spans="1:29" ht="15.75" thickTop="1">
      <c r="A83" s="649"/>
      <c r="B83" s="2610" t="s">
        <v>2827</v>
      </c>
      <c r="C83" s="2611" t="s">
        <v>2828</v>
      </c>
      <c r="D83" s="2611" t="s">
        <v>2829</v>
      </c>
      <c r="E83" s="2611" t="s">
        <v>2830</v>
      </c>
      <c r="F83" s="2611" t="s">
        <v>2831</v>
      </c>
      <c r="G83" s="2611" t="s">
        <v>2832</v>
      </c>
      <c r="H83" s="654"/>
      <c r="I83" s="654"/>
      <c r="J83" s="654"/>
      <c r="K83" s="654"/>
      <c r="L83" s="654"/>
      <c r="M83" s="2614"/>
      <c r="N83" s="2146"/>
      <c r="O83" s="2146"/>
      <c r="P83" s="2194"/>
      <c r="Q83" s="2138"/>
      <c r="R83" s="2125"/>
      <c r="S83" s="2125"/>
      <c r="T83" s="2125"/>
      <c r="U83" s="2125"/>
      <c r="V83" s="2125"/>
      <c r="W83" s="2125"/>
      <c r="X83" s="2125"/>
      <c r="Y83" s="2125"/>
      <c r="Z83" s="2125"/>
      <c r="AA83" s="2125"/>
      <c r="AB83" s="2125"/>
      <c r="AC83" s="2125"/>
    </row>
    <row r="84" spans="1:29" ht="15.75" thickBot="1">
      <c r="A84" s="649"/>
      <c r="B84" s="661"/>
      <c r="C84" s="659">
        <v>100</v>
      </c>
      <c r="D84" s="659">
        <f>C84-$K21</f>
        <v>99</v>
      </c>
      <c r="E84" s="659">
        <f>D84-$K21</f>
        <v>98</v>
      </c>
      <c r="F84" s="659">
        <f>E84-$K21</f>
        <v>97</v>
      </c>
      <c r="G84" s="659">
        <f>F84-$K21</f>
        <v>96</v>
      </c>
      <c r="H84" s="914"/>
      <c r="I84" s="914"/>
      <c r="J84" s="914"/>
      <c r="K84" s="914"/>
      <c r="L84" s="914"/>
      <c r="M84" s="539"/>
      <c r="N84" s="2146"/>
      <c r="O84" s="2146"/>
      <c r="P84" s="2194"/>
      <c r="Q84" s="2138"/>
      <c r="R84" s="2125"/>
      <c r="S84" s="2125"/>
      <c r="T84" s="2125"/>
      <c r="U84" s="2125"/>
      <c r="V84" s="2125"/>
      <c r="W84" s="2125"/>
      <c r="X84" s="2125"/>
      <c r="Y84" s="2125"/>
      <c r="Z84" s="2125"/>
      <c r="AA84" s="2125"/>
      <c r="AB84" s="2125"/>
      <c r="AC84" s="2125"/>
    </row>
    <row r="85" spans="1:29" ht="15.75" thickTop="1">
      <c r="A85" s="649"/>
      <c r="B85" s="653" t="s">
        <v>918</v>
      </c>
      <c r="C85" s="688" t="s">
        <v>576</v>
      </c>
      <c r="D85" s="688" t="s">
        <v>577</v>
      </c>
      <c r="E85" s="688" t="s">
        <v>578</v>
      </c>
      <c r="F85" s="688" t="s">
        <v>579</v>
      </c>
      <c r="G85" s="688" t="s">
        <v>580</v>
      </c>
      <c r="H85" s="654"/>
      <c r="I85" s="654"/>
      <c r="J85" s="654"/>
      <c r="K85" s="655"/>
      <c r="L85" s="656"/>
      <c r="M85" s="657"/>
      <c r="N85" s="2144"/>
      <c r="O85" s="2144"/>
      <c r="P85" s="2194"/>
      <c r="Q85" s="2138"/>
      <c r="R85" s="2125"/>
      <c r="S85" s="2125"/>
      <c r="T85" s="2125"/>
      <c r="U85" s="2125"/>
      <c r="V85" s="2125"/>
      <c r="W85" s="2125"/>
      <c r="X85" s="2125"/>
      <c r="Y85" s="2125"/>
      <c r="Z85" s="2125"/>
      <c r="AA85" s="2125"/>
      <c r="AB85" s="2125"/>
      <c r="AC85" s="2125"/>
    </row>
    <row r="86" spans="1:29" ht="15.75" thickBot="1">
      <c r="A86" s="649"/>
      <c r="B86" s="658"/>
      <c r="C86" s="659">
        <v>100</v>
      </c>
      <c r="D86" s="659">
        <f>C86-$K23</f>
        <v>98</v>
      </c>
      <c r="E86" s="659">
        <f>D86-$K23</f>
        <v>96</v>
      </c>
      <c r="F86" s="659">
        <f>E86-$K23</f>
        <v>94</v>
      </c>
      <c r="G86" s="659">
        <f>F86-$K23</f>
        <v>92</v>
      </c>
      <c r="H86" s="659"/>
      <c r="I86" s="659"/>
      <c r="J86" s="659"/>
      <c r="K86" s="659"/>
      <c r="L86" s="659"/>
      <c r="M86" s="660"/>
      <c r="N86" s="2146"/>
      <c r="O86" s="2146"/>
      <c r="P86" s="2194"/>
      <c r="Q86" s="2138"/>
      <c r="R86" s="2125"/>
      <c r="S86" s="2125"/>
      <c r="T86" s="2125"/>
      <c r="U86" s="2125"/>
      <c r="V86" s="2125"/>
      <c r="W86" s="2125"/>
      <c r="X86" s="2125"/>
      <c r="Y86" s="2125"/>
      <c r="Z86" s="2125"/>
      <c r="AA86" s="2125"/>
      <c r="AB86" s="2125"/>
      <c r="AC86" s="2125"/>
    </row>
    <row r="87" spans="1:29" s="1199" customFormat="1" ht="27.75" thickTop="1">
      <c r="A87" s="689"/>
      <c r="B87" s="653" t="s">
        <v>919</v>
      </c>
      <c r="C87" s="668" t="s">
        <v>590</v>
      </c>
      <c r="D87" s="668" t="s">
        <v>591</v>
      </c>
      <c r="E87" s="668" t="s">
        <v>592</v>
      </c>
      <c r="F87" s="668" t="s">
        <v>593</v>
      </c>
      <c r="G87" s="668" t="s">
        <v>594</v>
      </c>
      <c r="H87" s="668"/>
      <c r="I87" s="668"/>
      <c r="J87" s="668"/>
      <c r="K87" s="668"/>
      <c r="L87" s="870"/>
      <c r="M87" s="871"/>
      <c r="N87" s="2142"/>
      <c r="O87" s="2142"/>
      <c r="P87" s="2194"/>
      <c r="Q87" s="2138"/>
      <c r="R87" s="1969"/>
      <c r="S87" s="1969"/>
      <c r="T87" s="1969"/>
      <c r="U87" s="1969"/>
      <c r="V87" s="1969"/>
      <c r="W87" s="1969"/>
      <c r="X87" s="1969"/>
      <c r="Y87" s="1969"/>
      <c r="Z87" s="1969"/>
      <c r="AA87" s="1969"/>
      <c r="AB87" s="1969"/>
      <c r="AC87" s="1969"/>
    </row>
    <row r="88" spans="1:29" s="1199" customFormat="1" ht="15.75" thickBot="1">
      <c r="A88" s="689"/>
      <c r="B88" s="658"/>
      <c r="C88" s="692">
        <v>100</v>
      </c>
      <c r="D88" s="659">
        <f t="shared" ref="D88:M88" si="19">C88-$K25</f>
        <v>98.5</v>
      </c>
      <c r="E88" s="659">
        <f t="shared" si="19"/>
        <v>97</v>
      </c>
      <c r="F88" s="659">
        <f t="shared" si="19"/>
        <v>95.5</v>
      </c>
      <c r="G88" s="659">
        <f t="shared" si="19"/>
        <v>94</v>
      </c>
      <c r="H88" s="659">
        <f t="shared" si="19"/>
        <v>92.5</v>
      </c>
      <c r="I88" s="659">
        <f t="shared" si="19"/>
        <v>91</v>
      </c>
      <c r="J88" s="659">
        <f t="shared" si="19"/>
        <v>89.5</v>
      </c>
      <c r="K88" s="659">
        <f t="shared" si="19"/>
        <v>88</v>
      </c>
      <c r="L88" s="659">
        <f t="shared" si="19"/>
        <v>86.5</v>
      </c>
      <c r="M88" s="659">
        <f t="shared" si="19"/>
        <v>85</v>
      </c>
      <c r="N88" s="2146"/>
      <c r="O88" s="2146"/>
      <c r="P88" s="2194"/>
      <c r="Q88" s="2138"/>
      <c r="R88" s="1969"/>
      <c r="S88" s="1969"/>
      <c r="T88" s="1969"/>
      <c r="U88" s="1969"/>
      <c r="V88" s="1969"/>
      <c r="W88" s="1969"/>
      <c r="X88" s="1969"/>
      <c r="Y88" s="1969"/>
      <c r="Z88" s="1969"/>
      <c r="AA88" s="1969"/>
      <c r="AB88" s="1969"/>
      <c r="AC88" s="1969"/>
    </row>
    <row r="89" spans="1:29" s="1199" customFormat="1" ht="15.75" thickTop="1">
      <c r="A89" s="689"/>
      <c r="B89" s="653" t="str">
        <f>B27</f>
        <v>楼层</v>
      </c>
      <c r="C89" s="668" t="s">
        <v>920</v>
      </c>
      <c r="D89" s="668" t="s">
        <v>921</v>
      </c>
      <c r="E89" s="668" t="s">
        <v>922</v>
      </c>
      <c r="F89" s="872"/>
      <c r="G89" s="668"/>
      <c r="H89" s="668"/>
      <c r="I89" s="668"/>
      <c r="J89" s="668"/>
      <c r="K89" s="668"/>
      <c r="L89" s="668"/>
      <c r="M89" s="871"/>
      <c r="N89" s="2142"/>
      <c r="O89" s="2142"/>
      <c r="P89" s="2194"/>
      <c r="Q89" s="2138"/>
      <c r="R89" s="1969"/>
      <c r="S89" s="1969"/>
      <c r="T89" s="1969"/>
      <c r="U89" s="1969"/>
      <c r="V89" s="1969"/>
      <c r="W89" s="1969"/>
      <c r="X89" s="1969"/>
      <c r="Y89" s="1969"/>
      <c r="Z89" s="1969"/>
      <c r="AA89" s="1969"/>
      <c r="AB89" s="1969"/>
      <c r="AC89" s="1969"/>
    </row>
    <row r="90" spans="1:29" s="1199" customFormat="1" ht="15.75" thickBot="1">
      <c r="A90" s="689"/>
      <c r="B90" s="658"/>
      <c r="C90" s="692">
        <v>100</v>
      </c>
      <c r="D90" s="659">
        <f>C90-$K27</f>
        <v>100</v>
      </c>
      <c r="E90" s="659">
        <f t="shared" ref="E90:M90" si="20">D90-$K27</f>
        <v>100</v>
      </c>
      <c r="F90" s="659">
        <f t="shared" si="20"/>
        <v>100</v>
      </c>
      <c r="G90" s="659">
        <f t="shared" si="20"/>
        <v>100</v>
      </c>
      <c r="H90" s="659">
        <f t="shared" si="20"/>
        <v>100</v>
      </c>
      <c r="I90" s="659">
        <f t="shared" si="20"/>
        <v>100</v>
      </c>
      <c r="J90" s="659">
        <f t="shared" si="20"/>
        <v>100</v>
      </c>
      <c r="K90" s="659">
        <f t="shared" si="20"/>
        <v>100</v>
      </c>
      <c r="L90" s="659">
        <f t="shared" si="20"/>
        <v>100</v>
      </c>
      <c r="M90" s="659">
        <f t="shared" si="20"/>
        <v>100</v>
      </c>
      <c r="N90" s="2146"/>
      <c r="O90" s="2146"/>
      <c r="P90" s="2194"/>
      <c r="Q90" s="2138"/>
      <c r="R90" s="1969"/>
      <c r="S90" s="1969"/>
      <c r="T90" s="1969"/>
      <c r="U90" s="1969"/>
      <c r="V90" s="1969"/>
      <c r="W90" s="1969"/>
      <c r="X90" s="1969"/>
      <c r="Y90" s="1969"/>
      <c r="Z90" s="1969"/>
      <c r="AA90" s="1969"/>
      <c r="AB90" s="1969"/>
      <c r="AC90" s="1969"/>
    </row>
    <row r="91" spans="1:29" s="1324" customFormat="1" ht="15.75" thickTop="1">
      <c r="A91" s="667"/>
      <c r="B91" s="653" t="str">
        <f>B28</f>
        <v>朝向</v>
      </c>
      <c r="C91" s="668" t="s">
        <v>923</v>
      </c>
      <c r="D91" s="668" t="s">
        <v>924</v>
      </c>
      <c r="E91" s="668" t="s">
        <v>925</v>
      </c>
      <c r="F91" s="668" t="s">
        <v>926</v>
      </c>
      <c r="G91" s="668"/>
      <c r="H91" s="669"/>
      <c r="I91" s="669"/>
      <c r="J91" s="669"/>
      <c r="K91" s="669"/>
      <c r="L91" s="670"/>
      <c r="M91" s="671"/>
      <c r="N91" s="2147"/>
      <c r="O91" s="2147"/>
      <c r="P91" s="2195"/>
      <c r="Q91" s="2149"/>
      <c r="R91" s="2150"/>
      <c r="S91" s="2150"/>
      <c r="T91" s="2150"/>
      <c r="U91" s="2150"/>
      <c r="V91" s="2150"/>
      <c r="W91" s="2150"/>
      <c r="X91" s="2150"/>
      <c r="Y91" s="2150"/>
      <c r="Z91" s="2150"/>
      <c r="AA91" s="2150"/>
      <c r="AB91" s="2150"/>
      <c r="AC91" s="2150"/>
    </row>
    <row r="92" spans="1:29" s="1324" customFormat="1" ht="15.75" thickBot="1">
      <c r="A92" s="667"/>
      <c r="B92" s="658"/>
      <c r="C92" s="692">
        <v>100</v>
      </c>
      <c r="D92" s="659">
        <f t="shared" ref="D92:M92" si="21">C92-$K28</f>
        <v>100</v>
      </c>
      <c r="E92" s="659">
        <f t="shared" si="21"/>
        <v>100</v>
      </c>
      <c r="F92" s="659">
        <f t="shared" si="21"/>
        <v>100</v>
      </c>
      <c r="G92" s="659">
        <f t="shared" si="21"/>
        <v>100</v>
      </c>
      <c r="H92" s="659">
        <f t="shared" si="21"/>
        <v>100</v>
      </c>
      <c r="I92" s="659">
        <f t="shared" si="21"/>
        <v>100</v>
      </c>
      <c r="J92" s="659">
        <f t="shared" si="21"/>
        <v>100</v>
      </c>
      <c r="K92" s="659">
        <f t="shared" si="21"/>
        <v>100</v>
      </c>
      <c r="L92" s="659">
        <f t="shared" si="21"/>
        <v>100</v>
      </c>
      <c r="M92" s="659">
        <f t="shared" si="21"/>
        <v>100</v>
      </c>
      <c r="N92" s="2147"/>
      <c r="O92" s="2147"/>
      <c r="P92" s="2195"/>
      <c r="Q92" s="2149"/>
      <c r="R92" s="2150"/>
      <c r="S92" s="2150"/>
      <c r="T92" s="2150"/>
      <c r="U92" s="2150"/>
      <c r="V92" s="2150"/>
      <c r="W92" s="2150"/>
      <c r="X92" s="2150"/>
      <c r="Y92" s="2150"/>
      <c r="Z92" s="2150"/>
      <c r="AA92" s="2150"/>
      <c r="AB92" s="2150"/>
      <c r="AC92" s="2150"/>
    </row>
    <row r="93" spans="1:29" ht="15.75" thickTop="1">
      <c r="A93" s="649"/>
      <c r="B93" s="653">
        <f>B29</f>
        <v>0</v>
      </c>
      <c r="C93" s="668">
        <v>111</v>
      </c>
      <c r="D93" s="668">
        <v>222</v>
      </c>
      <c r="E93" s="668">
        <v>333</v>
      </c>
      <c r="F93" s="668">
        <v>444</v>
      </c>
      <c r="G93" s="668"/>
      <c r="H93" s="668"/>
      <c r="I93" s="668"/>
      <c r="J93" s="668"/>
      <c r="K93" s="668"/>
      <c r="L93" s="870"/>
      <c r="M93" s="871"/>
      <c r="N93" s="2144"/>
      <c r="O93" s="2144"/>
      <c r="P93" s="2194"/>
      <c r="Q93" s="2138"/>
      <c r="R93" s="2125"/>
      <c r="S93" s="2125"/>
      <c r="T93" s="2125"/>
      <c r="U93" s="2125"/>
      <c r="V93" s="2125"/>
      <c r="W93" s="2125"/>
      <c r="X93" s="2125"/>
      <c r="Y93" s="2125"/>
      <c r="Z93" s="2125"/>
      <c r="AA93" s="2125"/>
      <c r="AB93" s="2125"/>
      <c r="AC93" s="2125"/>
    </row>
    <row r="94" spans="1:29" ht="15.75" thickBot="1">
      <c r="A94" s="649"/>
      <c r="B94" s="658"/>
      <c r="C94" s="672">
        <v>100</v>
      </c>
      <c r="D94" s="651">
        <v>101</v>
      </c>
      <c r="E94" s="651">
        <v>102</v>
      </c>
      <c r="F94" s="651">
        <v>103</v>
      </c>
      <c r="G94" s="651"/>
      <c r="H94" s="651"/>
      <c r="I94" s="651"/>
      <c r="J94" s="651"/>
      <c r="K94" s="651"/>
      <c r="L94" s="651"/>
      <c r="M94" s="652"/>
      <c r="N94" s="2146"/>
      <c r="O94" s="2146"/>
      <c r="P94" s="2194"/>
      <c r="Q94" s="2138"/>
      <c r="R94" s="2125"/>
      <c r="S94" s="2125"/>
      <c r="T94" s="2125"/>
      <c r="U94" s="2125"/>
      <c r="V94" s="2125"/>
      <c r="W94" s="2125"/>
      <c r="X94" s="2125"/>
      <c r="Y94" s="2125"/>
      <c r="Z94" s="2125"/>
      <c r="AA94" s="2125"/>
      <c r="AB94" s="2125"/>
      <c r="AC94" s="2125"/>
    </row>
    <row r="95" spans="1:29" ht="15.75" thickTop="1">
      <c r="A95" s="649"/>
      <c r="B95" s="653">
        <f>B30</f>
        <v>0</v>
      </c>
      <c r="C95" s="668">
        <v>111</v>
      </c>
      <c r="D95" s="668">
        <v>222</v>
      </c>
      <c r="E95" s="668">
        <v>333</v>
      </c>
      <c r="F95" s="668">
        <v>444</v>
      </c>
      <c r="G95" s="698"/>
      <c r="H95" s="698"/>
      <c r="I95" s="698"/>
      <c r="J95" s="698"/>
      <c r="K95" s="699"/>
      <c r="L95" s="700"/>
      <c r="M95" s="701"/>
      <c r="N95" s="2144"/>
      <c r="O95" s="2144"/>
      <c r="P95" s="2194"/>
      <c r="Q95" s="2138"/>
      <c r="R95" s="2125"/>
      <c r="S95" s="2125"/>
      <c r="T95" s="2125"/>
      <c r="U95" s="2125"/>
      <c r="V95" s="2125"/>
      <c r="W95" s="2125"/>
      <c r="X95" s="2125"/>
      <c r="Y95" s="2125"/>
      <c r="Z95" s="2125"/>
      <c r="AA95" s="2125"/>
      <c r="AB95" s="2125"/>
      <c r="AC95" s="2125"/>
    </row>
    <row r="96" spans="1:29" ht="15.75" thickBot="1">
      <c r="A96" s="649"/>
      <c r="B96" s="658"/>
      <c r="C96" s="672">
        <v>100</v>
      </c>
      <c r="D96" s="672">
        <v>101</v>
      </c>
      <c r="E96" s="672">
        <v>102</v>
      </c>
      <c r="F96" s="672">
        <v>103</v>
      </c>
      <c r="G96" s="651"/>
      <c r="H96" s="651"/>
      <c r="I96" s="651"/>
      <c r="J96" s="651"/>
      <c r="K96" s="651"/>
      <c r="L96" s="651"/>
      <c r="M96" s="652"/>
      <c r="N96" s="2146"/>
      <c r="O96" s="2146"/>
      <c r="P96" s="2194"/>
      <c r="Q96" s="2138"/>
      <c r="R96" s="2125"/>
      <c r="S96" s="2125"/>
      <c r="T96" s="2125"/>
      <c r="U96" s="2125"/>
      <c r="V96" s="2125"/>
      <c r="W96" s="2125"/>
      <c r="X96" s="2125"/>
      <c r="Y96" s="2125"/>
      <c r="Z96" s="2125"/>
      <c r="AA96" s="2125"/>
      <c r="AB96" s="2125"/>
      <c r="AC96" s="2125"/>
    </row>
    <row r="97" spans="1:29" ht="15.75" thickTop="1">
      <c r="A97" s="649"/>
      <c r="B97" s="653">
        <f>B31</f>
        <v>0</v>
      </c>
      <c r="C97" s="668">
        <v>111</v>
      </c>
      <c r="D97" s="668">
        <v>222</v>
      </c>
      <c r="E97" s="668">
        <v>333</v>
      </c>
      <c r="F97" s="668">
        <v>444</v>
      </c>
      <c r="G97" s="698"/>
      <c r="H97" s="698"/>
      <c r="I97" s="698"/>
      <c r="J97" s="698"/>
      <c r="K97" s="699"/>
      <c r="L97" s="700"/>
      <c r="M97" s="701"/>
      <c r="N97" s="2144"/>
      <c r="O97" s="2144"/>
      <c r="P97" s="2194"/>
      <c r="Q97" s="2138"/>
      <c r="R97" s="2125"/>
      <c r="S97" s="2125"/>
      <c r="T97" s="2125"/>
      <c r="U97" s="2125"/>
      <c r="V97" s="2125"/>
      <c r="W97" s="2125"/>
      <c r="X97" s="2125"/>
      <c r="Y97" s="2125"/>
      <c r="Z97" s="2125"/>
      <c r="AA97" s="2125"/>
      <c r="AB97" s="2125"/>
      <c r="AC97" s="2125"/>
    </row>
    <row r="98" spans="1:29" ht="15.75" thickBot="1">
      <c r="A98" s="649"/>
      <c r="B98" s="658"/>
      <c r="C98" s="672">
        <v>100</v>
      </c>
      <c r="D98" s="651">
        <v>101</v>
      </c>
      <c r="E98" s="651">
        <v>102</v>
      </c>
      <c r="F98" s="651">
        <v>103</v>
      </c>
      <c r="G98" s="651"/>
      <c r="H98" s="651"/>
      <c r="I98" s="651"/>
      <c r="J98" s="651"/>
      <c r="K98" s="651"/>
      <c r="L98" s="651"/>
      <c r="M98" s="652"/>
      <c r="N98" s="2146"/>
      <c r="O98" s="2146"/>
      <c r="P98" s="2194"/>
      <c r="Q98" s="2138"/>
      <c r="R98" s="2125"/>
      <c r="S98" s="2125"/>
      <c r="T98" s="2125"/>
      <c r="U98" s="2125"/>
      <c r="V98" s="2125"/>
      <c r="W98" s="2125"/>
      <c r="X98" s="2125"/>
      <c r="Y98" s="2125"/>
      <c r="Z98" s="2125"/>
      <c r="AA98" s="2125"/>
      <c r="AB98" s="2125"/>
      <c r="AC98" s="2125"/>
    </row>
    <row r="99" spans="1:29" ht="15.75" thickTop="1">
      <c r="A99" s="649"/>
      <c r="B99" s="661">
        <f>B32</f>
        <v>0</v>
      </c>
      <c r="C99" s="641">
        <v>111</v>
      </c>
      <c r="D99" s="641">
        <v>222</v>
      </c>
      <c r="E99" s="641">
        <v>333</v>
      </c>
      <c r="F99" s="641">
        <v>444</v>
      </c>
      <c r="G99" s="702"/>
      <c r="H99" s="702"/>
      <c r="I99" s="702"/>
      <c r="J99" s="702"/>
      <c r="K99" s="703"/>
      <c r="L99" s="704"/>
      <c r="M99" s="705"/>
      <c r="N99" s="2144"/>
      <c r="O99" s="2144"/>
      <c r="P99" s="2194"/>
      <c r="Q99" s="2138"/>
      <c r="R99" s="2125"/>
      <c r="S99" s="2125"/>
      <c r="T99" s="2125"/>
      <c r="U99" s="2125"/>
      <c r="V99" s="2125"/>
      <c r="W99" s="2125"/>
      <c r="X99" s="2125"/>
      <c r="Y99" s="2125"/>
      <c r="Z99" s="2125"/>
      <c r="AA99" s="2125"/>
      <c r="AB99" s="2125"/>
      <c r="AC99" s="2125"/>
    </row>
    <row r="100" spans="1:29" ht="15.75" thickBot="1">
      <c r="A100" s="873"/>
      <c r="B100" s="679"/>
      <c r="C100" s="680">
        <v>100</v>
      </c>
      <c r="D100" s="680">
        <v>98</v>
      </c>
      <c r="E100" s="680">
        <v>96</v>
      </c>
      <c r="F100" s="680">
        <v>94</v>
      </c>
      <c r="G100" s="706"/>
      <c r="H100" s="706"/>
      <c r="I100" s="706"/>
      <c r="J100" s="706"/>
      <c r="K100" s="706"/>
      <c r="L100" s="706"/>
      <c r="M100" s="707"/>
      <c r="N100" s="2146"/>
      <c r="O100" s="2146"/>
      <c r="P100" s="2194"/>
      <c r="Q100" s="2138"/>
      <c r="R100" s="2125"/>
      <c r="S100" s="2125"/>
      <c r="T100" s="2125"/>
      <c r="U100" s="2125"/>
      <c r="V100" s="2125"/>
      <c r="W100" s="2125"/>
      <c r="X100" s="2125"/>
      <c r="Y100" s="2125"/>
      <c r="Z100" s="2125"/>
      <c r="AA100" s="2125"/>
      <c r="AB100" s="2125"/>
      <c r="AC100" s="2125"/>
    </row>
    <row r="101" spans="1:29">
      <c r="A101" s="644" t="s">
        <v>544</v>
      </c>
      <c r="B101" s="645" t="s">
        <v>815</v>
      </c>
      <c r="C101" s="578" t="s">
        <v>927</v>
      </c>
      <c r="D101" s="578" t="s">
        <v>928</v>
      </c>
      <c r="E101" s="578" t="s">
        <v>929</v>
      </c>
      <c r="F101" s="578" t="s">
        <v>930</v>
      </c>
      <c r="G101" s="578" t="s">
        <v>931</v>
      </c>
      <c r="H101" s="578" t="s">
        <v>932</v>
      </c>
      <c r="I101" s="578"/>
      <c r="J101" s="578"/>
      <c r="K101" s="646"/>
      <c r="L101" s="647"/>
      <c r="M101" s="648"/>
      <c r="N101" s="2144"/>
      <c r="O101" s="2144"/>
      <c r="P101" s="2194"/>
      <c r="Q101" s="2138"/>
      <c r="R101" s="2125"/>
      <c r="S101" s="2125"/>
      <c r="T101" s="2125"/>
      <c r="U101" s="2125"/>
      <c r="V101" s="2125"/>
      <c r="W101" s="2125"/>
      <c r="X101" s="2125"/>
      <c r="Y101" s="2125"/>
      <c r="Z101" s="2125"/>
      <c r="AA101" s="2125"/>
      <c r="AB101" s="2125"/>
      <c r="AC101" s="2125"/>
    </row>
    <row r="102" spans="1:29" ht="15.75" thickBot="1">
      <c r="A102" s="649"/>
      <c r="B102" s="658"/>
      <c r="C102" s="659">
        <v>100</v>
      </c>
      <c r="D102" s="659">
        <f t="shared" ref="D102:M102" si="22">C102-$K33</f>
        <v>95</v>
      </c>
      <c r="E102" s="659">
        <f t="shared" si="22"/>
        <v>90</v>
      </c>
      <c r="F102" s="659">
        <f t="shared" si="22"/>
        <v>85</v>
      </c>
      <c r="G102" s="659">
        <f t="shared" si="22"/>
        <v>80</v>
      </c>
      <c r="H102" s="659">
        <f t="shared" si="22"/>
        <v>75</v>
      </c>
      <c r="I102" s="659">
        <f t="shared" si="22"/>
        <v>70</v>
      </c>
      <c r="J102" s="659">
        <f t="shared" si="22"/>
        <v>65</v>
      </c>
      <c r="K102" s="659">
        <f t="shared" si="22"/>
        <v>60</v>
      </c>
      <c r="L102" s="659">
        <f t="shared" si="22"/>
        <v>55</v>
      </c>
      <c r="M102" s="660">
        <f t="shared" si="22"/>
        <v>50</v>
      </c>
      <c r="N102" s="2146"/>
      <c r="O102" s="2146"/>
      <c r="P102" s="2194"/>
      <c r="Q102" s="2138"/>
      <c r="R102" s="2125"/>
      <c r="S102" s="2125"/>
      <c r="T102" s="2125"/>
      <c r="U102" s="2125"/>
      <c r="V102" s="2125"/>
      <c r="W102" s="2125"/>
      <c r="X102" s="2125"/>
      <c r="Y102" s="2125"/>
      <c r="Z102" s="2125"/>
      <c r="AA102" s="2125"/>
      <c r="AB102" s="2125"/>
      <c r="AC102" s="2125"/>
    </row>
    <row r="103" spans="1:29" ht="29.25" thickTop="1">
      <c r="A103" s="649"/>
      <c r="B103" s="653" t="s">
        <v>818</v>
      </c>
      <c r="C103" s="688" t="str">
        <f>C104&amp;"(含)"&amp;"-"&amp;D104</f>
        <v>0(含)-100000</v>
      </c>
      <c r="D103" s="688" t="str">
        <f t="shared" ref="D103:L103" si="23">D104&amp;"(含)"&amp;"-"&amp;E104</f>
        <v>100000(含)-200000</v>
      </c>
      <c r="E103" s="688" t="str">
        <f t="shared" si="23"/>
        <v>200000(含)-300000</v>
      </c>
      <c r="F103" s="688" t="str">
        <f t="shared" si="23"/>
        <v>300000(含)-400000</v>
      </c>
      <c r="G103" s="688" t="str">
        <f t="shared" si="23"/>
        <v>400000(含)-500000</v>
      </c>
      <c r="H103" s="688" t="str">
        <f t="shared" si="23"/>
        <v>500000(含)-600000</v>
      </c>
      <c r="I103" s="688" t="str">
        <f t="shared" si="23"/>
        <v>600000(含)-</v>
      </c>
      <c r="J103" s="688" t="str">
        <f t="shared" si="23"/>
        <v>(含)-</v>
      </c>
      <c r="K103" s="688" t="str">
        <f t="shared" si="23"/>
        <v>(含)-</v>
      </c>
      <c r="L103" s="688" t="str">
        <f t="shared" si="23"/>
        <v>(含)-</v>
      </c>
      <c r="M103" s="691"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24" customFormat="1">
      <c r="A104" s="708"/>
      <c r="B104" s="709"/>
      <c r="C104" s="3161">
        <v>0</v>
      </c>
      <c r="D104" s="3161">
        <v>100000</v>
      </c>
      <c r="E104" s="3161">
        <v>200000</v>
      </c>
      <c r="F104" s="3161">
        <v>300000</v>
      </c>
      <c r="G104" s="3161">
        <v>400000</v>
      </c>
      <c r="H104" s="710">
        <v>500000</v>
      </c>
      <c r="I104" s="710">
        <v>600000</v>
      </c>
      <c r="J104" s="711"/>
      <c r="K104" s="711"/>
      <c r="L104" s="712"/>
      <c r="M104" s="713"/>
      <c r="N104" s="2147"/>
      <c r="O104" s="2147"/>
      <c r="P104" s="2195"/>
      <c r="Q104" s="2149"/>
      <c r="R104" s="2150"/>
      <c r="S104" s="2150"/>
      <c r="T104" s="2150"/>
      <c r="U104" s="2150"/>
      <c r="V104" s="2150"/>
      <c r="W104" s="2150"/>
      <c r="X104" s="2150"/>
      <c r="Y104" s="2150"/>
      <c r="Z104" s="2150"/>
      <c r="AA104" s="2150"/>
      <c r="AB104" s="2150"/>
      <c r="AC104" s="2150"/>
    </row>
    <row r="105" spans="1:29" s="1324" customFormat="1" ht="15.75" thickBot="1">
      <c r="A105" s="667"/>
      <c r="B105" s="658"/>
      <c r="C105" s="3162">
        <v>100</v>
      </c>
      <c r="D105" s="3163">
        <v>101</v>
      </c>
      <c r="E105" s="3163">
        <v>102</v>
      </c>
      <c r="F105" s="3163">
        <v>103</v>
      </c>
      <c r="G105" s="3163">
        <v>104</v>
      </c>
      <c r="H105" s="651">
        <v>105</v>
      </c>
      <c r="I105" s="651">
        <v>106</v>
      </c>
      <c r="J105" s="651"/>
      <c r="K105" s="651"/>
      <c r="L105" s="651"/>
      <c r="M105" s="652"/>
      <c r="N105" s="2146"/>
      <c r="O105" s="2146"/>
      <c r="P105" s="2195"/>
      <c r="Q105" s="2149"/>
      <c r="R105" s="2150"/>
      <c r="S105" s="2150"/>
      <c r="T105" s="2150"/>
      <c r="U105" s="2150"/>
      <c r="V105" s="2150"/>
      <c r="W105" s="2150"/>
      <c r="X105" s="2150"/>
      <c r="Y105" s="2150"/>
      <c r="Z105" s="2150"/>
      <c r="AA105" s="2150"/>
      <c r="AB105" s="2150"/>
      <c r="AC105" s="2150"/>
    </row>
    <row r="106" spans="1:29" ht="15" thickTop="1">
      <c r="A106" s="715"/>
      <c r="B106" s="653" t="s">
        <v>819</v>
      </c>
      <c r="C106" s="668" t="s">
        <v>820</v>
      </c>
      <c r="D106" s="668" t="s">
        <v>821</v>
      </c>
      <c r="E106" s="698" t="s">
        <v>822</v>
      </c>
      <c r="F106" s="698"/>
      <c r="G106" s="698"/>
      <c r="H106" s="698"/>
      <c r="I106" s="698"/>
      <c r="J106" s="698"/>
      <c r="K106" s="699"/>
      <c r="L106" s="700"/>
      <c r="M106" s="701"/>
      <c r="N106" s="2144"/>
      <c r="O106" s="2144"/>
      <c r="P106" s="2194"/>
      <c r="Q106" s="2138"/>
      <c r="R106" s="2125"/>
      <c r="S106" s="2125"/>
      <c r="T106" s="2125"/>
      <c r="U106" s="2125"/>
      <c r="V106" s="2125"/>
      <c r="W106" s="2125"/>
      <c r="X106" s="2125"/>
      <c r="Y106" s="2125"/>
      <c r="Z106" s="2125"/>
      <c r="AA106" s="2125"/>
      <c r="AB106" s="2125"/>
      <c r="AC106" s="2125"/>
    </row>
    <row r="107" spans="1:29" ht="15.75" thickBot="1">
      <c r="A107" s="649"/>
      <c r="B107" s="658"/>
      <c r="C107" s="659">
        <v>100</v>
      </c>
      <c r="D107" s="659">
        <f t="shared" ref="D107:M107" si="24">C107-$K35</f>
        <v>98</v>
      </c>
      <c r="E107" s="659">
        <f t="shared" si="24"/>
        <v>96</v>
      </c>
      <c r="F107" s="659">
        <f t="shared" si="24"/>
        <v>94</v>
      </c>
      <c r="G107" s="659">
        <f t="shared" si="24"/>
        <v>92</v>
      </c>
      <c r="H107" s="659">
        <f t="shared" si="24"/>
        <v>90</v>
      </c>
      <c r="I107" s="659">
        <f t="shared" si="24"/>
        <v>88</v>
      </c>
      <c r="J107" s="659">
        <f t="shared" si="24"/>
        <v>86</v>
      </c>
      <c r="K107" s="659">
        <f t="shared" si="24"/>
        <v>84</v>
      </c>
      <c r="L107" s="659">
        <f t="shared" si="24"/>
        <v>82</v>
      </c>
      <c r="M107" s="660">
        <f t="shared" si="24"/>
        <v>80</v>
      </c>
      <c r="N107" s="2146"/>
      <c r="O107" s="2146"/>
      <c r="P107" s="2194"/>
      <c r="Q107" s="2138"/>
      <c r="R107" s="2125"/>
      <c r="S107" s="2125"/>
      <c r="T107" s="2125"/>
      <c r="U107" s="2125"/>
      <c r="V107" s="2125"/>
      <c r="W107" s="2125"/>
      <c r="X107" s="2125"/>
      <c r="Y107" s="2125"/>
      <c r="Z107" s="2125"/>
      <c r="AA107" s="2125"/>
      <c r="AB107" s="2125"/>
      <c r="AC107" s="2125"/>
    </row>
    <row r="108" spans="1:29" ht="15" thickTop="1">
      <c r="A108" s="715"/>
      <c r="B108" s="653" t="s">
        <v>826</v>
      </c>
      <c r="C108" s="668" t="s">
        <v>827</v>
      </c>
      <c r="D108" s="668" t="s">
        <v>828</v>
      </c>
      <c r="E108" s="668" t="s">
        <v>829</v>
      </c>
      <c r="F108" s="698" t="s">
        <v>830</v>
      </c>
      <c r="G108" s="698"/>
      <c r="H108" s="698"/>
      <c r="I108" s="698"/>
      <c r="J108" s="698"/>
      <c r="K108" s="699"/>
      <c r="L108" s="700"/>
      <c r="M108" s="701"/>
      <c r="N108" s="2144"/>
      <c r="O108" s="2144"/>
      <c r="P108" s="2194"/>
      <c r="Q108" s="2138"/>
      <c r="R108" s="2125"/>
      <c r="S108" s="2125"/>
      <c r="T108" s="2125"/>
      <c r="U108" s="2125"/>
      <c r="V108" s="2125"/>
      <c r="W108" s="2125"/>
      <c r="X108" s="2125"/>
      <c r="Y108" s="2125"/>
      <c r="Z108" s="2125"/>
      <c r="AA108" s="2125"/>
      <c r="AB108" s="2125"/>
      <c r="AC108" s="2125"/>
    </row>
    <row r="109" spans="1:29" ht="15.75" thickBot="1">
      <c r="A109" s="649"/>
      <c r="B109" s="658"/>
      <c r="C109" s="659">
        <v>100</v>
      </c>
      <c r="D109" s="659">
        <f t="shared" ref="D109:M109" si="25">C109-$K36</f>
        <v>98</v>
      </c>
      <c r="E109" s="659">
        <f t="shared" si="25"/>
        <v>96</v>
      </c>
      <c r="F109" s="659">
        <f t="shared" si="25"/>
        <v>94</v>
      </c>
      <c r="G109" s="659">
        <f t="shared" si="25"/>
        <v>92</v>
      </c>
      <c r="H109" s="659">
        <f t="shared" si="25"/>
        <v>90</v>
      </c>
      <c r="I109" s="659">
        <f t="shared" si="25"/>
        <v>88</v>
      </c>
      <c r="J109" s="659">
        <f t="shared" si="25"/>
        <v>86</v>
      </c>
      <c r="K109" s="659">
        <f t="shared" si="25"/>
        <v>84</v>
      </c>
      <c r="L109" s="659">
        <f t="shared" si="25"/>
        <v>82</v>
      </c>
      <c r="M109" s="660">
        <f t="shared" si="25"/>
        <v>80</v>
      </c>
      <c r="N109" s="2146"/>
      <c r="O109" s="2146"/>
      <c r="P109" s="2194"/>
      <c r="Q109" s="2138"/>
      <c r="R109" s="2125"/>
      <c r="S109" s="2125"/>
      <c r="T109" s="2125"/>
      <c r="U109" s="2125"/>
      <c r="V109" s="2125"/>
      <c r="W109" s="2125"/>
      <c r="X109" s="2125"/>
      <c r="Y109" s="2125"/>
      <c r="Z109" s="2125"/>
      <c r="AA109" s="2125"/>
      <c r="AB109" s="2125"/>
      <c r="AC109" s="2125"/>
    </row>
    <row r="110" spans="1:29" ht="15" thickTop="1">
      <c r="A110" s="715"/>
      <c r="B110" s="653" t="s">
        <v>831</v>
      </c>
      <c r="C110" s="688" t="str">
        <f>C111&amp;"(含)"&amp;"-"&amp;D111</f>
        <v>0.5(含)-0.6</v>
      </c>
      <c r="D110" s="688" t="str">
        <f>D111&amp;"(含)"&amp;"-"&amp;E111</f>
        <v>0.6(含)-0.7</v>
      </c>
      <c r="E110" s="688" t="str">
        <f>E111&amp;"(含)"&amp;"-"&amp;F111</f>
        <v>0.7(含)-0.8</v>
      </c>
      <c r="F110" s="688" t="str">
        <f>F111&amp;"(含)"&amp;"-"&amp;G111</f>
        <v>0.8(含)-0.9</v>
      </c>
      <c r="G110" s="688" t="str">
        <f>G111&amp;"(含)"&amp;"-"&amp;ROUND(H111,0)</f>
        <v>0.9(含)-1</v>
      </c>
      <c r="H110" s="688"/>
      <c r="I110" s="698"/>
      <c r="J110" s="698"/>
      <c r="K110" s="699"/>
      <c r="L110" s="700"/>
      <c r="M110" s="701"/>
      <c r="N110" s="2144"/>
      <c r="O110" s="2144"/>
      <c r="P110" s="2194"/>
      <c r="Q110" s="2138"/>
      <c r="R110" s="2125"/>
      <c r="S110" s="2125"/>
      <c r="T110" s="2125"/>
      <c r="U110" s="2125"/>
      <c r="V110" s="2125"/>
      <c r="W110" s="2125"/>
      <c r="X110" s="2125"/>
      <c r="Y110" s="2125"/>
      <c r="Z110" s="2125"/>
      <c r="AA110" s="2125"/>
      <c r="AB110" s="2125"/>
      <c r="AC110" s="2125"/>
    </row>
    <row r="111" spans="1:29">
      <c r="A111" s="715"/>
      <c r="B111" s="661"/>
      <c r="C111" s="874">
        <v>0.5</v>
      </c>
      <c r="D111" s="874">
        <v>0.6</v>
      </c>
      <c r="E111" s="874">
        <v>0.7</v>
      </c>
      <c r="F111" s="874">
        <v>0.8</v>
      </c>
      <c r="G111" s="874">
        <v>0.9</v>
      </c>
      <c r="H111" s="874">
        <v>1.0001</v>
      </c>
      <c r="I111" s="884"/>
      <c r="J111" s="884"/>
      <c r="K111" s="885"/>
      <c r="L111" s="886"/>
      <c r="M111" s="887"/>
      <c r="N111" s="2144"/>
      <c r="O111" s="2144"/>
      <c r="P111" s="2194"/>
      <c r="Q111" s="2138"/>
      <c r="R111" s="2125"/>
      <c r="S111" s="2125"/>
      <c r="T111" s="2125"/>
      <c r="U111" s="2125"/>
      <c r="V111" s="2125"/>
      <c r="W111" s="2125"/>
      <c r="X111" s="2125"/>
      <c r="Y111" s="2125"/>
      <c r="Z111" s="2125"/>
      <c r="AA111" s="2125"/>
      <c r="AB111" s="2125"/>
      <c r="AC111" s="2125"/>
    </row>
    <row r="112" spans="1:29" ht="15.75" thickBot="1">
      <c r="A112" s="649"/>
      <c r="B112" s="658"/>
      <c r="C112" s="692">
        <v>100</v>
      </c>
      <c r="D112" s="659">
        <f>C112+$K37</f>
        <v>102</v>
      </c>
      <c r="E112" s="659">
        <f t="shared" ref="E112:M112" si="26">D112+$K37</f>
        <v>104</v>
      </c>
      <c r="F112" s="659">
        <f t="shared" si="26"/>
        <v>106</v>
      </c>
      <c r="G112" s="659">
        <f t="shared" si="26"/>
        <v>108</v>
      </c>
      <c r="H112" s="659">
        <f t="shared" si="26"/>
        <v>110</v>
      </c>
      <c r="I112" s="659">
        <f t="shared" si="26"/>
        <v>112</v>
      </c>
      <c r="J112" s="659">
        <f t="shared" si="26"/>
        <v>114</v>
      </c>
      <c r="K112" s="659">
        <f t="shared" si="26"/>
        <v>116</v>
      </c>
      <c r="L112" s="659">
        <f t="shared" si="26"/>
        <v>118</v>
      </c>
      <c r="M112" s="659">
        <f t="shared" si="26"/>
        <v>120</v>
      </c>
      <c r="N112" s="2146"/>
      <c r="O112" s="2146"/>
      <c r="P112" s="2194"/>
      <c r="Q112" s="2138"/>
      <c r="R112" s="2125"/>
      <c r="S112" s="2125"/>
      <c r="T112" s="2125"/>
      <c r="U112" s="2125"/>
      <c r="V112" s="2125"/>
      <c r="W112" s="2125"/>
      <c r="X112" s="2125"/>
      <c r="Y112" s="2125"/>
      <c r="Z112" s="2125"/>
      <c r="AA112" s="2125"/>
      <c r="AB112" s="2125"/>
      <c r="AC112" s="2125"/>
    </row>
    <row r="113" spans="1:29" s="1324" customFormat="1" ht="15" thickTop="1">
      <c r="A113" s="708"/>
      <c r="B113" s="653" t="s">
        <v>933</v>
      </c>
      <c r="C113" s="668" t="s">
        <v>934</v>
      </c>
      <c r="D113" s="668" t="s">
        <v>935</v>
      </c>
      <c r="E113" s="668" t="s">
        <v>936</v>
      </c>
      <c r="F113" s="668"/>
      <c r="G113" s="668"/>
      <c r="H113" s="698"/>
      <c r="I113" s="698"/>
      <c r="J113" s="698"/>
      <c r="K113" s="699"/>
      <c r="L113" s="700"/>
      <c r="M113" s="701"/>
      <c r="N113" s="2147"/>
      <c r="O113" s="2147"/>
      <c r="P113" s="2195"/>
      <c r="Q113" s="2149"/>
      <c r="R113" s="2150"/>
      <c r="S113" s="2150"/>
      <c r="T113" s="2150"/>
      <c r="U113" s="2150"/>
      <c r="V113" s="2150"/>
      <c r="W113" s="2150"/>
      <c r="X113" s="2150"/>
      <c r="Y113" s="2150"/>
      <c r="Z113" s="2150"/>
      <c r="AA113" s="2150"/>
      <c r="AB113" s="2150"/>
      <c r="AC113" s="2150"/>
    </row>
    <row r="114" spans="1:29" s="1324" customFormat="1" ht="15.75" thickBot="1">
      <c r="A114" s="667"/>
      <c r="B114" s="658"/>
      <c r="C114" s="659">
        <v>100</v>
      </c>
      <c r="D114" s="659">
        <f>C114-$K38</f>
        <v>98</v>
      </c>
      <c r="E114" s="659">
        <f t="shared" ref="E114:M114" si="27">D114-$K38</f>
        <v>96</v>
      </c>
      <c r="F114" s="659">
        <f t="shared" si="27"/>
        <v>94</v>
      </c>
      <c r="G114" s="659">
        <f t="shared" si="27"/>
        <v>92</v>
      </c>
      <c r="H114" s="659">
        <f t="shared" si="27"/>
        <v>90</v>
      </c>
      <c r="I114" s="659">
        <f t="shared" si="27"/>
        <v>88</v>
      </c>
      <c r="J114" s="659">
        <f t="shared" si="27"/>
        <v>86</v>
      </c>
      <c r="K114" s="659">
        <f t="shared" si="27"/>
        <v>84</v>
      </c>
      <c r="L114" s="659">
        <f t="shared" si="27"/>
        <v>82</v>
      </c>
      <c r="M114" s="659">
        <f t="shared" si="27"/>
        <v>80</v>
      </c>
      <c r="N114" s="2147"/>
      <c r="O114" s="2147"/>
      <c r="P114" s="2195"/>
      <c r="Q114" s="2149"/>
      <c r="R114" s="2150"/>
      <c r="S114" s="2150"/>
      <c r="T114" s="2150"/>
      <c r="U114" s="2150"/>
      <c r="V114" s="2150"/>
      <c r="W114" s="2150"/>
      <c r="X114" s="2150"/>
      <c r="Y114" s="2150"/>
      <c r="Z114" s="2150"/>
      <c r="AA114" s="2150"/>
      <c r="AB114" s="2150"/>
      <c r="AC114" s="2150"/>
    </row>
    <row r="115" spans="1:29" ht="15" thickTop="1">
      <c r="A115" s="715"/>
      <c r="B115" s="653" t="s">
        <v>832</v>
      </c>
      <c r="C115" s="668" t="s">
        <v>833</v>
      </c>
      <c r="D115" s="668" t="s">
        <v>834</v>
      </c>
      <c r="E115" s="698"/>
      <c r="F115" s="698"/>
      <c r="G115" s="698"/>
      <c r="H115" s="698"/>
      <c r="I115" s="698"/>
      <c r="J115" s="698"/>
      <c r="K115" s="699"/>
      <c r="L115" s="700"/>
      <c r="M115" s="701"/>
      <c r="N115" s="2144"/>
      <c r="O115" s="2144"/>
      <c r="P115" s="2194"/>
      <c r="Q115" s="2138"/>
      <c r="R115" s="2125"/>
      <c r="S115" s="2125"/>
      <c r="T115" s="2125"/>
      <c r="U115" s="2125"/>
      <c r="V115" s="2125"/>
      <c r="W115" s="2125"/>
      <c r="X115" s="2125"/>
      <c r="Y115" s="2125"/>
      <c r="Z115" s="2125"/>
      <c r="AA115" s="2125"/>
      <c r="AB115" s="2125"/>
      <c r="AC115" s="2125"/>
    </row>
    <row r="116" spans="1:29" ht="15.75" thickBot="1">
      <c r="A116" s="649"/>
      <c r="B116" s="658"/>
      <c r="C116" s="659">
        <v>100</v>
      </c>
      <c r="D116" s="659">
        <f t="shared" ref="D116:M116" si="28">C116-$K39</f>
        <v>97</v>
      </c>
      <c r="E116" s="659">
        <f t="shared" si="28"/>
        <v>94</v>
      </c>
      <c r="F116" s="659">
        <f t="shared" si="28"/>
        <v>91</v>
      </c>
      <c r="G116" s="659">
        <f t="shared" si="28"/>
        <v>88</v>
      </c>
      <c r="H116" s="659">
        <f t="shared" si="28"/>
        <v>85</v>
      </c>
      <c r="I116" s="659">
        <f t="shared" si="28"/>
        <v>82</v>
      </c>
      <c r="J116" s="659">
        <f t="shared" si="28"/>
        <v>79</v>
      </c>
      <c r="K116" s="659">
        <f t="shared" si="28"/>
        <v>76</v>
      </c>
      <c r="L116" s="659">
        <f t="shared" si="28"/>
        <v>73</v>
      </c>
      <c r="M116" s="660">
        <f t="shared" si="28"/>
        <v>70</v>
      </c>
      <c r="N116" s="2146"/>
      <c r="O116" s="2146"/>
      <c r="P116" s="2194"/>
      <c r="Q116" s="2138"/>
      <c r="R116" s="2125"/>
      <c r="S116" s="2125"/>
      <c r="T116" s="2125"/>
      <c r="U116" s="2125"/>
      <c r="V116" s="2125"/>
      <c r="W116" s="2125"/>
      <c r="X116" s="2125"/>
      <c r="Y116" s="2125"/>
      <c r="Z116" s="2125"/>
      <c r="AA116" s="2125"/>
      <c r="AB116" s="2125"/>
      <c r="AC116" s="2125"/>
    </row>
    <row r="117" spans="1:29" ht="15" thickTop="1">
      <c r="A117" s="715"/>
      <c r="B117" s="1871" t="s">
        <v>2825</v>
      </c>
      <c r="C117" s="668" t="s">
        <v>608</v>
      </c>
      <c r="D117" s="668" t="s">
        <v>609</v>
      </c>
      <c r="E117" s="668" t="s">
        <v>610</v>
      </c>
      <c r="F117" s="668" t="s">
        <v>611</v>
      </c>
      <c r="G117" s="668" t="s">
        <v>612</v>
      </c>
      <c r="H117" s="698"/>
      <c r="I117" s="698"/>
      <c r="J117" s="698"/>
      <c r="K117" s="699"/>
      <c r="L117" s="700"/>
      <c r="M117" s="701"/>
      <c r="N117" s="2144"/>
      <c r="O117" s="2144"/>
      <c r="P117" s="2194"/>
      <c r="Q117" s="2138"/>
      <c r="R117" s="2125"/>
      <c r="S117" s="2125"/>
      <c r="T117" s="2125"/>
      <c r="U117" s="2125"/>
      <c r="V117" s="2125"/>
      <c r="W117" s="2125"/>
      <c r="X117" s="2125"/>
      <c r="Y117" s="2125"/>
      <c r="Z117" s="2125"/>
      <c r="AA117" s="2125"/>
      <c r="AB117" s="2125"/>
      <c r="AC117" s="2125"/>
    </row>
    <row r="118" spans="1:29" ht="15.75" thickBot="1">
      <c r="A118" s="649"/>
      <c r="B118" s="658"/>
      <c r="C118" s="659">
        <v>100</v>
      </c>
      <c r="D118" s="659">
        <f>C118-$K40</f>
        <v>99</v>
      </c>
      <c r="E118" s="659">
        <f>D118-$K40</f>
        <v>98</v>
      </c>
      <c r="F118" s="659">
        <f>E118-$K40</f>
        <v>97</v>
      </c>
      <c r="G118" s="659">
        <f>F118-$K40</f>
        <v>96</v>
      </c>
      <c r="H118" s="659"/>
      <c r="I118" s="659"/>
      <c r="J118" s="659"/>
      <c r="K118" s="659"/>
      <c r="L118" s="659"/>
      <c r="M118" s="660"/>
      <c r="N118" s="2146"/>
      <c r="O118" s="2146"/>
      <c r="P118" s="2194"/>
      <c r="Q118" s="2138"/>
      <c r="R118" s="2125"/>
      <c r="S118" s="2125"/>
      <c r="T118" s="2125"/>
      <c r="U118" s="2125"/>
      <c r="V118" s="2125"/>
      <c r="W118" s="2125"/>
      <c r="X118" s="2125"/>
      <c r="Y118" s="2125"/>
      <c r="Z118" s="2125"/>
      <c r="AA118" s="2125"/>
      <c r="AB118" s="2125"/>
      <c r="AC118" s="2125"/>
    </row>
    <row r="119" spans="1:29" ht="15" thickTop="1">
      <c r="A119" s="715"/>
      <c r="B119" s="896" t="s">
        <v>937</v>
      </c>
      <c r="C119" s="698" t="s">
        <v>938</v>
      </c>
      <c r="D119" s="698" t="s">
        <v>939</v>
      </c>
      <c r="E119" s="698"/>
      <c r="F119" s="698"/>
      <c r="G119" s="698"/>
      <c r="H119" s="698"/>
      <c r="I119" s="698"/>
      <c r="J119" s="698"/>
      <c r="K119" s="698"/>
      <c r="L119" s="897"/>
      <c r="M119" s="898"/>
      <c r="N119" s="2146"/>
      <c r="O119" s="2146"/>
      <c r="P119" s="2199"/>
      <c r="Q119" s="2186"/>
      <c r="R119" s="2125"/>
      <c r="S119" s="2125"/>
      <c r="T119" s="2125"/>
      <c r="U119" s="2125"/>
      <c r="V119" s="2125"/>
      <c r="W119" s="2125"/>
      <c r="X119" s="2125"/>
      <c r="Y119" s="2125"/>
      <c r="Z119" s="2125"/>
      <c r="AA119" s="2125"/>
      <c r="AB119" s="2125"/>
      <c r="AC119" s="2125"/>
    </row>
    <row r="120" spans="1:29" ht="15.75" thickBot="1">
      <c r="A120" s="649"/>
      <c r="B120" s="658"/>
      <c r="C120" s="692">
        <v>100</v>
      </c>
      <c r="D120" s="659">
        <f>C120-$K41</f>
        <v>98</v>
      </c>
      <c r="E120" s="659">
        <f t="shared" ref="E120:M120" si="29">D120-$K41</f>
        <v>96</v>
      </c>
      <c r="F120" s="659">
        <f t="shared" si="29"/>
        <v>94</v>
      </c>
      <c r="G120" s="659">
        <f t="shared" si="29"/>
        <v>92</v>
      </c>
      <c r="H120" s="659">
        <f t="shared" si="29"/>
        <v>90</v>
      </c>
      <c r="I120" s="659">
        <f t="shared" si="29"/>
        <v>88</v>
      </c>
      <c r="J120" s="659">
        <f t="shared" si="29"/>
        <v>86</v>
      </c>
      <c r="K120" s="659">
        <f t="shared" si="29"/>
        <v>84</v>
      </c>
      <c r="L120" s="659">
        <f t="shared" si="29"/>
        <v>82</v>
      </c>
      <c r="M120" s="659">
        <f t="shared" si="29"/>
        <v>80</v>
      </c>
      <c r="N120" s="2146"/>
      <c r="O120" s="2146"/>
      <c r="P120" s="2194"/>
      <c r="Q120" s="2138"/>
      <c r="R120" s="2125"/>
      <c r="S120" s="2125"/>
      <c r="T120" s="2125"/>
      <c r="U120" s="2125"/>
      <c r="V120" s="2125"/>
      <c r="W120" s="2125"/>
      <c r="X120" s="2125"/>
      <c r="Y120" s="2125"/>
      <c r="Z120" s="2125"/>
      <c r="AA120" s="2125"/>
      <c r="AB120" s="2125"/>
      <c r="AC120" s="2125"/>
    </row>
    <row r="121" spans="1:29" s="1324" customFormat="1" ht="15" thickTop="1">
      <c r="A121" s="708"/>
      <c r="B121" s="653" t="s">
        <v>898</v>
      </c>
      <c r="C121" s="668" t="s">
        <v>25</v>
      </c>
      <c r="D121" s="668" t="s">
        <v>23</v>
      </c>
      <c r="E121" s="668" t="s">
        <v>24</v>
      </c>
      <c r="F121" s="698" t="s">
        <v>26</v>
      </c>
      <c r="G121" s="669"/>
      <c r="H121" s="669"/>
      <c r="I121" s="669"/>
      <c r="J121" s="669"/>
      <c r="K121" s="669"/>
      <c r="L121" s="670"/>
      <c r="M121" s="671"/>
      <c r="N121" s="2147"/>
      <c r="O121" s="2147"/>
      <c r="P121" s="2195"/>
      <c r="Q121" s="2149"/>
      <c r="R121" s="2150"/>
      <c r="S121" s="2150"/>
      <c r="T121" s="2150"/>
      <c r="U121" s="2150"/>
      <c r="V121" s="2150"/>
      <c r="W121" s="2150"/>
      <c r="X121" s="2150"/>
      <c r="Y121" s="2150"/>
      <c r="Z121" s="2150"/>
      <c r="AA121" s="2150"/>
      <c r="AB121" s="2150"/>
      <c r="AC121" s="2150"/>
    </row>
    <row r="122" spans="1:29" s="1324" customFormat="1" ht="15.75" thickBot="1">
      <c r="A122" s="667"/>
      <c r="B122" s="650"/>
      <c r="C122" s="672">
        <v>100</v>
      </c>
      <c r="D122" s="672">
        <v>105</v>
      </c>
      <c r="E122" s="672">
        <v>103</v>
      </c>
      <c r="F122" s="672">
        <v>98</v>
      </c>
      <c r="G122" s="672"/>
      <c r="H122" s="672"/>
      <c r="I122" s="672"/>
      <c r="J122" s="672"/>
      <c r="K122" s="672"/>
      <c r="L122" s="672"/>
      <c r="M122" s="672"/>
      <c r="N122" s="2147"/>
      <c r="O122" s="2147"/>
      <c r="P122" s="2195"/>
      <c r="Q122" s="2149"/>
      <c r="R122" s="2150"/>
      <c r="S122" s="2150"/>
      <c r="T122" s="2150"/>
      <c r="U122" s="2150"/>
      <c r="V122" s="2150"/>
      <c r="W122" s="2150"/>
      <c r="X122" s="2150"/>
      <c r="Y122" s="2150"/>
      <c r="Z122" s="2150"/>
      <c r="AA122" s="2150"/>
      <c r="AB122" s="2150"/>
      <c r="AC122" s="2150"/>
    </row>
    <row r="123" spans="1:29" ht="15" thickTop="1">
      <c r="A123" s="715"/>
      <c r="B123" s="653" t="s">
        <v>841</v>
      </c>
      <c r="C123" s="668" t="s">
        <v>827</v>
      </c>
      <c r="D123" s="668" t="s">
        <v>828</v>
      </c>
      <c r="E123" s="668" t="s">
        <v>829</v>
      </c>
      <c r="F123" s="698" t="s">
        <v>830</v>
      </c>
      <c r="G123" s="698"/>
      <c r="H123" s="698"/>
      <c r="I123" s="698"/>
      <c r="J123" s="698"/>
      <c r="K123" s="699"/>
      <c r="L123" s="700"/>
      <c r="M123" s="701"/>
      <c r="N123" s="2144"/>
      <c r="O123" s="2144"/>
      <c r="P123" s="2194"/>
      <c r="Q123" s="2138"/>
      <c r="R123" s="2125"/>
      <c r="S123" s="2125"/>
      <c r="T123" s="2125"/>
      <c r="U123" s="2125"/>
      <c r="V123" s="2125"/>
      <c r="W123" s="2125"/>
      <c r="X123" s="2125"/>
      <c r="Y123" s="2125"/>
      <c r="Z123" s="2125"/>
      <c r="AA123" s="2125"/>
      <c r="AB123" s="2125"/>
      <c r="AC123" s="2125"/>
    </row>
    <row r="124" spans="1:29" ht="15.75" thickBot="1">
      <c r="A124" s="649"/>
      <c r="B124" s="658"/>
      <c r="C124" s="659">
        <v>100</v>
      </c>
      <c r="D124" s="659">
        <f t="shared" ref="D124:M124" si="30">C124-$K43</f>
        <v>98</v>
      </c>
      <c r="E124" s="659">
        <f t="shared" si="30"/>
        <v>96</v>
      </c>
      <c r="F124" s="659">
        <f t="shared" si="30"/>
        <v>94</v>
      </c>
      <c r="G124" s="659">
        <f t="shared" si="30"/>
        <v>92</v>
      </c>
      <c r="H124" s="659">
        <f t="shared" si="30"/>
        <v>90</v>
      </c>
      <c r="I124" s="659">
        <f t="shared" si="30"/>
        <v>88</v>
      </c>
      <c r="J124" s="659">
        <f t="shared" si="30"/>
        <v>86</v>
      </c>
      <c r="K124" s="659">
        <f t="shared" si="30"/>
        <v>84</v>
      </c>
      <c r="L124" s="659">
        <f t="shared" si="30"/>
        <v>82</v>
      </c>
      <c r="M124" s="660">
        <f t="shared" si="30"/>
        <v>80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15"/>
      <c r="B125" s="653" t="s">
        <v>842</v>
      </c>
      <c r="C125" s="688" t="s">
        <v>576</v>
      </c>
      <c r="D125" s="688" t="s">
        <v>577</v>
      </c>
      <c r="E125" s="688" t="s">
        <v>578</v>
      </c>
      <c r="F125" s="688" t="s">
        <v>579</v>
      </c>
      <c r="G125" s="688" t="s">
        <v>580</v>
      </c>
      <c r="H125" s="654"/>
      <c r="I125" s="654"/>
      <c r="J125" s="654"/>
      <c r="K125" s="655"/>
      <c r="L125" s="656"/>
      <c r="M125" s="657"/>
      <c r="N125" s="2144"/>
      <c r="O125" s="2144"/>
      <c r="P125" s="2195"/>
      <c r="Q125" s="2138"/>
      <c r="R125" s="2125"/>
      <c r="S125" s="2125"/>
      <c r="T125" s="2125"/>
      <c r="U125" s="2125"/>
      <c r="V125" s="2125"/>
      <c r="W125" s="2125"/>
      <c r="X125" s="2125"/>
      <c r="Y125" s="2125"/>
      <c r="Z125" s="2125"/>
      <c r="AA125" s="2125"/>
      <c r="AB125" s="2125"/>
      <c r="AC125" s="2125"/>
    </row>
    <row r="126" spans="1:29" ht="15.75" thickBot="1">
      <c r="A126" s="649"/>
      <c r="B126" s="658"/>
      <c r="C126" s="659">
        <v>100</v>
      </c>
      <c r="D126" s="659">
        <f>C126-$K44</f>
        <v>98</v>
      </c>
      <c r="E126" s="659">
        <f>D126-$K44</f>
        <v>96</v>
      </c>
      <c r="F126" s="659">
        <f>E126-$K44</f>
        <v>94</v>
      </c>
      <c r="G126" s="659">
        <f>F126-$K44</f>
        <v>92</v>
      </c>
      <c r="H126" s="659"/>
      <c r="I126" s="659"/>
      <c r="J126" s="659"/>
      <c r="K126" s="659"/>
      <c r="L126" s="659"/>
      <c r="M126" s="660"/>
      <c r="N126" s="2146"/>
      <c r="O126" s="2146"/>
      <c r="P126" s="2194"/>
      <c r="Q126" s="2138"/>
      <c r="R126" s="2125"/>
      <c r="S126" s="2125"/>
      <c r="T126" s="2125"/>
      <c r="U126" s="2125"/>
      <c r="V126" s="2125"/>
      <c r="W126" s="2125"/>
      <c r="X126" s="2125"/>
      <c r="Y126" s="2125"/>
      <c r="Z126" s="2125"/>
      <c r="AA126" s="2125"/>
      <c r="AB126" s="2125"/>
      <c r="AC126" s="2125"/>
    </row>
    <row r="127" spans="1:29" s="1324" customFormat="1" ht="15" thickTop="1">
      <c r="A127" s="708"/>
      <c r="B127" s="653">
        <f>B45</f>
        <v>0</v>
      </c>
      <c r="C127" s="668">
        <v>111</v>
      </c>
      <c r="D127" s="668">
        <v>222</v>
      </c>
      <c r="E127" s="668">
        <v>333</v>
      </c>
      <c r="F127" s="668">
        <v>444</v>
      </c>
      <c r="G127" s="668"/>
      <c r="H127" s="669"/>
      <c r="I127" s="669"/>
      <c r="J127" s="669"/>
      <c r="K127" s="669"/>
      <c r="L127" s="670"/>
      <c r="M127" s="671"/>
      <c r="N127" s="2147"/>
      <c r="O127" s="2147"/>
      <c r="P127" s="2195"/>
      <c r="Q127" s="2149"/>
      <c r="R127" s="2150"/>
      <c r="S127" s="2150"/>
      <c r="T127" s="2150"/>
      <c r="U127" s="2150"/>
      <c r="V127" s="2150"/>
      <c r="W127" s="2150"/>
      <c r="X127" s="2150"/>
      <c r="Y127" s="2150"/>
      <c r="Z127" s="2150"/>
      <c r="AA127" s="2150"/>
      <c r="AB127" s="2150"/>
      <c r="AC127" s="2150"/>
    </row>
    <row r="128" spans="1:29" s="1324" customFormat="1" ht="15.75" thickBot="1">
      <c r="A128" s="667"/>
      <c r="B128" s="658"/>
      <c r="C128" s="672">
        <v>100</v>
      </c>
      <c r="D128" s="651">
        <v>101</v>
      </c>
      <c r="E128" s="651">
        <v>102</v>
      </c>
      <c r="F128" s="651">
        <v>103</v>
      </c>
      <c r="G128" s="672"/>
      <c r="H128" s="673"/>
      <c r="I128" s="673"/>
      <c r="J128" s="673"/>
      <c r="K128" s="673"/>
      <c r="L128" s="673"/>
      <c r="M128" s="674"/>
      <c r="N128" s="2147"/>
      <c r="O128" s="2147"/>
      <c r="P128" s="2195"/>
      <c r="Q128" s="2149"/>
      <c r="R128" s="2150"/>
      <c r="S128" s="2150"/>
      <c r="T128" s="2150"/>
      <c r="U128" s="2150"/>
      <c r="V128" s="2150"/>
      <c r="W128" s="2150"/>
      <c r="X128" s="2150"/>
      <c r="Y128" s="2150"/>
      <c r="Z128" s="2150"/>
      <c r="AA128" s="2150"/>
      <c r="AB128" s="2150"/>
      <c r="AC128" s="2150"/>
    </row>
    <row r="129" spans="1:29" ht="15" thickTop="1">
      <c r="A129" s="715"/>
      <c r="B129" s="653">
        <f>B46</f>
        <v>0</v>
      </c>
      <c r="C129" s="668">
        <v>111</v>
      </c>
      <c r="D129" s="668">
        <v>222</v>
      </c>
      <c r="E129" s="668">
        <v>333</v>
      </c>
      <c r="F129" s="668">
        <v>444</v>
      </c>
      <c r="G129" s="698"/>
      <c r="H129" s="698"/>
      <c r="I129" s="698"/>
      <c r="J129" s="698"/>
      <c r="K129" s="699"/>
      <c r="L129" s="700"/>
      <c r="M129" s="701"/>
      <c r="N129" s="2144"/>
      <c r="O129" s="2144"/>
      <c r="P129" s="2194"/>
      <c r="Q129" s="2138"/>
      <c r="R129" s="2125"/>
      <c r="S129" s="2125"/>
      <c r="T129" s="2125"/>
      <c r="U129" s="2125"/>
      <c r="V129" s="2125"/>
      <c r="W129" s="2125"/>
      <c r="X129" s="2125"/>
      <c r="Y129" s="2125"/>
      <c r="Z129" s="2125"/>
      <c r="AA129" s="2125"/>
      <c r="AB129" s="2125"/>
      <c r="AC129" s="2125"/>
    </row>
    <row r="130" spans="1:29" ht="15.75" thickBot="1">
      <c r="A130" s="649"/>
      <c r="B130" s="658"/>
      <c r="C130" s="672">
        <v>100</v>
      </c>
      <c r="D130" s="672">
        <v>101</v>
      </c>
      <c r="E130" s="672">
        <v>102</v>
      </c>
      <c r="F130" s="672">
        <v>103</v>
      </c>
      <c r="G130" s="651"/>
      <c r="H130" s="651"/>
      <c r="I130" s="651"/>
      <c r="J130" s="651"/>
      <c r="K130" s="651"/>
      <c r="L130" s="651"/>
      <c r="M130" s="652"/>
      <c r="N130" s="2146"/>
      <c r="O130" s="2146"/>
      <c r="P130" s="2194"/>
      <c r="Q130" s="2138"/>
      <c r="R130" s="2125"/>
      <c r="S130" s="2125"/>
      <c r="T130" s="2125"/>
      <c r="U130" s="2125"/>
      <c r="V130" s="2125"/>
      <c r="W130" s="2125"/>
      <c r="X130" s="2125"/>
      <c r="Y130" s="2125"/>
      <c r="Z130" s="2125"/>
      <c r="AA130" s="2125"/>
      <c r="AB130" s="2125"/>
      <c r="AC130" s="2125"/>
    </row>
    <row r="131" spans="1:29" ht="15" thickTop="1">
      <c r="A131" s="715"/>
      <c r="B131" s="661">
        <f>B47</f>
        <v>0</v>
      </c>
      <c r="C131" s="641">
        <v>111</v>
      </c>
      <c r="D131" s="641">
        <v>222</v>
      </c>
      <c r="E131" s="641">
        <v>333</v>
      </c>
      <c r="F131" s="641">
        <v>444</v>
      </c>
      <c r="G131" s="702"/>
      <c r="H131" s="702"/>
      <c r="I131" s="702"/>
      <c r="J131" s="702"/>
      <c r="K131" s="641"/>
      <c r="L131" s="642"/>
      <c r="M131" s="705"/>
      <c r="N131" s="2144"/>
      <c r="O131" s="2144"/>
      <c r="P131" s="2194"/>
      <c r="Q131" s="2138"/>
      <c r="R131" s="2125"/>
      <c r="S131" s="2125"/>
      <c r="T131" s="2125"/>
      <c r="U131" s="2125"/>
      <c r="V131" s="2125"/>
      <c r="W131" s="2125"/>
      <c r="X131" s="2125"/>
      <c r="Y131" s="2125"/>
      <c r="Z131" s="2125"/>
      <c r="AA131" s="2125"/>
      <c r="AB131" s="2125"/>
      <c r="AC131" s="2125"/>
    </row>
    <row r="132" spans="1:29" ht="15.75" thickBot="1">
      <c r="A132" s="873"/>
      <c r="B132" s="679"/>
      <c r="C132" s="680">
        <v>100</v>
      </c>
      <c r="D132" s="680">
        <v>98</v>
      </c>
      <c r="E132" s="680">
        <v>96</v>
      </c>
      <c r="F132" s="680">
        <v>94</v>
      </c>
      <c r="G132" s="706"/>
      <c r="H132" s="706"/>
      <c r="I132" s="706"/>
      <c r="J132" s="706"/>
      <c r="K132" s="706"/>
      <c r="L132" s="706"/>
      <c r="M132" s="707"/>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82" t="s">
        <v>755</v>
      </c>
      <c r="B1" s="483" t="s">
        <v>940</v>
      </c>
      <c r="C1" s="484" t="s">
        <v>757</v>
      </c>
      <c r="D1" s="829" t="s">
        <v>2546</v>
      </c>
      <c r="E1" s="486"/>
      <c r="F1" s="2825" t="s">
        <v>2843</v>
      </c>
      <c r="G1" s="1582" t="s">
        <v>758</v>
      </c>
      <c r="H1" s="486"/>
      <c r="I1" s="486"/>
      <c r="J1" s="486"/>
      <c r="K1" s="487"/>
      <c r="L1" s="1543"/>
      <c r="M1" s="1544"/>
      <c r="N1" s="1544"/>
      <c r="O1" s="1544"/>
      <c r="P1" s="1545"/>
      <c r="Q1" s="1545"/>
      <c r="R1" s="1545"/>
      <c r="S1" s="1545"/>
      <c r="T1" s="1545"/>
      <c r="U1" s="1545"/>
      <c r="V1" s="1545"/>
      <c r="W1" s="1545"/>
      <c r="X1" s="1545"/>
      <c r="Y1" s="1545"/>
      <c r="Z1" s="1545"/>
      <c r="AA1" s="1545"/>
      <c r="AB1" s="1545"/>
      <c r="AC1" s="408"/>
    </row>
    <row r="2" spans="1:29" s="1321" customFormat="1" ht="28.5" customHeight="1">
      <c r="A2" s="403" t="s">
        <v>450</v>
      </c>
      <c r="B2" s="830" t="e">
        <f>ROUND(B3*D3/10000,0)</f>
        <v>#DIV/0!</v>
      </c>
      <c r="C2" s="2107"/>
      <c r="D2" s="2107"/>
      <c r="E2" s="2108"/>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408"/>
    </row>
    <row r="3" spans="1:29" s="1321" customFormat="1" ht="28.5" customHeight="1" thickBot="1">
      <c r="A3" s="489" t="s">
        <v>503</v>
      </c>
      <c r="B3" s="490" t="e">
        <f>C43</f>
        <v>#DIV/0!</v>
      </c>
      <c r="C3" s="832" t="s">
        <v>759</v>
      </c>
      <c r="D3" s="831">
        <f>SUMIF('数据-汇总表'!$C19:$C36,D1,'数据-汇总表'!$E19:$E36)</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08"/>
    </row>
    <row r="4" spans="1:29" ht="15">
      <c r="A4" s="492" t="s">
        <v>505</v>
      </c>
      <c r="B4" s="493"/>
      <c r="C4" s="3402" t="s">
        <v>506</v>
      </c>
      <c r="D4" s="3403"/>
      <c r="E4" s="3444" t="s">
        <v>507</v>
      </c>
      <c r="F4" s="3445"/>
      <c r="G4" s="3402" t="s">
        <v>508</v>
      </c>
      <c r="H4" s="3403"/>
      <c r="I4" s="3402" t="s">
        <v>509</v>
      </c>
      <c r="J4" s="3403"/>
      <c r="K4" s="494" t="s">
        <v>510</v>
      </c>
      <c r="L4" s="2113"/>
      <c r="M4" s="2114"/>
      <c r="N4" s="2114"/>
      <c r="O4" s="2114"/>
      <c r="P4" s="3404" t="s">
        <v>511</v>
      </c>
      <c r="Q4" s="3405"/>
      <c r="R4" s="3410" t="s">
        <v>507</v>
      </c>
      <c r="S4" s="3411"/>
      <c r="T4" s="3410" t="s">
        <v>508</v>
      </c>
      <c r="U4" s="3411"/>
      <c r="V4" s="3397" t="s">
        <v>509</v>
      </c>
      <c r="W4" s="3397"/>
      <c r="X4" s="1548"/>
      <c r="Y4" s="3410" t="s">
        <v>511</v>
      </c>
      <c r="Z4" s="3411"/>
      <c r="AA4" s="3399" t="s">
        <v>507</v>
      </c>
      <c r="AB4" s="3400" t="s">
        <v>508</v>
      </c>
      <c r="AC4" s="3399" t="s">
        <v>509</v>
      </c>
    </row>
    <row r="5" spans="1:29" ht="15">
      <c r="A5" s="495"/>
      <c r="B5" s="496"/>
      <c r="C5" s="3438" t="s">
        <v>512</v>
      </c>
      <c r="D5" s="3439"/>
      <c r="E5" s="3446" t="s">
        <v>513</v>
      </c>
      <c r="F5" s="3447"/>
      <c r="G5" s="3438" t="s">
        <v>514</v>
      </c>
      <c r="H5" s="3439"/>
      <c r="I5" s="3438" t="s">
        <v>515</v>
      </c>
      <c r="J5" s="3439"/>
      <c r="K5" s="494"/>
      <c r="L5" s="2113"/>
      <c r="M5" s="2114"/>
      <c r="N5" s="2114"/>
      <c r="O5" s="2114"/>
      <c r="P5" s="3406"/>
      <c r="Q5" s="3407"/>
      <c r="R5" s="3412"/>
      <c r="S5" s="3413"/>
      <c r="T5" s="3412"/>
      <c r="U5" s="3413"/>
      <c r="V5" s="3397"/>
      <c r="W5" s="3397"/>
      <c r="X5" s="1548"/>
      <c r="Y5" s="3412"/>
      <c r="Z5" s="3413"/>
      <c r="AA5" s="3400"/>
      <c r="AB5" s="3400"/>
      <c r="AC5" s="3400"/>
    </row>
    <row r="6" spans="1:29" ht="15.75" thickBot="1">
      <c r="A6" s="497"/>
      <c r="B6" s="498"/>
      <c r="C6" s="3440" t="s">
        <v>516</v>
      </c>
      <c r="D6" s="3441"/>
      <c r="E6" s="3442" t="s">
        <v>516</v>
      </c>
      <c r="F6" s="3443"/>
      <c r="G6" s="3440" t="s">
        <v>516</v>
      </c>
      <c r="H6" s="3441"/>
      <c r="I6" s="3440" t="s">
        <v>516</v>
      </c>
      <c r="J6" s="3441"/>
      <c r="K6" s="494" t="s">
        <v>517</v>
      </c>
      <c r="L6" s="2113"/>
      <c r="M6" s="2114"/>
      <c r="N6" s="2114"/>
      <c r="O6" s="2114"/>
      <c r="P6" s="3408"/>
      <c r="Q6" s="3409"/>
      <c r="R6" s="3412"/>
      <c r="S6" s="3413"/>
      <c r="T6" s="3414"/>
      <c r="U6" s="3415"/>
      <c r="V6" s="3397"/>
      <c r="W6" s="3397"/>
      <c r="X6" s="1548"/>
      <c r="Y6" s="3414"/>
      <c r="Z6" s="3415"/>
      <c r="AA6" s="3401"/>
      <c r="AB6" s="3401"/>
      <c r="AC6" s="3401"/>
    </row>
    <row r="7" spans="1:29" s="1199" customFormat="1" ht="15.75" thickBot="1">
      <c r="A7" s="2929"/>
      <c r="B7" s="2936" t="s">
        <v>518</v>
      </c>
      <c r="C7" s="499">
        <f>'数据-取费表'!B2</f>
        <v>42898</v>
      </c>
      <c r="D7" s="500">
        <v>100</v>
      </c>
      <c r="E7" s="501">
        <v>42277</v>
      </c>
      <c r="F7" s="502">
        <f>SUMIF(52:52,YEAR(E7)&amp;"-"&amp;MONTH(E7),53:53)</f>
        <v>0</v>
      </c>
      <c r="G7" s="501">
        <v>42277</v>
      </c>
      <c r="H7" s="500">
        <f>SUMIF(52:52,YEAR(G7)&amp;"-"&amp;MONTH(G7),53:53)</f>
        <v>0</v>
      </c>
      <c r="I7" s="501">
        <v>42277</v>
      </c>
      <c r="J7" s="500">
        <f>SUMIF(52:52,YEAR(I7)&amp;"-"&amp;MONTH(I7),53:53)</f>
        <v>0</v>
      </c>
      <c r="K7" s="504"/>
      <c r="L7" s="2115"/>
      <c r="M7" s="2116"/>
      <c r="N7" s="2116"/>
      <c r="O7" s="2116"/>
      <c r="P7" s="3431" t="s">
        <v>519</v>
      </c>
      <c r="Q7" s="3433"/>
      <c r="R7" s="1549" t="s">
        <v>8</v>
      </c>
      <c r="S7" s="1550">
        <f t="shared" ref="S7:S15" si="0">F7</f>
        <v>0</v>
      </c>
      <c r="T7" s="1549" t="s">
        <v>8</v>
      </c>
      <c r="U7" s="1550">
        <f t="shared" ref="U7:U15" si="1">H7</f>
        <v>0</v>
      </c>
      <c r="V7" s="1549" t="s">
        <v>8</v>
      </c>
      <c r="W7" s="1550">
        <f t="shared" ref="W7:W15" si="2">J7</f>
        <v>0</v>
      </c>
      <c r="X7" s="1551"/>
      <c r="Y7" s="3431" t="s">
        <v>519</v>
      </c>
      <c r="Z7" s="3432"/>
      <c r="AA7" s="1552" t="e">
        <f>D7/F7</f>
        <v>#DIV/0!</v>
      </c>
      <c r="AB7" s="1552" t="e">
        <f>D7/H7</f>
        <v>#DIV/0!</v>
      </c>
      <c r="AC7" s="1552" t="e">
        <f>D7/J7</f>
        <v>#DIV/0!</v>
      </c>
    </row>
    <row r="8" spans="1:29" s="1199" customFormat="1" ht="15.75" thickBot="1">
      <c r="A8" s="2930"/>
      <c r="B8" s="2937" t="s">
        <v>520</v>
      </c>
      <c r="C8" s="505" t="s">
        <v>572</v>
      </c>
      <c r="D8" s="500">
        <v>100</v>
      </c>
      <c r="E8" s="505" t="s">
        <v>572</v>
      </c>
      <c r="F8" s="502">
        <f>SUMIF(55:55,E8,56:56)-SUMIF(55:55,C8,56:56)+100</f>
        <v>100</v>
      </c>
      <c r="G8" s="505" t="s">
        <v>618</v>
      </c>
      <c r="H8" s="500">
        <f>SUMIF(55:55,G8,56:56)-SUMIF(55:55,C8,56:56)+100</f>
        <v>98</v>
      </c>
      <c r="I8" s="505" t="s">
        <v>572</v>
      </c>
      <c r="J8" s="500">
        <f>SUMIF(55:55,I8,56:56)-SUMIF(55:55,C8,56:56)+100</f>
        <v>100</v>
      </c>
      <c r="K8" s="504"/>
      <c r="L8" s="2115"/>
      <c r="M8" s="2116"/>
      <c r="N8" s="2116"/>
      <c r="O8" s="2116"/>
      <c r="P8" s="3431" t="s">
        <v>522</v>
      </c>
      <c r="Q8" s="3432"/>
      <c r="R8" s="1549" t="s">
        <v>8</v>
      </c>
      <c r="S8" s="1550">
        <f t="shared" si="0"/>
        <v>100</v>
      </c>
      <c r="T8" s="1549" t="s">
        <v>8</v>
      </c>
      <c r="U8" s="1550">
        <f t="shared" si="1"/>
        <v>98</v>
      </c>
      <c r="V8" s="1549" t="s">
        <v>8</v>
      </c>
      <c r="W8" s="1550">
        <f t="shared" si="2"/>
        <v>100</v>
      </c>
      <c r="X8" s="1551"/>
      <c r="Y8" s="3431" t="s">
        <v>522</v>
      </c>
      <c r="Z8" s="3432"/>
      <c r="AA8" s="1552">
        <f t="shared" ref="AA8:AA40" si="3">D8/F8</f>
        <v>1</v>
      </c>
      <c r="AB8" s="1552">
        <f t="shared" ref="AB8:AB40" si="4">D8/H8</f>
        <v>1.0204081632653061</v>
      </c>
      <c r="AC8" s="1552">
        <f t="shared" ref="AC8:AC40" si="5">D8/J8</f>
        <v>1</v>
      </c>
    </row>
    <row r="9" spans="1:29" s="1199" customFormat="1" ht="15">
      <c r="A9" s="2931"/>
      <c r="B9" s="2938" t="s">
        <v>3039</v>
      </c>
      <c r="C9" s="837" t="s">
        <v>941</v>
      </c>
      <c r="D9" s="231">
        <v>100</v>
      </c>
      <c r="E9" s="840" t="s">
        <v>619</v>
      </c>
      <c r="F9" s="231">
        <f>SUMIF(57:57,E9,58:58)-SUMIF(57:57,C9,58:58)+100</f>
        <v>100</v>
      </c>
      <c r="G9" s="838" t="s">
        <v>619</v>
      </c>
      <c r="H9" s="231">
        <f>SUMIF(57:57,G9,58:58)-SUMIF(57:57,C9,58:58)+100</f>
        <v>100</v>
      </c>
      <c r="I9" s="838" t="s">
        <v>620</v>
      </c>
      <c r="J9" s="231">
        <f>SUMIF(57:57,I9,58:58)-SUMIF(57:57,C9,58:58)+100</f>
        <v>105</v>
      </c>
      <c r="K9" s="504"/>
      <c r="L9" s="2115"/>
      <c r="M9" s="2116"/>
      <c r="N9" s="2116"/>
      <c r="O9" s="2117"/>
      <c r="P9" s="3396" t="s">
        <v>524</v>
      </c>
      <c r="Q9" s="1130" t="str">
        <f t="shared" ref="Q9:Q15" si="6">B9</f>
        <v>用途</v>
      </c>
      <c r="R9" s="1549" t="s">
        <v>8</v>
      </c>
      <c r="S9" s="1550">
        <f t="shared" si="0"/>
        <v>100</v>
      </c>
      <c r="T9" s="1549" t="s">
        <v>8</v>
      </c>
      <c r="U9" s="1550">
        <f t="shared" si="1"/>
        <v>100</v>
      </c>
      <c r="V9" s="1549" t="s">
        <v>8</v>
      </c>
      <c r="W9" s="1550">
        <f t="shared" si="2"/>
        <v>105</v>
      </c>
      <c r="X9" s="1551"/>
      <c r="Y9" s="3343" t="s">
        <v>525</v>
      </c>
      <c r="Z9" s="1129" t="str">
        <f t="shared" ref="Z9:Z15" si="7">Q9</f>
        <v>用途</v>
      </c>
      <c r="AA9" s="1552">
        <f t="shared" si="3"/>
        <v>1</v>
      </c>
      <c r="AB9" s="1552">
        <f t="shared" si="4"/>
        <v>1</v>
      </c>
      <c r="AC9" s="1552">
        <f t="shared" si="5"/>
        <v>0.95238095238095233</v>
      </c>
    </row>
    <row r="10" spans="1:29" s="1323" customFormat="1" ht="27">
      <c r="A10" s="2932"/>
      <c r="B10" s="2937" t="s">
        <v>3040</v>
      </c>
      <c r="C10" s="841" t="s">
        <v>905</v>
      </c>
      <c r="D10" s="232">
        <v>100</v>
      </c>
      <c r="E10" s="841" t="s">
        <v>846</v>
      </c>
      <c r="F10" s="232">
        <f>SUMIF(59:59,E10,60:60)-SUMIF(59:59,C10,60:60)+100</f>
        <v>98</v>
      </c>
      <c r="G10" s="842" t="s">
        <v>847</v>
      </c>
      <c r="H10" s="232">
        <f>SUMIF(59:59,G10,60:60)-SUMIF(59:59,C10,60:60)+100</f>
        <v>96</v>
      </c>
      <c r="I10" s="841" t="s">
        <v>848</v>
      </c>
      <c r="J10" s="232">
        <f>SUMIF(59:59,I10,60:60)-SUMIF(59:59,C10,60:60)+100</f>
        <v>94</v>
      </c>
      <c r="K10" s="564">
        <v>2</v>
      </c>
      <c r="L10" s="2118"/>
      <c r="M10" s="2158"/>
      <c r="N10" s="2158"/>
      <c r="O10" s="2119"/>
      <c r="P10" s="3396"/>
      <c r="Q10" s="1130" t="str">
        <f t="shared" si="6"/>
        <v>土地使用年限（年）</v>
      </c>
      <c r="R10" s="1549" t="s">
        <v>8</v>
      </c>
      <c r="S10" s="1550">
        <f t="shared" si="0"/>
        <v>98</v>
      </c>
      <c r="T10" s="1549" t="s">
        <v>8</v>
      </c>
      <c r="U10" s="1550">
        <f t="shared" si="1"/>
        <v>96</v>
      </c>
      <c r="V10" s="1549" t="s">
        <v>8</v>
      </c>
      <c r="W10" s="1550">
        <f t="shared" si="2"/>
        <v>94</v>
      </c>
      <c r="X10" s="1551"/>
      <c r="Y10" s="3343"/>
      <c r="Z10" s="1129" t="str">
        <f t="shared" si="7"/>
        <v>土地使用年限（年）</v>
      </c>
      <c r="AA10" s="1552">
        <f t="shared" si="3"/>
        <v>1.0204081632653061</v>
      </c>
      <c r="AB10" s="1552">
        <f t="shared" si="4"/>
        <v>1.0416666666666667</v>
      </c>
      <c r="AC10" s="1552">
        <f t="shared" si="5"/>
        <v>1.0638297872340425</v>
      </c>
    </row>
    <row r="11" spans="1:29" ht="15">
      <c r="A11" s="2933"/>
      <c r="B11" s="2937" t="s">
        <v>3041</v>
      </c>
      <c r="C11" s="513">
        <v>1.5</v>
      </c>
      <c r="D11" s="232">
        <v>100</v>
      </c>
      <c r="E11" s="513">
        <v>2</v>
      </c>
      <c r="F11" s="232">
        <f>LOOKUP(E11,62:62,63:63)-LOOKUP(C11,62:62,63:63)+100</f>
        <v>97</v>
      </c>
      <c r="G11" s="514">
        <v>3.5</v>
      </c>
      <c r="H11" s="232">
        <f>LOOKUP(G11,62:62,63:63)-LOOKUP(C11,62:62,63:63)+100</f>
        <v>94</v>
      </c>
      <c r="I11" s="513">
        <v>5</v>
      </c>
      <c r="J11" s="232">
        <f>LOOKUP(I11,62:62,63:63)-LOOKUP(C11,62:62,63:63)+100</f>
        <v>91</v>
      </c>
      <c r="K11" s="564">
        <v>3</v>
      </c>
      <c r="L11" s="2120"/>
      <c r="M11" s="2114"/>
      <c r="N11" s="2114"/>
      <c r="O11" s="2121"/>
      <c r="P11" s="3396"/>
      <c r="Q11" s="1130" t="str">
        <f t="shared" si="6"/>
        <v>容积率</v>
      </c>
      <c r="R11" s="1549" t="s">
        <v>8</v>
      </c>
      <c r="S11" s="1550">
        <f t="shared" si="0"/>
        <v>97</v>
      </c>
      <c r="T11" s="1549" t="s">
        <v>8</v>
      </c>
      <c r="U11" s="1550">
        <f t="shared" si="1"/>
        <v>94</v>
      </c>
      <c r="V11" s="1549" t="s">
        <v>8</v>
      </c>
      <c r="W11" s="1550">
        <f t="shared" si="2"/>
        <v>91</v>
      </c>
      <c r="X11" s="1551"/>
      <c r="Y11" s="3343"/>
      <c r="Z11" s="1129" t="str">
        <f t="shared" si="7"/>
        <v>容积率</v>
      </c>
      <c r="AA11" s="1552">
        <f t="shared" si="3"/>
        <v>1.0309278350515463</v>
      </c>
      <c r="AB11" s="1552">
        <f t="shared" si="4"/>
        <v>1.0638297872340425</v>
      </c>
      <c r="AC11" s="1552">
        <f t="shared" si="5"/>
        <v>1.098901098901099</v>
      </c>
    </row>
    <row r="12" spans="1:29" s="1199" customFormat="1" ht="15">
      <c r="A12" s="2934"/>
      <c r="B12" s="2940">
        <v>111</v>
      </c>
      <c r="C12" s="508">
        <v>111</v>
      </c>
      <c r="D12" s="518">
        <v>100</v>
      </c>
      <c r="E12" s="519">
        <v>222</v>
      </c>
      <c r="F12" s="232">
        <f>SUMIF(64:64,E12,65:65)-SUMIF(64:64,C12,65:65)+100</f>
        <v>95</v>
      </c>
      <c r="G12" s="899">
        <v>333</v>
      </c>
      <c r="H12" s="232">
        <f>SUMIF(64:64,G12,65:65)-SUMIF(64:64,C12,65:65)+100</f>
        <v>90</v>
      </c>
      <c r="I12" s="860">
        <v>444</v>
      </c>
      <c r="J12" s="232">
        <f>SUMIF(64:64,I12,65:65)-SUMIF(64:64,C12,65:65)+100</f>
        <v>85</v>
      </c>
      <c r="K12" s="561"/>
      <c r="L12" s="2115"/>
      <c r="M12" s="2116"/>
      <c r="N12" s="2116"/>
      <c r="O12" s="2117"/>
      <c r="P12" s="3396"/>
      <c r="Q12" s="1130">
        <f t="shared" si="6"/>
        <v>111</v>
      </c>
      <c r="R12" s="1549" t="s">
        <v>8</v>
      </c>
      <c r="S12" s="1550">
        <f t="shared" si="0"/>
        <v>95</v>
      </c>
      <c r="T12" s="1549" t="s">
        <v>8</v>
      </c>
      <c r="U12" s="1550">
        <f t="shared" si="1"/>
        <v>90</v>
      </c>
      <c r="V12" s="1549" t="s">
        <v>8</v>
      </c>
      <c r="W12" s="1550">
        <f t="shared" si="2"/>
        <v>85</v>
      </c>
      <c r="X12" s="1551"/>
      <c r="Y12" s="3343"/>
      <c r="Z12" s="1129">
        <f t="shared" si="7"/>
        <v>111</v>
      </c>
      <c r="AA12" s="1552">
        <f>D12/F12</f>
        <v>1.0526315789473684</v>
      </c>
      <c r="AB12" s="1552">
        <f>D12/H12</f>
        <v>1.1111111111111112</v>
      </c>
      <c r="AC12" s="1552">
        <f>D12/J12</f>
        <v>1.1764705882352942</v>
      </c>
    </row>
    <row r="13" spans="1:29" ht="15">
      <c r="A13" s="2934"/>
      <c r="B13" s="2940">
        <v>111</v>
      </c>
      <c r="C13" s="519">
        <v>111</v>
      </c>
      <c r="D13" s="520">
        <v>100</v>
      </c>
      <c r="E13" s="519">
        <v>222</v>
      </c>
      <c r="F13" s="232">
        <f>SUMIF(66:66,E13,67:67)-SUMIF(66:66,C13,67:67)+100</f>
        <v>95</v>
      </c>
      <c r="G13" s="899">
        <v>333</v>
      </c>
      <c r="H13" s="520">
        <f>SUMIF(66:66,G13,67:67)-SUMIF(66:66,C13,67:67)+100</f>
        <v>90</v>
      </c>
      <c r="I13" s="860">
        <v>444</v>
      </c>
      <c r="J13" s="520">
        <f>SUMIF(66:66,I13,67:67)-SUMIF(66:66,C13,67:67)+100</f>
        <v>85</v>
      </c>
      <c r="K13" s="561"/>
      <c r="L13" s="2122"/>
      <c r="M13" s="2114"/>
      <c r="N13" s="2114"/>
      <c r="O13" s="2121"/>
      <c r="P13" s="3396"/>
      <c r="Q13" s="1130">
        <f t="shared" si="6"/>
        <v>111</v>
      </c>
      <c r="R13" s="1549" t="s">
        <v>8</v>
      </c>
      <c r="S13" s="1550">
        <f t="shared" si="0"/>
        <v>95</v>
      </c>
      <c r="T13" s="1549" t="s">
        <v>8</v>
      </c>
      <c r="U13" s="1550">
        <f t="shared" si="1"/>
        <v>90</v>
      </c>
      <c r="V13" s="1549" t="s">
        <v>8</v>
      </c>
      <c r="W13" s="1550">
        <f t="shared" si="2"/>
        <v>85</v>
      </c>
      <c r="X13" s="1551"/>
      <c r="Y13" s="3343"/>
      <c r="Z13" s="1129">
        <f t="shared" si="7"/>
        <v>111</v>
      </c>
      <c r="AA13" s="1552">
        <f t="shared" si="3"/>
        <v>1.0526315789473684</v>
      </c>
      <c r="AB13" s="1552">
        <f t="shared" si="4"/>
        <v>1.1111111111111112</v>
      </c>
      <c r="AC13" s="1552">
        <f t="shared" si="5"/>
        <v>1.1764705882352942</v>
      </c>
    </row>
    <row r="14" spans="1:29" ht="15.75" thickBot="1">
      <c r="A14" s="2935"/>
      <c r="B14" s="2941">
        <v>111</v>
      </c>
      <c r="C14" s="525">
        <v>111</v>
      </c>
      <c r="D14" s="526">
        <v>100</v>
      </c>
      <c r="E14" s="525">
        <v>222</v>
      </c>
      <c r="F14" s="526">
        <f>SUMIF(68:68,E14,69:69)-SUMIF(68:68,C14,69:69)+100</f>
        <v>98</v>
      </c>
      <c r="G14" s="899">
        <v>333</v>
      </c>
      <c r="H14" s="526">
        <f>SUMIF(68:68,G14,69:69)-SUMIF(68:68,C14,69:69)+100</f>
        <v>96</v>
      </c>
      <c r="I14" s="860">
        <v>444</v>
      </c>
      <c r="J14" s="526">
        <f>SUMIF(68:68,I14,69:69)-SUMIF(68:68,C14,69:69)+100</f>
        <v>94</v>
      </c>
      <c r="K14" s="561"/>
      <c r="L14" s="2122"/>
      <c r="M14" s="2114"/>
      <c r="N14" s="2114"/>
      <c r="O14" s="2121"/>
      <c r="P14" s="3396"/>
      <c r="Q14" s="1130">
        <f t="shared" si="6"/>
        <v>111</v>
      </c>
      <c r="R14" s="1549" t="s">
        <v>8</v>
      </c>
      <c r="S14" s="1550">
        <f t="shared" si="0"/>
        <v>98</v>
      </c>
      <c r="T14" s="1549" t="s">
        <v>8</v>
      </c>
      <c r="U14" s="1550">
        <f t="shared" si="1"/>
        <v>96</v>
      </c>
      <c r="V14" s="1549" t="s">
        <v>8</v>
      </c>
      <c r="W14" s="1550">
        <f t="shared" si="2"/>
        <v>94</v>
      </c>
      <c r="X14" s="1551"/>
      <c r="Y14" s="3343"/>
      <c r="Z14" s="1129">
        <f t="shared" si="7"/>
        <v>111</v>
      </c>
      <c r="AA14" s="1552">
        <f t="shared" si="3"/>
        <v>1.0204081632653061</v>
      </c>
      <c r="AB14" s="1552">
        <f t="shared" si="4"/>
        <v>1.0416666666666667</v>
      </c>
      <c r="AC14" s="1552">
        <f t="shared" si="5"/>
        <v>1.0638297872340425</v>
      </c>
    </row>
    <row r="15" spans="1:29" ht="71.25">
      <c r="A15" s="2927" t="s">
        <v>3037</v>
      </c>
      <c r="B15" s="157" t="s">
        <v>942</v>
      </c>
      <c r="C15" s="900" t="str">
        <f>估价对象房地状况!G3</f>
        <v>估价对象位于北京经济技术开发区，园区建设成熟，产业集聚程度较好</v>
      </c>
      <c r="D15" s="529">
        <v>100</v>
      </c>
      <c r="E15" s="530"/>
      <c r="F15" s="531">
        <f>SUMIF(70:70,E16,71:71)-SUMIF(70:70,C16,71:71)+100</f>
        <v>100</v>
      </c>
      <c r="G15" s="532"/>
      <c r="H15" s="529">
        <f>SUMIF(70:70,G16,71:71)-SUMIF(70:70,C16,71:71)+100</f>
        <v>100</v>
      </c>
      <c r="I15" s="530"/>
      <c r="J15" s="529">
        <f>SUMIF(70:70,I16,71:71)-SUMIF(70:70,C16,71:71)+100</f>
        <v>100</v>
      </c>
      <c r="K15" s="878">
        <v>2</v>
      </c>
      <c r="L15" s="2122"/>
      <c r="M15" s="2114"/>
      <c r="N15" s="2114"/>
      <c r="O15" s="2121"/>
      <c r="P15" s="3434" t="s">
        <v>529</v>
      </c>
      <c r="Q15" s="1553" t="str">
        <f t="shared" si="6"/>
        <v>产业集聚程度</v>
      </c>
      <c r="R15" s="1554" t="s">
        <v>8</v>
      </c>
      <c r="S15" s="1555">
        <f t="shared" si="0"/>
        <v>100</v>
      </c>
      <c r="T15" s="1554" t="s">
        <v>8</v>
      </c>
      <c r="U15" s="1555">
        <f t="shared" si="1"/>
        <v>100</v>
      </c>
      <c r="V15" s="1554" t="s">
        <v>8</v>
      </c>
      <c r="W15" s="1555">
        <f t="shared" si="2"/>
        <v>100</v>
      </c>
      <c r="X15" s="1548"/>
      <c r="Y15" s="3434" t="s">
        <v>529</v>
      </c>
      <c r="Z15" s="1556" t="str">
        <f t="shared" si="7"/>
        <v>产业集聚程度</v>
      </c>
      <c r="AA15" s="1557">
        <f t="shared" si="3"/>
        <v>1</v>
      </c>
      <c r="AB15" s="1557">
        <f t="shared" si="4"/>
        <v>1</v>
      </c>
      <c r="AC15" s="1557">
        <f t="shared" si="5"/>
        <v>1</v>
      </c>
    </row>
    <row r="16" spans="1:29" ht="15">
      <c r="A16" s="512"/>
      <c r="B16" s="849"/>
      <c r="C16" s="556" t="s">
        <v>531</v>
      </c>
      <c r="D16" s="535"/>
      <c r="E16" s="556" t="s">
        <v>531</v>
      </c>
      <c r="F16" s="537"/>
      <c r="G16" s="556" t="s">
        <v>531</v>
      </c>
      <c r="H16" s="539"/>
      <c r="I16" s="556" t="s">
        <v>531</v>
      </c>
      <c r="J16" s="535"/>
      <c r="K16" s="879"/>
      <c r="L16" s="2122"/>
      <c r="M16" s="2114"/>
      <c r="N16" s="2114"/>
      <c r="O16" s="2121"/>
      <c r="P16" s="3435"/>
      <c r="Q16" s="1553"/>
      <c r="R16" s="1554"/>
      <c r="S16" s="1555"/>
      <c r="T16" s="1554"/>
      <c r="U16" s="1555"/>
      <c r="V16" s="1554"/>
      <c r="W16" s="1555"/>
      <c r="X16" s="1548"/>
      <c r="Y16" s="3435"/>
      <c r="Z16" s="1556"/>
      <c r="AA16" s="1557">
        <v>1</v>
      </c>
      <c r="AB16" s="1557">
        <v>1</v>
      </c>
      <c r="AC16" s="1557">
        <v>1</v>
      </c>
    </row>
    <row r="17" spans="1:29" ht="85.5">
      <c r="A17" s="512"/>
      <c r="B17" s="851" t="s">
        <v>279</v>
      </c>
      <c r="C17" s="852" t="str">
        <f>估价对象房地状况!G4</f>
        <v>估价对象周边道路状况、公共交通通达情况、停车便捷程度，综合评价交通便捷度较好</v>
      </c>
      <c r="D17" s="539">
        <v>100</v>
      </c>
      <c r="E17" s="542"/>
      <c r="F17" s="543">
        <f>SUMIF(72:72,E18,73:73)-SUMIF(72:72,C18,73:73)+100</f>
        <v>97</v>
      </c>
      <c r="G17" s="544"/>
      <c r="H17" s="545">
        <f>SUMIF(72:72,G18,73:73)-SUMIF(72:72,C18,73:73)+100</f>
        <v>106</v>
      </c>
      <c r="I17" s="542"/>
      <c r="J17" s="545">
        <f>SUMIF(72:72,I18,73:73)-SUMIF(72:72,C18,73:73)+100</f>
        <v>97</v>
      </c>
      <c r="K17" s="878">
        <v>3</v>
      </c>
      <c r="L17" s="2122"/>
      <c r="M17" s="2114"/>
      <c r="N17" s="2114"/>
      <c r="O17" s="2121"/>
      <c r="P17" s="3435"/>
      <c r="Q17" s="1553" t="str">
        <f>B17</f>
        <v>交通便捷度</v>
      </c>
      <c r="R17" s="1554" t="s">
        <v>8</v>
      </c>
      <c r="S17" s="1555">
        <f>F17</f>
        <v>97</v>
      </c>
      <c r="T17" s="1554" t="s">
        <v>8</v>
      </c>
      <c r="U17" s="1555">
        <f>H17</f>
        <v>106</v>
      </c>
      <c r="V17" s="1554" t="s">
        <v>8</v>
      </c>
      <c r="W17" s="1555">
        <f>J17</f>
        <v>97</v>
      </c>
      <c r="X17" s="1548"/>
      <c r="Y17" s="3435"/>
      <c r="Z17" s="1556" t="str">
        <f>Q17</f>
        <v>交通便捷度</v>
      </c>
      <c r="AA17" s="1557">
        <f t="shared" si="3"/>
        <v>1.0309278350515463</v>
      </c>
      <c r="AB17" s="1557">
        <f t="shared" si="4"/>
        <v>0.94339622641509435</v>
      </c>
      <c r="AC17" s="1557">
        <f t="shared" si="5"/>
        <v>1.0309278350515463</v>
      </c>
    </row>
    <row r="18" spans="1:29" ht="15">
      <c r="A18" s="512"/>
      <c r="B18" s="575"/>
      <c r="C18" s="853" t="s">
        <v>530</v>
      </c>
      <c r="D18" s="539"/>
      <c r="E18" s="548" t="s">
        <v>535</v>
      </c>
      <c r="F18" s="543"/>
      <c r="G18" s="549" t="s">
        <v>623</v>
      </c>
      <c r="H18" s="535"/>
      <c r="I18" s="548" t="s">
        <v>535</v>
      </c>
      <c r="J18" s="535"/>
      <c r="K18" s="879"/>
      <c r="L18" s="2122"/>
      <c r="M18" s="2114"/>
      <c r="N18" s="2114"/>
      <c r="O18" s="2121"/>
      <c r="P18" s="3435"/>
      <c r="Q18" s="1553"/>
      <c r="R18" s="1554"/>
      <c r="S18" s="1555"/>
      <c r="T18" s="1554"/>
      <c r="U18" s="1555"/>
      <c r="V18" s="1554"/>
      <c r="W18" s="1555"/>
      <c r="X18" s="1548"/>
      <c r="Y18" s="3435"/>
      <c r="Z18" s="1556"/>
      <c r="AA18" s="1557">
        <v>1</v>
      </c>
      <c r="AB18" s="1557">
        <v>1</v>
      </c>
      <c r="AC18" s="1557">
        <v>1</v>
      </c>
    </row>
    <row r="19" spans="1:29" ht="42.75">
      <c r="A19" s="512"/>
      <c r="B19" s="2616" t="s">
        <v>2813</v>
      </c>
      <c r="C19" s="852" t="str">
        <f>估价对象房地状况!G5</f>
        <v>估价对象所在区域公共配套设施齐备情况</v>
      </c>
      <c r="D19" s="545">
        <v>100</v>
      </c>
      <c r="E19" s="550"/>
      <c r="F19" s="551">
        <f>SUMIF(74:74,E20,75:75)-SUMIF(74:74,C20,75:75)+100</f>
        <v>101</v>
      </c>
      <c r="G19" s="552"/>
      <c r="H19" s="539">
        <f>SUMIF(74:74,G20,75:75)-SUMIF(74:74,C20,75:75)+100</f>
        <v>103</v>
      </c>
      <c r="I19" s="550"/>
      <c r="J19" s="539">
        <f>SUMIF(74:74,I20,75:75)-SUMIF(74:74,C20,75:75)+100</f>
        <v>100</v>
      </c>
      <c r="K19" s="878">
        <v>1</v>
      </c>
      <c r="L19" s="2122"/>
      <c r="M19" s="2114"/>
      <c r="N19" s="2114"/>
      <c r="O19" s="2121"/>
      <c r="P19" s="3435"/>
      <c r="Q19" s="1553" t="str">
        <f>B19</f>
        <v>公共配套设施</v>
      </c>
      <c r="R19" s="1554" t="s">
        <v>8</v>
      </c>
      <c r="S19" s="1555">
        <f>F19</f>
        <v>101</v>
      </c>
      <c r="T19" s="1554" t="s">
        <v>8</v>
      </c>
      <c r="U19" s="1555">
        <f>H19</f>
        <v>103</v>
      </c>
      <c r="V19" s="1554" t="s">
        <v>8</v>
      </c>
      <c r="W19" s="1555">
        <f>J19</f>
        <v>100</v>
      </c>
      <c r="X19" s="1548"/>
      <c r="Y19" s="3435"/>
      <c r="Z19" s="1556" t="str">
        <f>Q19</f>
        <v>公共配套设施</v>
      </c>
      <c r="AA19" s="1557">
        <f t="shared" si="3"/>
        <v>0.99009900990099009</v>
      </c>
      <c r="AB19" s="1557">
        <f t="shared" si="4"/>
        <v>0.970873786407767</v>
      </c>
      <c r="AC19" s="1557">
        <f t="shared" si="5"/>
        <v>1</v>
      </c>
    </row>
    <row r="20" spans="1:29" ht="15">
      <c r="A20" s="512"/>
      <c r="B20" s="546"/>
      <c r="C20" s="556" t="s">
        <v>535</v>
      </c>
      <c r="D20" s="535"/>
      <c r="E20" s="536" t="s">
        <v>530</v>
      </c>
      <c r="F20" s="537"/>
      <c r="G20" s="538" t="s">
        <v>623</v>
      </c>
      <c r="H20" s="535"/>
      <c r="I20" s="536" t="s">
        <v>535</v>
      </c>
      <c r="J20" s="535"/>
      <c r="K20" s="879"/>
      <c r="L20" s="2122"/>
      <c r="M20" s="2114"/>
      <c r="N20" s="2114"/>
      <c r="O20" s="2121"/>
      <c r="P20" s="3435"/>
      <c r="Q20" s="1553"/>
      <c r="R20" s="1554"/>
      <c r="S20" s="1555"/>
      <c r="T20" s="1554"/>
      <c r="U20" s="1555"/>
      <c r="V20" s="1554"/>
      <c r="W20" s="1555"/>
      <c r="X20" s="1548"/>
      <c r="Y20" s="3435"/>
      <c r="Z20" s="1556"/>
      <c r="AA20" s="1557">
        <v>1</v>
      </c>
      <c r="AB20" s="1557">
        <v>1</v>
      </c>
      <c r="AC20" s="1557">
        <v>1</v>
      </c>
    </row>
    <row r="21" spans="1:29" ht="28.5">
      <c r="A21" s="512"/>
      <c r="B21" s="2604" t="s">
        <v>2827</v>
      </c>
      <c r="C21" s="852" t="str">
        <f>估价对象房地状况!G6</f>
        <v>估价对象所在区域基础设施水平</v>
      </c>
      <c r="D21" s="545">
        <v>100</v>
      </c>
      <c r="E21" s="552"/>
      <c r="F21" s="551">
        <f>SUMIF(76:76,E22,77:77)-SUMIF(76:76,C22,77:77)+100</f>
        <v>99</v>
      </c>
      <c r="G21" s="552"/>
      <c r="H21" s="545">
        <f>SUMIF(76:76,G22,77:77)-SUMIF(76:76,C22,77:77)+100</f>
        <v>98</v>
      </c>
      <c r="I21" s="550"/>
      <c r="J21" s="545">
        <f>SUMIF(76:76,I22,77:77)-SUMIF(76:76,C22,77:77)+100</f>
        <v>97</v>
      </c>
      <c r="K21" s="878">
        <v>1</v>
      </c>
      <c r="L21" s="2122"/>
      <c r="M21" s="2114"/>
      <c r="N21" s="2114"/>
      <c r="O21" s="2121"/>
      <c r="P21" s="3435"/>
      <c r="Q21" s="2591" t="str">
        <f>B21</f>
        <v>基础设施水平</v>
      </c>
      <c r="R21" s="1554" t="s">
        <v>8</v>
      </c>
      <c r="S21" s="1555">
        <f>F21</f>
        <v>99</v>
      </c>
      <c r="T21" s="1554" t="s">
        <v>8</v>
      </c>
      <c r="U21" s="1555">
        <f>H21</f>
        <v>98</v>
      </c>
      <c r="V21" s="1554" t="s">
        <v>8</v>
      </c>
      <c r="W21" s="1555">
        <f>J21</f>
        <v>97</v>
      </c>
      <c r="X21" s="2593"/>
      <c r="Y21" s="3435"/>
      <c r="Z21" s="2592" t="str">
        <f>Q21</f>
        <v>基础设施水平</v>
      </c>
      <c r="AA21" s="1557">
        <f t="shared" ref="AA21" si="8">D21/F21</f>
        <v>1.0101010101010102</v>
      </c>
      <c r="AB21" s="1557">
        <f t="shared" ref="AB21" si="9">D21/H21</f>
        <v>1.0204081632653061</v>
      </c>
      <c r="AC21" s="1557">
        <f t="shared" ref="AC21" si="10">D21/J21</f>
        <v>1.0309278350515463</v>
      </c>
    </row>
    <row r="22" spans="1:29" ht="15">
      <c r="A22" s="512"/>
      <c r="B22" s="558"/>
      <c r="C22" s="853" t="s">
        <v>2805</v>
      </c>
      <c r="D22" s="535"/>
      <c r="E22" s="556" t="s">
        <v>2586</v>
      </c>
      <c r="F22" s="537"/>
      <c r="G22" s="556" t="s">
        <v>2587</v>
      </c>
      <c r="H22" s="535"/>
      <c r="I22" s="556" t="s">
        <v>2809</v>
      </c>
      <c r="J22" s="535"/>
      <c r="K22" s="2615"/>
      <c r="L22" s="2122"/>
      <c r="M22" s="2114"/>
      <c r="N22" s="2114"/>
      <c r="O22" s="2121"/>
      <c r="P22" s="3435"/>
      <c r="Q22" s="2591"/>
      <c r="R22" s="1554"/>
      <c r="S22" s="1555"/>
      <c r="T22" s="1554"/>
      <c r="U22" s="1555"/>
      <c r="V22" s="1554"/>
      <c r="W22" s="1555"/>
      <c r="X22" s="2593"/>
      <c r="Y22" s="3435"/>
      <c r="Z22" s="2592"/>
      <c r="AA22" s="1557">
        <v>1</v>
      </c>
      <c r="AB22" s="1557">
        <v>1</v>
      </c>
      <c r="AC22" s="1557">
        <v>1</v>
      </c>
    </row>
    <row r="23" spans="1:29" ht="71.25">
      <c r="A23" s="512"/>
      <c r="B23" s="851" t="s">
        <v>906</v>
      </c>
      <c r="C23" s="852" t="str">
        <f>估价对象房地状况!G7</f>
        <v>该园区内无污染型企业，绿化较好，卫生条件良好，整体环境状况较好</v>
      </c>
      <c r="D23" s="539">
        <v>100</v>
      </c>
      <c r="E23" s="542"/>
      <c r="F23" s="543">
        <f>SUMIF(78:78,E24,79:79)-SUMIF(78:78,C24,79:79)+100</f>
        <v>96</v>
      </c>
      <c r="G23" s="544"/>
      <c r="H23" s="539">
        <f>SUMIF(78:78,G24,79:79)-SUMIF(78:78,C24,79:79)+100</f>
        <v>98</v>
      </c>
      <c r="I23" s="542"/>
      <c r="J23" s="539">
        <f>SUMIF(78:78,I24,79:79)-SUMIF(78:78,C24,79:79)+100</f>
        <v>94</v>
      </c>
      <c r="K23" s="878">
        <v>2</v>
      </c>
      <c r="L23" s="2122"/>
      <c r="M23" s="2114"/>
      <c r="N23" s="2114"/>
      <c r="O23" s="2121"/>
      <c r="P23" s="3435"/>
      <c r="Q23" s="1553" t="str">
        <f>B23</f>
        <v>环境质量</v>
      </c>
      <c r="R23" s="1554" t="s">
        <v>8</v>
      </c>
      <c r="S23" s="1555">
        <f>F23</f>
        <v>96</v>
      </c>
      <c r="T23" s="1554" t="s">
        <v>8</v>
      </c>
      <c r="U23" s="1555">
        <f>H23</f>
        <v>98</v>
      </c>
      <c r="V23" s="1554" t="s">
        <v>8</v>
      </c>
      <c r="W23" s="1555">
        <f>J23</f>
        <v>94</v>
      </c>
      <c r="X23" s="1548"/>
      <c r="Y23" s="3435"/>
      <c r="Z23" s="1556" t="str">
        <f>Q23</f>
        <v>环境质量</v>
      </c>
      <c r="AA23" s="1557">
        <f t="shared" si="3"/>
        <v>1.0416666666666667</v>
      </c>
      <c r="AB23" s="1557">
        <f t="shared" si="4"/>
        <v>1.0204081632653061</v>
      </c>
      <c r="AC23" s="1557">
        <f t="shared" si="5"/>
        <v>1.0638297872340425</v>
      </c>
    </row>
    <row r="24" spans="1:29" ht="15">
      <c r="A24" s="512"/>
      <c r="B24" s="901"/>
      <c r="C24" s="556" t="s">
        <v>623</v>
      </c>
      <c r="D24" s="535"/>
      <c r="E24" s="536" t="s">
        <v>530</v>
      </c>
      <c r="F24" s="537"/>
      <c r="G24" s="538" t="s">
        <v>531</v>
      </c>
      <c r="H24" s="535"/>
      <c r="I24" s="536" t="s">
        <v>535</v>
      </c>
      <c r="J24" s="535"/>
      <c r="K24" s="879"/>
      <c r="L24" s="2122"/>
      <c r="M24" s="2114"/>
      <c r="N24" s="2114"/>
      <c r="O24" s="2121"/>
      <c r="P24" s="3435"/>
      <c r="Q24" s="1553"/>
      <c r="R24" s="1554"/>
      <c r="S24" s="1555"/>
      <c r="T24" s="1554"/>
      <c r="U24" s="1555"/>
      <c r="V24" s="1554"/>
      <c r="W24" s="1555"/>
      <c r="X24" s="1548"/>
      <c r="Y24" s="3435"/>
      <c r="Z24" s="1556"/>
      <c r="AA24" s="1557">
        <v>1</v>
      </c>
      <c r="AB24" s="1557">
        <v>1</v>
      </c>
      <c r="AC24" s="1557">
        <v>1</v>
      </c>
    </row>
    <row r="25" spans="1:29" ht="15">
      <c r="A25" s="495"/>
      <c r="B25" s="857">
        <v>111</v>
      </c>
      <c r="C25" s="519">
        <v>111</v>
      </c>
      <c r="D25" s="520">
        <v>100</v>
      </c>
      <c r="E25" s="519">
        <v>222</v>
      </c>
      <c r="F25" s="555">
        <f>SUMIF(80:80,E25,81:81)-SUMIF(80:80,C25,81:81)+100</f>
        <v>95</v>
      </c>
      <c r="G25" s="519">
        <v>333</v>
      </c>
      <c r="H25" s="520">
        <f>SUMIF(80:80,G25,81:81)-SUMIF(80:80,C25,81:81)+100</f>
        <v>90</v>
      </c>
      <c r="I25" s="519">
        <v>444</v>
      </c>
      <c r="J25" s="520">
        <f>SUMIF(80:80,I25,81:81)-SUMIF(80:80,C25,81:81)+100</f>
        <v>85</v>
      </c>
      <c r="K25" s="561"/>
      <c r="L25" s="2122"/>
      <c r="M25" s="2114"/>
      <c r="N25" s="2114"/>
      <c r="O25" s="2121"/>
      <c r="P25" s="3435"/>
      <c r="Q25" s="1553">
        <f>B25</f>
        <v>111</v>
      </c>
      <c r="R25" s="1554" t="s">
        <v>8</v>
      </c>
      <c r="S25" s="1555">
        <f>F25</f>
        <v>95</v>
      </c>
      <c r="T25" s="1554" t="s">
        <v>8</v>
      </c>
      <c r="U25" s="1555">
        <f>H25</f>
        <v>90</v>
      </c>
      <c r="V25" s="1554" t="s">
        <v>8</v>
      </c>
      <c r="W25" s="1555">
        <f>J25</f>
        <v>85</v>
      </c>
      <c r="X25" s="1548"/>
      <c r="Y25" s="3435"/>
      <c r="Z25" s="1556">
        <f>Q25</f>
        <v>111</v>
      </c>
      <c r="AA25" s="1557">
        <f t="shared" si="3"/>
        <v>1.0526315789473684</v>
      </c>
      <c r="AB25" s="1557">
        <f t="shared" si="4"/>
        <v>1.1111111111111112</v>
      </c>
      <c r="AC25" s="1557">
        <f t="shared" si="5"/>
        <v>1.1764705882352942</v>
      </c>
    </row>
    <row r="26" spans="1:29" ht="15">
      <c r="A26" s="512"/>
      <c r="B26" s="857">
        <v>111</v>
      </c>
      <c r="C26" s="519">
        <v>111</v>
      </c>
      <c r="D26" s="520">
        <v>100</v>
      </c>
      <c r="E26" s="519">
        <v>222</v>
      </c>
      <c r="F26" s="555">
        <f>SUMIF(82:82,E26,83:83)-SUMIF(82:82,C26,83:83)+100</f>
        <v>95</v>
      </c>
      <c r="G26" s="519">
        <v>333</v>
      </c>
      <c r="H26" s="520">
        <f>SUMIF(82:82,G26,83:83)-SUMIF(82:82,C26,83:83)+100</f>
        <v>90</v>
      </c>
      <c r="I26" s="519">
        <v>444</v>
      </c>
      <c r="J26" s="520">
        <f>SUMIF(82:82,I26,83:83)-SUMIF(82:82,C26,83:83)+100</f>
        <v>85</v>
      </c>
      <c r="K26" s="561"/>
      <c r="L26" s="2122"/>
      <c r="M26" s="2114"/>
      <c r="N26" s="2114"/>
      <c r="O26" s="2121"/>
      <c r="P26" s="3435"/>
      <c r="Q26" s="1553">
        <f t="shared" ref="Q26:Q40" si="11">B26</f>
        <v>111</v>
      </c>
      <c r="R26" s="1554" t="s">
        <v>8</v>
      </c>
      <c r="S26" s="1555">
        <f>F26</f>
        <v>95</v>
      </c>
      <c r="T26" s="1554" t="s">
        <v>8</v>
      </c>
      <c r="U26" s="1555">
        <f>H26</f>
        <v>90</v>
      </c>
      <c r="V26" s="1554" t="s">
        <v>8</v>
      </c>
      <c r="W26" s="1555">
        <f>J26</f>
        <v>85</v>
      </c>
      <c r="X26" s="1548"/>
      <c r="Y26" s="3435"/>
      <c r="Z26" s="1556">
        <f>Q26</f>
        <v>111</v>
      </c>
      <c r="AA26" s="1557">
        <f t="shared" si="3"/>
        <v>1.0526315789473684</v>
      </c>
      <c r="AB26" s="1557">
        <f t="shared" si="4"/>
        <v>1.1111111111111112</v>
      </c>
      <c r="AC26" s="1557">
        <f t="shared" si="5"/>
        <v>1.1764705882352942</v>
      </c>
    </row>
    <row r="27" spans="1:29" s="1199" customFormat="1" ht="15">
      <c r="A27" s="516"/>
      <c r="B27" s="857">
        <v>111</v>
      </c>
      <c r="C27" s="519">
        <v>111</v>
      </c>
      <c r="D27" s="855">
        <v>100</v>
      </c>
      <c r="E27" s="519">
        <v>222</v>
      </c>
      <c r="F27" s="856">
        <f>SUMIF(84:84,E27,85:85)-SUMIF(84:84,C27,85:85)+100</f>
        <v>95</v>
      </c>
      <c r="G27" s="519">
        <v>333</v>
      </c>
      <c r="H27" s="855">
        <f>SUMIF(84:84,G27,85:85)-SUMIF(84:84,C27,85:85)+100</f>
        <v>90</v>
      </c>
      <c r="I27" s="519">
        <v>444</v>
      </c>
      <c r="J27" s="855">
        <f>SUMIF(84:84,I27,85:85)-SUMIF(84:84,C27,85:85)+100</f>
        <v>85</v>
      </c>
      <c r="K27" s="561"/>
      <c r="L27" s="2115"/>
      <c r="M27" s="2116"/>
      <c r="N27" s="2116"/>
      <c r="O27" s="2117"/>
      <c r="P27" s="3435"/>
      <c r="Q27" s="1130">
        <f t="shared" si="11"/>
        <v>111</v>
      </c>
      <c r="R27" s="1549" t="s">
        <v>8</v>
      </c>
      <c r="S27" s="1550">
        <f>F27</f>
        <v>95</v>
      </c>
      <c r="T27" s="1549" t="s">
        <v>8</v>
      </c>
      <c r="U27" s="1550">
        <f>H27</f>
        <v>90</v>
      </c>
      <c r="V27" s="1549" t="s">
        <v>8</v>
      </c>
      <c r="W27" s="1550">
        <f>J27</f>
        <v>85</v>
      </c>
      <c r="X27" s="1551"/>
      <c r="Y27" s="3435"/>
      <c r="Z27" s="1129">
        <f>Q27</f>
        <v>111</v>
      </c>
      <c r="AA27" s="1557">
        <f>D27/F27</f>
        <v>1.0526315789473684</v>
      </c>
      <c r="AB27" s="1557">
        <f>D27/H27</f>
        <v>1.1111111111111112</v>
      </c>
      <c r="AC27" s="1557">
        <f>D27/J27</f>
        <v>1.1764705882352942</v>
      </c>
    </row>
    <row r="28" spans="1:29" ht="15.75" thickBot="1">
      <c r="A28" s="523"/>
      <c r="B28" s="857">
        <v>111</v>
      </c>
      <c r="C28" s="525">
        <v>111</v>
      </c>
      <c r="D28" s="526">
        <v>100</v>
      </c>
      <c r="E28" s="519">
        <v>222</v>
      </c>
      <c r="F28" s="846">
        <f>SUMIF(86:86,E28,87:87)-SUMIF(86:86,C28,87:87)+100</f>
        <v>98</v>
      </c>
      <c r="G28" s="860">
        <v>333</v>
      </c>
      <c r="H28" s="526">
        <f>SUMIF(86:86,G28,87:87)-SUMIF(86:86,C28,87:87)+100</f>
        <v>96</v>
      </c>
      <c r="I28" s="860">
        <v>444</v>
      </c>
      <c r="J28" s="526">
        <f>SUMIF(86:86,I28,87:87)-SUMIF(86:86,C28,87:87)+100</f>
        <v>94</v>
      </c>
      <c r="K28" s="561"/>
      <c r="L28" s="2122"/>
      <c r="M28" s="2114"/>
      <c r="N28" s="2114"/>
      <c r="O28" s="2121"/>
      <c r="P28" s="3435"/>
      <c r="Q28" s="1553">
        <f t="shared" si="11"/>
        <v>111</v>
      </c>
      <c r="R28" s="1554" t="s">
        <v>8</v>
      </c>
      <c r="S28" s="1555">
        <f t="shared" ref="S28:S40" si="12">F28</f>
        <v>98</v>
      </c>
      <c r="T28" s="1554" t="s">
        <v>8</v>
      </c>
      <c r="U28" s="1555">
        <f t="shared" ref="U28:U40" si="13">H28</f>
        <v>96</v>
      </c>
      <c r="V28" s="1554" t="s">
        <v>8</v>
      </c>
      <c r="W28" s="1555">
        <f t="shared" ref="W28:W40" si="14">J28</f>
        <v>94</v>
      </c>
      <c r="X28" s="1548"/>
      <c r="Y28" s="3435"/>
      <c r="Z28" s="1556">
        <f t="shared" ref="Z28:Z40" si="15">Q28</f>
        <v>111</v>
      </c>
      <c r="AA28" s="1557">
        <f t="shared" si="3"/>
        <v>1.0204081632653061</v>
      </c>
      <c r="AB28" s="1557">
        <f t="shared" si="4"/>
        <v>1.0416666666666667</v>
      </c>
      <c r="AC28" s="1557">
        <f t="shared" si="5"/>
        <v>1.0638297872340425</v>
      </c>
    </row>
    <row r="29" spans="1:29" ht="15">
      <c r="A29" s="2925" t="s">
        <v>3038</v>
      </c>
      <c r="B29" s="163" t="s">
        <v>908</v>
      </c>
      <c r="C29" s="895" t="s">
        <v>943</v>
      </c>
      <c r="D29" s="577">
        <v>100</v>
      </c>
      <c r="E29" s="895" t="s">
        <v>944</v>
      </c>
      <c r="F29" s="555">
        <f>SUMIF(88:88,E29,89:89)-SUMIF(88:88,C29,89:89)+100</f>
        <v>97</v>
      </c>
      <c r="G29" s="895" t="s">
        <v>943</v>
      </c>
      <c r="H29" s="520">
        <f>SUMIF(88:88,G29,89:89)-SUMIF(88:88,C29,89:89)+100</f>
        <v>100</v>
      </c>
      <c r="I29" s="895" t="s">
        <v>944</v>
      </c>
      <c r="J29" s="577">
        <f>SUMIF(88:88,I29,89:89)-SUMIF(88:88,C29,89:89)+100</f>
        <v>97</v>
      </c>
      <c r="K29" s="564">
        <v>3</v>
      </c>
      <c r="L29" s="2122"/>
      <c r="M29" s="2114"/>
      <c r="N29" s="2114"/>
      <c r="O29" s="2121"/>
      <c r="P29" s="3436" t="s">
        <v>543</v>
      </c>
      <c r="Q29" s="1553" t="str">
        <f t="shared" si="11"/>
        <v>建筑类型</v>
      </c>
      <c r="R29" s="1554" t="s">
        <v>8</v>
      </c>
      <c r="S29" s="1555">
        <f t="shared" si="12"/>
        <v>97</v>
      </c>
      <c r="T29" s="1554" t="s">
        <v>8</v>
      </c>
      <c r="U29" s="1555">
        <f t="shared" si="13"/>
        <v>100</v>
      </c>
      <c r="V29" s="1554" t="s">
        <v>8</v>
      </c>
      <c r="W29" s="1555">
        <f t="shared" si="14"/>
        <v>97</v>
      </c>
      <c r="X29" s="1548"/>
      <c r="Y29" s="3437" t="s">
        <v>543</v>
      </c>
      <c r="Z29" s="1556" t="str">
        <f t="shared" si="15"/>
        <v>建筑类型</v>
      </c>
      <c r="AA29" s="1557">
        <f t="shared" si="3"/>
        <v>1.0309278350515463</v>
      </c>
      <c r="AB29" s="1557">
        <f t="shared" si="4"/>
        <v>1</v>
      </c>
      <c r="AC29" s="1557">
        <f t="shared" si="5"/>
        <v>1.0309278350515463</v>
      </c>
    </row>
    <row r="30" spans="1:29" s="1324" customFormat="1" ht="15">
      <c r="A30" s="583"/>
      <c r="B30" s="507" t="s">
        <v>772</v>
      </c>
      <c r="C30" s="860">
        <v>10000</v>
      </c>
      <c r="D30" s="232">
        <v>100</v>
      </c>
      <c r="E30" s="514">
        <v>300</v>
      </c>
      <c r="F30" s="843">
        <f>LOOKUP(E30,91:91,92:92)-LOOKUP(C30,91:91,92:92)+100</f>
        <v>92</v>
      </c>
      <c r="G30" s="513">
        <v>600</v>
      </c>
      <c r="H30" s="232">
        <f>LOOKUP(G30,91:91,92:92)-LOOKUP(C30,91:91,92:92)+100</f>
        <v>94</v>
      </c>
      <c r="I30" s="513">
        <v>2500</v>
      </c>
      <c r="J30" s="232">
        <f>LOOKUP(I30,91:91,92:92)-LOOKUP(C30,91:91,92:92)+100</f>
        <v>96</v>
      </c>
      <c r="K30" s="561"/>
      <c r="L30" s="2120"/>
      <c r="M30" s="2151"/>
      <c r="N30" s="2151"/>
      <c r="O30" s="2123"/>
      <c r="P30" s="3437"/>
      <c r="Q30" s="1586" t="str">
        <f t="shared" si="11"/>
        <v>项目建筑规模</v>
      </c>
      <c r="R30" s="1558" t="s">
        <v>8</v>
      </c>
      <c r="S30" s="1559">
        <f t="shared" si="12"/>
        <v>92</v>
      </c>
      <c r="T30" s="1558" t="s">
        <v>8</v>
      </c>
      <c r="U30" s="1559">
        <f t="shared" si="13"/>
        <v>94</v>
      </c>
      <c r="V30" s="1558" t="s">
        <v>8</v>
      </c>
      <c r="W30" s="1559">
        <f t="shared" si="14"/>
        <v>96</v>
      </c>
      <c r="X30" s="1560"/>
      <c r="Y30" s="3437"/>
      <c r="Z30" s="1561" t="str">
        <f t="shared" si="15"/>
        <v>项目建筑规模</v>
      </c>
      <c r="AA30" s="1557">
        <f t="shared" si="3"/>
        <v>1.0869565217391304</v>
      </c>
      <c r="AB30" s="1557">
        <f t="shared" si="4"/>
        <v>1.0638297872340425</v>
      </c>
      <c r="AC30" s="1557">
        <f t="shared" si="5"/>
        <v>1.0416666666666667</v>
      </c>
    </row>
    <row r="31" spans="1:29" ht="15">
      <c r="A31" s="574"/>
      <c r="B31" s="507" t="s">
        <v>773</v>
      </c>
      <c r="C31" s="554" t="s">
        <v>858</v>
      </c>
      <c r="D31" s="520">
        <v>100</v>
      </c>
      <c r="E31" s="554" t="s">
        <v>774</v>
      </c>
      <c r="F31" s="555">
        <f>SUMIF(93:93,E31,94:94)-SUMIF(93:93,C31,94:94)+100</f>
        <v>97</v>
      </c>
      <c r="G31" s="554" t="s">
        <v>859</v>
      </c>
      <c r="H31" s="520">
        <f>SUMIF(93:93,G31,94:94)-SUMIF(93:93,C31,94:94)+100</f>
        <v>94</v>
      </c>
      <c r="I31" s="554" t="s">
        <v>858</v>
      </c>
      <c r="J31" s="520">
        <f>SUMIF(93:93,I31,94:94)-SUMIF(93:93,C31,94:94)+100</f>
        <v>100</v>
      </c>
      <c r="K31" s="564">
        <v>3</v>
      </c>
      <c r="L31" s="2122"/>
      <c r="M31" s="2114"/>
      <c r="N31" s="2114"/>
      <c r="O31" s="2121"/>
      <c r="P31" s="3437"/>
      <c r="Q31" s="1553" t="str">
        <f t="shared" si="11"/>
        <v>建筑结构</v>
      </c>
      <c r="R31" s="1554" t="s">
        <v>8</v>
      </c>
      <c r="S31" s="1555">
        <f t="shared" si="12"/>
        <v>97</v>
      </c>
      <c r="T31" s="1554" t="s">
        <v>8</v>
      </c>
      <c r="U31" s="1555">
        <f t="shared" si="13"/>
        <v>94</v>
      </c>
      <c r="V31" s="1554" t="s">
        <v>8</v>
      </c>
      <c r="W31" s="1555">
        <f t="shared" si="14"/>
        <v>100</v>
      </c>
      <c r="X31" s="1548"/>
      <c r="Y31" s="3437"/>
      <c r="Z31" s="1556" t="str">
        <f t="shared" si="15"/>
        <v>建筑结构</v>
      </c>
      <c r="AA31" s="1557">
        <f t="shared" si="3"/>
        <v>1.0309278350515463</v>
      </c>
      <c r="AB31" s="1557">
        <f t="shared" si="4"/>
        <v>1.0638297872340425</v>
      </c>
      <c r="AC31" s="1557">
        <f t="shared" si="5"/>
        <v>1</v>
      </c>
    </row>
    <row r="32" spans="1:29" ht="15">
      <c r="A32" s="574"/>
      <c r="B32" s="507" t="s">
        <v>860</v>
      </c>
      <c r="C32" s="554" t="s">
        <v>861</v>
      </c>
      <c r="D32" s="520">
        <v>100</v>
      </c>
      <c r="E32" s="554" t="s">
        <v>786</v>
      </c>
      <c r="F32" s="555">
        <f>SUMIF(95:95,E32,96:96)-SUMIF(95:95,C32,96:96)+100</f>
        <v>94</v>
      </c>
      <c r="G32" s="554" t="s">
        <v>862</v>
      </c>
      <c r="H32" s="520">
        <f>SUMIF(95:95,G32,96:96)-SUMIF(95:95,C32,96:96)+100</f>
        <v>97</v>
      </c>
      <c r="I32" s="554" t="s">
        <v>777</v>
      </c>
      <c r="J32" s="520">
        <f>SUMIF(95:95,I32,96:96)-SUMIF(95:95,C32,96:96)+100</f>
        <v>103</v>
      </c>
      <c r="K32" s="564">
        <v>3</v>
      </c>
      <c r="L32" s="2122"/>
      <c r="M32" s="2114"/>
      <c r="N32" s="2114"/>
      <c r="O32" s="2121"/>
      <c r="P32" s="3437"/>
      <c r="Q32" s="1553" t="str">
        <f t="shared" si="11"/>
        <v>公共部分装修</v>
      </c>
      <c r="R32" s="1554" t="s">
        <v>8</v>
      </c>
      <c r="S32" s="1555">
        <f t="shared" si="12"/>
        <v>94</v>
      </c>
      <c r="T32" s="1554" t="s">
        <v>8</v>
      </c>
      <c r="U32" s="1555">
        <f t="shared" si="13"/>
        <v>97</v>
      </c>
      <c r="V32" s="1554" t="s">
        <v>8</v>
      </c>
      <c r="W32" s="1555">
        <f t="shared" si="14"/>
        <v>103</v>
      </c>
      <c r="X32" s="1548"/>
      <c r="Y32" s="3437"/>
      <c r="Z32" s="1556" t="str">
        <f t="shared" si="15"/>
        <v>公共部分装修</v>
      </c>
      <c r="AA32" s="1557">
        <f t="shared" si="3"/>
        <v>1.0638297872340425</v>
      </c>
      <c r="AB32" s="1557">
        <f t="shared" si="4"/>
        <v>1.0309278350515463</v>
      </c>
      <c r="AC32" s="1557">
        <f t="shared" si="5"/>
        <v>0.970873786407767</v>
      </c>
    </row>
    <row r="33" spans="1:29" ht="15">
      <c r="A33" s="574"/>
      <c r="B33" s="507" t="s">
        <v>863</v>
      </c>
      <c r="C33" s="860">
        <v>0.97</v>
      </c>
      <c r="D33" s="520">
        <v>100</v>
      </c>
      <c r="E33" s="863">
        <v>0.85</v>
      </c>
      <c r="F33" s="555">
        <f>LOOKUP(E33,98:98,99:99)-LOOKUP(C33,98:98,99:99)+100</f>
        <v>98</v>
      </c>
      <c r="G33" s="863">
        <v>0.91</v>
      </c>
      <c r="H33" s="555">
        <f>LOOKUP(G33,98:98,99:99)-LOOKUP(C33,98:98,99:99)+100</f>
        <v>100</v>
      </c>
      <c r="I33" s="863">
        <v>0.7</v>
      </c>
      <c r="J33" s="520">
        <f>LOOKUP(I33,98:98,99:99)-LOOKUP(C33,98:98,99:99)+100</f>
        <v>96</v>
      </c>
      <c r="K33" s="564">
        <v>2</v>
      </c>
      <c r="L33" s="2122"/>
      <c r="M33" s="2114"/>
      <c r="N33" s="2114"/>
      <c r="O33" s="2121"/>
      <c r="P33" s="3437"/>
      <c r="Q33" s="1553" t="str">
        <f t="shared" si="11"/>
        <v>成新度</v>
      </c>
      <c r="R33" s="1554" t="s">
        <v>8</v>
      </c>
      <c r="S33" s="1555">
        <f t="shared" si="12"/>
        <v>98</v>
      </c>
      <c r="T33" s="1554" t="s">
        <v>8</v>
      </c>
      <c r="U33" s="1555">
        <f t="shared" si="13"/>
        <v>100</v>
      </c>
      <c r="V33" s="1554" t="s">
        <v>8</v>
      </c>
      <c r="W33" s="1555">
        <f t="shared" si="14"/>
        <v>96</v>
      </c>
      <c r="X33" s="1548"/>
      <c r="Y33" s="3437"/>
      <c r="Z33" s="1556" t="str">
        <f t="shared" si="15"/>
        <v>成新度</v>
      </c>
      <c r="AA33" s="1557">
        <f t="shared" si="3"/>
        <v>1.0204081632653061</v>
      </c>
      <c r="AB33" s="1557">
        <f t="shared" si="4"/>
        <v>1</v>
      </c>
      <c r="AC33" s="1557">
        <f t="shared" si="5"/>
        <v>1.0416666666666667</v>
      </c>
    </row>
    <row r="34" spans="1:29" s="1199" customFormat="1" ht="15">
      <c r="A34" s="580"/>
      <c r="B34" s="507" t="s">
        <v>914</v>
      </c>
      <c r="C34" s="554" t="s">
        <v>780</v>
      </c>
      <c r="D34" s="232">
        <v>100</v>
      </c>
      <c r="E34" s="554" t="s">
        <v>915</v>
      </c>
      <c r="F34" s="555">
        <f>SUMIF(100:100,E34,101:101)-SUMIF(100:100,C34,101:101)+100</f>
        <v>97</v>
      </c>
      <c r="G34" s="554" t="s">
        <v>780</v>
      </c>
      <c r="H34" s="520">
        <f>SUMIF(100:100,G34,101:101)-SUMIF(100:100,C34,101:101)+100</f>
        <v>100</v>
      </c>
      <c r="I34" s="554" t="s">
        <v>915</v>
      </c>
      <c r="J34" s="520">
        <f>SUMIF(100:100,I34,101:101)-SUMIF(100:100,C34,101:101)+100</f>
        <v>97</v>
      </c>
      <c r="K34" s="564">
        <v>3</v>
      </c>
      <c r="L34" s="2115"/>
      <c r="M34" s="2116"/>
      <c r="N34" s="2116"/>
      <c r="O34" s="2117"/>
      <c r="P34" s="3437"/>
      <c r="Q34" s="1130" t="str">
        <f t="shared" si="11"/>
        <v>物业管理</v>
      </c>
      <c r="R34" s="1549" t="s">
        <v>8</v>
      </c>
      <c r="S34" s="1550">
        <f t="shared" si="12"/>
        <v>97</v>
      </c>
      <c r="T34" s="1549" t="s">
        <v>8</v>
      </c>
      <c r="U34" s="1550">
        <f t="shared" si="13"/>
        <v>100</v>
      </c>
      <c r="V34" s="1549" t="s">
        <v>8</v>
      </c>
      <c r="W34" s="1550">
        <f t="shared" si="14"/>
        <v>97</v>
      </c>
      <c r="X34" s="1551"/>
      <c r="Y34" s="3437"/>
      <c r="Z34" s="1129" t="str">
        <f t="shared" si="15"/>
        <v>物业管理</v>
      </c>
      <c r="AA34" s="1552">
        <f t="shared" si="3"/>
        <v>1.0309278350515463</v>
      </c>
      <c r="AB34" s="1552">
        <f t="shared" si="4"/>
        <v>1</v>
      </c>
      <c r="AC34" s="1552">
        <f t="shared" si="5"/>
        <v>1.0309278350515463</v>
      </c>
    </row>
    <row r="35" spans="1:29" ht="15">
      <c r="A35" s="574"/>
      <c r="B35" s="1870" t="s">
        <v>2834</v>
      </c>
      <c r="C35" s="554" t="s">
        <v>864</v>
      </c>
      <c r="D35" s="520">
        <v>100</v>
      </c>
      <c r="E35" s="554" t="s">
        <v>865</v>
      </c>
      <c r="F35" s="555">
        <f>SUMIF(102:102,E35,103:103)-SUMIF(102:102,C35,103:103)+100</f>
        <v>98</v>
      </c>
      <c r="G35" s="554" t="s">
        <v>866</v>
      </c>
      <c r="H35" s="520">
        <f>SUMIF(102:102,G35,103:103)-SUMIF(102:102,C35,103:103)+100</f>
        <v>96</v>
      </c>
      <c r="I35" s="554" t="s">
        <v>781</v>
      </c>
      <c r="J35" s="520">
        <f>SUMIF(102:102,I35,103:103)-SUMIF(102:102,C35,103:103)+100</f>
        <v>102</v>
      </c>
      <c r="K35" s="564">
        <v>2</v>
      </c>
      <c r="L35" s="2122"/>
      <c r="M35" s="2114"/>
      <c r="N35" s="2114"/>
      <c r="O35" s="2121"/>
      <c r="P35" s="3437" t="s">
        <v>543</v>
      </c>
      <c r="Q35" s="1553" t="str">
        <f t="shared" si="11"/>
        <v>市政基础设施</v>
      </c>
      <c r="R35" s="1554" t="s">
        <v>8</v>
      </c>
      <c r="S35" s="1555">
        <f t="shared" si="12"/>
        <v>98</v>
      </c>
      <c r="T35" s="1554" t="s">
        <v>8</v>
      </c>
      <c r="U35" s="1555">
        <f t="shared" si="13"/>
        <v>96</v>
      </c>
      <c r="V35" s="1554" t="s">
        <v>8</v>
      </c>
      <c r="W35" s="1555">
        <f t="shared" si="14"/>
        <v>102</v>
      </c>
      <c r="X35" s="1548"/>
      <c r="Y35" s="3437" t="s">
        <v>543</v>
      </c>
      <c r="Z35" s="1556" t="str">
        <f t="shared" si="15"/>
        <v>市政基础设施</v>
      </c>
      <c r="AA35" s="1557">
        <f t="shared" si="3"/>
        <v>1.0204081632653061</v>
      </c>
      <c r="AB35" s="1557">
        <f t="shared" si="4"/>
        <v>1.0416666666666667</v>
      </c>
      <c r="AC35" s="1557">
        <f t="shared" si="5"/>
        <v>0.98039215686274506</v>
      </c>
    </row>
    <row r="36" spans="1:29" ht="15">
      <c r="A36" s="574"/>
      <c r="B36" s="507" t="s">
        <v>875</v>
      </c>
      <c r="C36" s="554" t="s">
        <v>861</v>
      </c>
      <c r="D36" s="520">
        <v>100</v>
      </c>
      <c r="E36" s="554" t="s">
        <v>777</v>
      </c>
      <c r="F36" s="555">
        <f>SUMIF(104:104,E36,105:105)-SUMIF(104:104,C36,105:105)+100</f>
        <v>101</v>
      </c>
      <c r="G36" s="554" t="s">
        <v>945</v>
      </c>
      <c r="H36" s="520">
        <f>SUMIF(104:104,G36,105:105)-SUMIF(104:104,C36,105:105)+100</f>
        <v>99</v>
      </c>
      <c r="I36" s="554" t="s">
        <v>786</v>
      </c>
      <c r="J36" s="520">
        <f>SUMIF(104:104,I36,105:105)-SUMIF(104:104,C36,105:105)+100</f>
        <v>98</v>
      </c>
      <c r="K36" s="564">
        <v>1</v>
      </c>
      <c r="L36" s="2122"/>
      <c r="M36" s="2114"/>
      <c r="N36" s="2114"/>
      <c r="O36" s="2121"/>
      <c r="P36" s="3437"/>
      <c r="Q36" s="1553" t="str">
        <f t="shared" si="11"/>
        <v>内部装修</v>
      </c>
      <c r="R36" s="1554" t="s">
        <v>8</v>
      </c>
      <c r="S36" s="1555">
        <f t="shared" si="12"/>
        <v>101</v>
      </c>
      <c r="T36" s="1554" t="s">
        <v>8</v>
      </c>
      <c r="U36" s="1555">
        <f t="shared" si="13"/>
        <v>99</v>
      </c>
      <c r="V36" s="1554" t="s">
        <v>8</v>
      </c>
      <c r="W36" s="1555">
        <f t="shared" si="14"/>
        <v>98</v>
      </c>
      <c r="X36" s="1548"/>
      <c r="Y36" s="3437"/>
      <c r="Z36" s="1556" t="str">
        <f t="shared" si="15"/>
        <v>内部装修</v>
      </c>
      <c r="AA36" s="1557">
        <f t="shared" si="3"/>
        <v>0.99009900990099009</v>
      </c>
      <c r="AB36" s="1557">
        <f t="shared" si="4"/>
        <v>1.0101010101010102</v>
      </c>
      <c r="AC36" s="1557">
        <f t="shared" si="5"/>
        <v>1.0204081632653061</v>
      </c>
    </row>
    <row r="37" spans="1:29" ht="15">
      <c r="A37" s="574"/>
      <c r="B37" s="507" t="s">
        <v>946</v>
      </c>
      <c r="C37" s="563" t="s">
        <v>623</v>
      </c>
      <c r="D37" s="520">
        <v>100</v>
      </c>
      <c r="E37" s="563" t="s">
        <v>531</v>
      </c>
      <c r="F37" s="555">
        <f>SUMIF(106:106,E37,107:107)-SUMIF(106:106,C37,107:107)+100</f>
        <v>98.5</v>
      </c>
      <c r="G37" s="563" t="s">
        <v>530</v>
      </c>
      <c r="H37" s="520">
        <f>SUMIF(106:106,G37,107:107)-SUMIF(106:106,C37,107:107)+100</f>
        <v>97</v>
      </c>
      <c r="I37" s="563" t="s">
        <v>535</v>
      </c>
      <c r="J37" s="520">
        <f>SUMIF(106:106,I37,107:107)-SUMIF(106:106,C37,107:107)+100</f>
        <v>95.5</v>
      </c>
      <c r="K37" s="564">
        <v>1.5</v>
      </c>
      <c r="L37" s="2122"/>
      <c r="M37" s="2114"/>
      <c r="N37" s="2114"/>
      <c r="O37" s="2121"/>
      <c r="P37" s="3437"/>
      <c r="Q37" s="1553" t="str">
        <f t="shared" si="11"/>
        <v>内部装修状况</v>
      </c>
      <c r="R37" s="1554" t="s">
        <v>8</v>
      </c>
      <c r="S37" s="1555">
        <f t="shared" si="12"/>
        <v>98.5</v>
      </c>
      <c r="T37" s="1554" t="s">
        <v>8</v>
      </c>
      <c r="U37" s="1555">
        <f t="shared" si="13"/>
        <v>97</v>
      </c>
      <c r="V37" s="1554" t="s">
        <v>8</v>
      </c>
      <c r="W37" s="1555">
        <f t="shared" si="14"/>
        <v>95.5</v>
      </c>
      <c r="X37" s="1548"/>
      <c r="Y37" s="3437"/>
      <c r="Z37" s="1556" t="str">
        <f t="shared" si="15"/>
        <v>内部装修状况</v>
      </c>
      <c r="AA37" s="1557">
        <f t="shared" si="3"/>
        <v>1.015228426395939</v>
      </c>
      <c r="AB37" s="1557">
        <f t="shared" si="4"/>
        <v>1.0309278350515463</v>
      </c>
      <c r="AC37" s="1557">
        <f t="shared" si="5"/>
        <v>1.0471204188481675</v>
      </c>
    </row>
    <row r="38" spans="1:29" s="1324" customFormat="1" ht="15">
      <c r="A38" s="583"/>
      <c r="B38" s="857">
        <v>111</v>
      </c>
      <c r="C38" s="860">
        <v>111</v>
      </c>
      <c r="D38" s="520">
        <v>100</v>
      </c>
      <c r="E38" s="519">
        <v>222</v>
      </c>
      <c r="F38" s="555">
        <f>SUMIF(108:108,E38,109:109)-SUMIF(108:108,C38,109:109)+100</f>
        <v>95</v>
      </c>
      <c r="G38" s="860">
        <v>333</v>
      </c>
      <c r="H38" s="520">
        <f>SUMIF(108:108,G38,109:109)-SUMIF(108:108,C38,109:109)+100</f>
        <v>90</v>
      </c>
      <c r="I38" s="860">
        <v>444</v>
      </c>
      <c r="J38" s="520">
        <f>SUMIF(108:108,I38,109:1038)-SUMIF(108:108,C38,109:109)+100</f>
        <v>85</v>
      </c>
      <c r="K38" s="561"/>
      <c r="L38" s="2120"/>
      <c r="M38" s="2151"/>
      <c r="N38" s="2151"/>
      <c r="O38" s="2123"/>
      <c r="P38" s="3437"/>
      <c r="Q38" s="1586">
        <f t="shared" si="11"/>
        <v>111</v>
      </c>
      <c r="R38" s="1558" t="s">
        <v>8</v>
      </c>
      <c r="S38" s="1559">
        <f t="shared" si="12"/>
        <v>95</v>
      </c>
      <c r="T38" s="1558" t="s">
        <v>8</v>
      </c>
      <c r="U38" s="1559">
        <f t="shared" si="13"/>
        <v>90</v>
      </c>
      <c r="V38" s="1558" t="s">
        <v>8</v>
      </c>
      <c r="W38" s="1559">
        <f t="shared" si="14"/>
        <v>85</v>
      </c>
      <c r="X38" s="1560"/>
      <c r="Y38" s="3437"/>
      <c r="Z38" s="1561">
        <f t="shared" si="15"/>
        <v>111</v>
      </c>
      <c r="AA38" s="1557">
        <f t="shared" si="3"/>
        <v>1.0526315789473684</v>
      </c>
      <c r="AB38" s="1557">
        <f t="shared" si="4"/>
        <v>1.1111111111111112</v>
      </c>
      <c r="AC38" s="1557">
        <f t="shared" si="5"/>
        <v>1.1764705882352942</v>
      </c>
    </row>
    <row r="39" spans="1:29" ht="15">
      <c r="A39" s="574"/>
      <c r="B39" s="857">
        <v>111</v>
      </c>
      <c r="C39" s="860">
        <v>111</v>
      </c>
      <c r="D39" s="520">
        <v>100</v>
      </c>
      <c r="E39" s="519">
        <v>222</v>
      </c>
      <c r="F39" s="555">
        <f>SUMIF(110:110,E39,111:111)-SUMIF(110:110,C39,111:111)+100</f>
        <v>95</v>
      </c>
      <c r="G39" s="860">
        <v>333</v>
      </c>
      <c r="H39" s="520">
        <f>SUMIF(110:110,G39,111:111)-SUMIF(110:110,C39,111:111)+100</f>
        <v>90</v>
      </c>
      <c r="I39" s="860">
        <v>444</v>
      </c>
      <c r="J39" s="520">
        <f>SUMIF(110:110,I39,111:111)-SUMIF(110:110,C39,111:111)+100</f>
        <v>85</v>
      </c>
      <c r="K39" s="561"/>
      <c r="L39" s="2122"/>
      <c r="M39" s="2114"/>
      <c r="N39" s="2114"/>
      <c r="O39" s="2121"/>
      <c r="P39" s="3437"/>
      <c r="Q39" s="1553">
        <f t="shared" si="11"/>
        <v>111</v>
      </c>
      <c r="R39" s="1554" t="s">
        <v>8</v>
      </c>
      <c r="S39" s="1555">
        <f t="shared" si="12"/>
        <v>95</v>
      </c>
      <c r="T39" s="1554" t="s">
        <v>8</v>
      </c>
      <c r="U39" s="1555">
        <f t="shared" si="13"/>
        <v>90</v>
      </c>
      <c r="V39" s="1554" t="s">
        <v>8</v>
      </c>
      <c r="W39" s="1555">
        <f t="shared" si="14"/>
        <v>85</v>
      </c>
      <c r="X39" s="1548"/>
      <c r="Y39" s="3437"/>
      <c r="Z39" s="1556">
        <f t="shared" si="15"/>
        <v>111</v>
      </c>
      <c r="AA39" s="1557">
        <f t="shared" si="3"/>
        <v>1.0526315789473684</v>
      </c>
      <c r="AB39" s="1557">
        <f t="shared" si="4"/>
        <v>1.1111111111111112</v>
      </c>
      <c r="AC39" s="1557">
        <f t="shared" si="5"/>
        <v>1.1764705882352942</v>
      </c>
    </row>
    <row r="40" spans="1:29" ht="15.75" thickBot="1">
      <c r="A40" s="866"/>
      <c r="B40" s="524">
        <v>111</v>
      </c>
      <c r="C40" s="525">
        <v>111</v>
      </c>
      <c r="D40" s="526">
        <v>100</v>
      </c>
      <c r="E40" s="519">
        <v>222</v>
      </c>
      <c r="F40" s="846">
        <f>SUMIF(112:112,E40,113:113)-SUMIF(112:112,C40,113:113)+100</f>
        <v>98</v>
      </c>
      <c r="G40" s="860">
        <v>333</v>
      </c>
      <c r="H40" s="526">
        <f>SUMIF(112:112,G40,113:113)-SUMIF(112:112,C40,113:113)+100</f>
        <v>96</v>
      </c>
      <c r="I40" s="860">
        <v>444</v>
      </c>
      <c r="J40" s="526">
        <f>SUMIF(112:112,I40,113:113)-SUMIF(112:112,C40,113:113)+100</f>
        <v>94</v>
      </c>
      <c r="K40" s="561"/>
      <c r="L40" s="2122"/>
      <c r="M40" s="2114"/>
      <c r="N40" s="2114"/>
      <c r="O40" s="2121"/>
      <c r="P40" s="3513"/>
      <c r="Q40" s="1553">
        <f t="shared" si="11"/>
        <v>111</v>
      </c>
      <c r="R40" s="1554" t="s">
        <v>8</v>
      </c>
      <c r="S40" s="1555">
        <f t="shared" si="12"/>
        <v>98</v>
      </c>
      <c r="T40" s="1554" t="s">
        <v>8</v>
      </c>
      <c r="U40" s="1555">
        <f t="shared" si="13"/>
        <v>96</v>
      </c>
      <c r="V40" s="1554" t="s">
        <v>8</v>
      </c>
      <c r="W40" s="1555">
        <f t="shared" si="14"/>
        <v>94</v>
      </c>
      <c r="X40" s="1548"/>
      <c r="Y40" s="3513"/>
      <c r="Z40" s="1556">
        <f t="shared" si="15"/>
        <v>111</v>
      </c>
      <c r="AA40" s="1557">
        <f t="shared" si="3"/>
        <v>1.0204081632653061</v>
      </c>
      <c r="AB40" s="1557">
        <f t="shared" si="4"/>
        <v>1.0416666666666667</v>
      </c>
      <c r="AC40" s="1557">
        <f t="shared" si="5"/>
        <v>1.0638297872340425</v>
      </c>
    </row>
    <row r="41" spans="1:29" ht="15">
      <c r="A41" s="587" t="s">
        <v>790</v>
      </c>
      <c r="B41" s="867"/>
      <c r="C41" s="2640" t="s">
        <v>1</v>
      </c>
      <c r="D41" s="2641"/>
      <c r="E41" s="2642">
        <v>30000</v>
      </c>
      <c r="F41" s="2643"/>
      <c r="G41" s="2644">
        <v>35000</v>
      </c>
      <c r="H41" s="2645"/>
      <c r="I41" s="2642">
        <v>32000</v>
      </c>
      <c r="J41" s="2645"/>
      <c r="K41" s="1592"/>
      <c r="L41" s="2124"/>
      <c r="M41" s="2125"/>
      <c r="N41" s="2114"/>
      <c r="O41" s="2125"/>
      <c r="P41" s="3396" t="str">
        <f>A41</f>
        <v>成交单价（元/平方米）</v>
      </c>
      <c r="Q41" s="3396"/>
      <c r="R41" s="3512">
        <f>E41</f>
        <v>30000</v>
      </c>
      <c r="S41" s="3512"/>
      <c r="T41" s="3512">
        <f>G41</f>
        <v>35000</v>
      </c>
      <c r="U41" s="3512"/>
      <c r="V41" s="3512">
        <f>I41</f>
        <v>32000</v>
      </c>
      <c r="W41" s="3512"/>
      <c r="X41" s="1540"/>
      <c r="Y41" s="1562"/>
      <c r="Z41" s="1540"/>
      <c r="AA41" s="1540"/>
      <c r="AB41" s="1540"/>
      <c r="AC41" s="1540"/>
    </row>
    <row r="42" spans="1:29" ht="15.75" thickBot="1">
      <c r="A42" s="595" t="s">
        <v>3043</v>
      </c>
      <c r="B42" s="868"/>
      <c r="C42" s="2646" t="e">
        <f>R43</f>
        <v>#DIV/0!</v>
      </c>
      <c r="D42" s="2647"/>
      <c r="E42" s="2648" t="e">
        <f>R42</f>
        <v>#DIV/0!</v>
      </c>
      <c r="F42" s="2648"/>
      <c r="G42" s="2646" t="e">
        <f>T42</f>
        <v>#DIV/0!</v>
      </c>
      <c r="H42" s="2647"/>
      <c r="I42" s="2648" t="e">
        <f>V42</f>
        <v>#DIV/0!</v>
      </c>
      <c r="J42" s="2647"/>
      <c r="K42" s="1593"/>
      <c r="L42" s="2124"/>
      <c r="M42" s="2125"/>
      <c r="N42" s="2114"/>
      <c r="O42" s="2125"/>
      <c r="P42" s="3396" t="str">
        <f>A42</f>
        <v>比较价格（元/平方米）</v>
      </c>
      <c r="Q42" s="3396"/>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1540"/>
      <c r="Y42" s="1540"/>
      <c r="Z42" s="1540"/>
      <c r="AA42" s="1540"/>
      <c r="AB42" s="1540"/>
      <c r="AC42" s="1540"/>
    </row>
    <row r="43" spans="1:29" ht="15.75" thickBot="1">
      <c r="A43" s="601" t="s">
        <v>3044</v>
      </c>
      <c r="B43" s="602"/>
      <c r="C43" s="2649" t="e">
        <f>R43</f>
        <v>#DIV/0!</v>
      </c>
      <c r="D43" s="2649"/>
      <c r="E43" s="2649"/>
      <c r="F43" s="2649"/>
      <c r="G43" s="2649"/>
      <c r="H43" s="2649"/>
      <c r="I43" s="2649"/>
      <c r="J43" s="2649"/>
      <c r="K43" s="1594"/>
      <c r="L43" s="2124"/>
      <c r="M43" s="2125"/>
      <c r="N43" s="2125"/>
      <c r="O43" s="2125"/>
      <c r="P43" s="3393" t="str">
        <f>A43</f>
        <v>估价对象XX用房的比较价格（楼面单价，元/平方米）</v>
      </c>
      <c r="Q43" s="3394"/>
      <c r="R43" s="3511" t="e">
        <f>IF(F1="售价",ROUND(AVERAGE(R42:V42),0),ROUND(AVERAGE(R42:V42),1))</f>
        <v>#DIV/0!</v>
      </c>
      <c r="S43" s="3511"/>
      <c r="T43" s="3511"/>
      <c r="U43" s="3511"/>
      <c r="V43" s="3511"/>
      <c r="W43" s="3511"/>
      <c r="X43" s="1540"/>
      <c r="Y43" s="1540"/>
      <c r="Z43" s="1540"/>
      <c r="AA43" s="1540"/>
      <c r="AB43" s="1540"/>
      <c r="AC43" s="1540"/>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04" t="s">
        <v>553</v>
      </c>
      <c r="D46" s="605"/>
      <c r="E46" s="606" t="e">
        <f>IF(E41&lt;E42,E42/E41-1,E41/E42-1)</f>
        <v>#DIV/0!</v>
      </c>
      <c r="F46" s="607" t="e">
        <f>IF(OR(E46&gt;=0.3,E46&lt;=-0.3),"超过30%","")</f>
        <v>#DIV/0!</v>
      </c>
      <c r="G46" s="606" t="e">
        <f>IF(G41&lt;G42,G42/G41-1,G41/G42-1)</f>
        <v>#DIV/0!</v>
      </c>
      <c r="H46" s="607" t="e">
        <f>IF(OR(G46&gt;=0.3,G46&lt;=-0.3),"超过30%","")</f>
        <v>#DIV/0!</v>
      </c>
      <c r="I46" s="606" t="e">
        <f>IF(I41&lt;I42,I42/I41-1,I41/I42-1)</f>
        <v>#DIV/0!</v>
      </c>
      <c r="J46" s="607"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04" t="s">
        <v>554</v>
      </c>
      <c r="D47" s="608"/>
      <c r="E47" s="606" t="e">
        <f>IF(E42&lt;G42,G42/E42-1,E42/G42-1)</f>
        <v>#DIV/0!</v>
      </c>
      <c r="F47" s="607" t="e">
        <f>IF(OR(E47&gt;=0.2,E47&lt;=-0.2),"超过20%","")</f>
        <v>#DIV/0!</v>
      </c>
      <c r="G47" s="606" t="e">
        <f>IF(G42&lt;I42,I42/G42-1,G42/I42-1)</f>
        <v>#DIV/0!</v>
      </c>
      <c r="H47" s="607" t="e">
        <f>IF(OR(G47&gt;=0.2,G47&lt;=-0.2),"超过20%","")</f>
        <v>#DIV/0!</v>
      </c>
      <c r="I47" s="606" t="e">
        <f>IF(I42&lt;E42,E42/I42-1,I42/E42-1)</f>
        <v>#DIV/0!</v>
      </c>
      <c r="J47" s="607"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0" customFormat="1" ht="13.5" customHeight="1">
      <c r="A48" s="2126"/>
      <c r="B48" s="2126"/>
      <c r="C48" s="604" t="s">
        <v>555</v>
      </c>
      <c r="D48" s="608"/>
      <c r="E48" s="606">
        <f>IF(E41&lt;G41,G41/E41-1,E41/G41-1)</f>
        <v>0.16666666666666674</v>
      </c>
      <c r="F48" s="607" t="str">
        <f>IF(OR(E48&gt;=0.3,E48&lt;=-0.3),"超过30%","")</f>
        <v/>
      </c>
      <c r="G48" s="606">
        <f>IF(G41&lt;I41,I41/G41-1,G41/I41-1)</f>
        <v>9.375E-2</v>
      </c>
      <c r="H48" s="607" t="str">
        <f>IF(OR(G48&gt;=0.3,G48&lt;=-0.3),"超过30%","")</f>
        <v/>
      </c>
      <c r="I48" s="606">
        <f>IF(I41&lt;E41,E41/I41-1,I41/E41-1)</f>
        <v>6.6666666666666652E-2</v>
      </c>
      <c r="J48" s="607" t="str">
        <f>IF(OR(I48&gt;=0.3,I48&lt;=-0.3),"超过30%","")</f>
        <v/>
      </c>
      <c r="K48" s="2132"/>
      <c r="L48" s="2133"/>
      <c r="M48" s="2126"/>
      <c r="N48" s="2126"/>
      <c r="O48" s="2126"/>
      <c r="P48" s="2126"/>
      <c r="Q48" s="2126"/>
      <c r="R48" s="2126"/>
      <c r="S48" s="2126"/>
      <c r="T48" s="2126"/>
      <c r="U48" s="2126"/>
      <c r="V48" s="2126"/>
      <c r="W48" s="2126"/>
      <c r="X48" s="2126"/>
      <c r="Y48" s="2126"/>
      <c r="Z48" s="2126"/>
      <c r="AA48" s="2126"/>
      <c r="AB48" s="2126"/>
      <c r="AC48" s="2126"/>
    </row>
    <row r="49" spans="1:29" s="1330"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5" t="s">
        <v>570</v>
      </c>
      <c r="B51" s="1540"/>
      <c r="C51" s="1564"/>
      <c r="D51" s="1564"/>
      <c r="E51" s="1564"/>
      <c r="F51" s="1566"/>
      <c r="G51" s="1566"/>
      <c r="H51" s="1564"/>
      <c r="I51" s="1564"/>
      <c r="J51" s="1564"/>
      <c r="K51" s="1567"/>
      <c r="L51" s="1563"/>
      <c r="M51" s="1564"/>
      <c r="N51" s="1564"/>
      <c r="O51" s="1564"/>
      <c r="P51" s="2137"/>
      <c r="Q51" s="2138"/>
      <c r="R51" s="2125"/>
      <c r="S51" s="2125"/>
      <c r="T51" s="2125"/>
      <c r="U51" s="2125"/>
      <c r="V51" s="2125"/>
      <c r="W51" s="2125"/>
      <c r="X51" s="2125"/>
      <c r="Y51" s="2125"/>
      <c r="Z51" s="2125"/>
      <c r="AA51" s="2125"/>
      <c r="AB51" s="2125"/>
      <c r="AC51" s="2125"/>
    </row>
    <row r="52" spans="1:29" s="1332" customFormat="1" ht="15">
      <c r="A52" s="625" t="s">
        <v>518</v>
      </c>
      <c r="B52" s="626"/>
      <c r="C52" s="2820" t="str">
        <f>YEAR(C7)&amp;"-"&amp;MONTH(C7)</f>
        <v>2017-6</v>
      </c>
      <c r="D52" s="2822">
        <f>EDATE(C52,-1)</f>
        <v>42856</v>
      </c>
      <c r="E52" s="2822">
        <f t="shared" ref="E52:O52" si="16">EDATE(D52,-1)</f>
        <v>42826</v>
      </c>
      <c r="F52" s="2822">
        <f t="shared" si="16"/>
        <v>42795</v>
      </c>
      <c r="G52" s="2822">
        <f t="shared" si="16"/>
        <v>42767</v>
      </c>
      <c r="H52" s="2822">
        <f t="shared" si="16"/>
        <v>42736</v>
      </c>
      <c r="I52" s="2822">
        <f t="shared" si="16"/>
        <v>42705</v>
      </c>
      <c r="J52" s="2822">
        <f t="shared" si="16"/>
        <v>42675</v>
      </c>
      <c r="K52" s="2822">
        <f t="shared" si="16"/>
        <v>42644</v>
      </c>
      <c r="L52" s="2822">
        <f t="shared" si="16"/>
        <v>42614</v>
      </c>
      <c r="M52" s="2822">
        <f t="shared" si="16"/>
        <v>42583</v>
      </c>
      <c r="N52" s="2822">
        <f t="shared" si="16"/>
        <v>42552</v>
      </c>
      <c r="O52" s="2822">
        <f t="shared" si="16"/>
        <v>42522</v>
      </c>
      <c r="P52" s="2140"/>
      <c r="Q52" s="2141"/>
      <c r="R52" s="2141"/>
      <c r="S52" s="2141"/>
      <c r="T52" s="2141"/>
      <c r="U52" s="2141"/>
      <c r="V52" s="2141"/>
      <c r="W52" s="2141"/>
      <c r="X52" s="2141"/>
      <c r="Y52" s="2141"/>
      <c r="Z52" s="2141"/>
      <c r="AA52" s="2141"/>
      <c r="AB52" s="2141"/>
      <c r="AC52" s="2141"/>
    </row>
    <row r="53" spans="1:29" s="1199" customFormat="1" ht="15">
      <c r="A53" s="627"/>
      <c r="B53" s="628"/>
      <c r="C53" s="629">
        <v>100</v>
      </c>
      <c r="D53" s="630">
        <v>99.5</v>
      </c>
      <c r="E53" s="630">
        <v>99</v>
      </c>
      <c r="F53" s="630">
        <v>98.5</v>
      </c>
      <c r="G53" s="630">
        <v>98</v>
      </c>
      <c r="H53" s="630">
        <v>97.5</v>
      </c>
      <c r="I53" s="630">
        <v>97</v>
      </c>
      <c r="J53" s="630">
        <v>96.5</v>
      </c>
      <c r="K53" s="630">
        <v>96</v>
      </c>
      <c r="L53" s="630">
        <v>95.5</v>
      </c>
      <c r="M53" s="631">
        <v>95</v>
      </c>
      <c r="N53" s="630">
        <v>94.5</v>
      </c>
      <c r="O53" s="632">
        <v>94</v>
      </c>
      <c r="P53" s="2138"/>
      <c r="Q53" s="1969"/>
      <c r="R53" s="1969"/>
      <c r="S53" s="1969"/>
      <c r="T53" s="1969"/>
      <c r="U53" s="1969"/>
      <c r="V53" s="1969"/>
      <c r="W53" s="1969"/>
      <c r="X53" s="1969"/>
      <c r="Y53" s="1969"/>
      <c r="Z53" s="1969"/>
      <c r="AA53" s="1969"/>
      <c r="AB53" s="1969"/>
      <c r="AC53" s="1969"/>
    </row>
    <row r="54" spans="1:29" s="1199" customFormat="1" ht="15.75" thickBot="1">
      <c r="A54" s="633" t="s">
        <v>571</v>
      </c>
      <c r="B54" s="634"/>
      <c r="C54" s="635"/>
      <c r="D54" s="636"/>
      <c r="E54" s="636"/>
      <c r="F54" s="636"/>
      <c r="G54" s="636"/>
      <c r="H54" s="636"/>
      <c r="I54" s="636"/>
      <c r="J54" s="636"/>
      <c r="K54" s="636"/>
      <c r="L54" s="636"/>
      <c r="M54" s="637"/>
      <c r="N54" s="636"/>
      <c r="O54" s="638"/>
      <c r="P54" s="2138"/>
      <c r="Q54" s="2138"/>
      <c r="R54" s="1969"/>
      <c r="S54" s="1969"/>
      <c r="T54" s="1969"/>
      <c r="U54" s="1969"/>
      <c r="V54" s="1969"/>
      <c r="W54" s="1969"/>
      <c r="X54" s="1969"/>
      <c r="Y54" s="1969"/>
      <c r="Z54" s="1969"/>
      <c r="AA54" s="1969"/>
      <c r="AB54" s="1969"/>
      <c r="AC54" s="1969"/>
    </row>
    <row r="55" spans="1:29" s="1199" customFormat="1" ht="15">
      <c r="A55" s="639" t="s">
        <v>520</v>
      </c>
      <c r="B55" s="628"/>
      <c r="C55" s="640" t="s">
        <v>572</v>
      </c>
      <c r="D55" s="641" t="s">
        <v>573</v>
      </c>
      <c r="E55" s="641"/>
      <c r="F55" s="641"/>
      <c r="G55" s="641"/>
      <c r="H55" s="641"/>
      <c r="I55" s="641"/>
      <c r="J55" s="641"/>
      <c r="K55" s="641"/>
      <c r="L55" s="642"/>
      <c r="M55" s="643"/>
      <c r="N55" s="2142"/>
      <c r="O55" s="2142"/>
      <c r="P55" s="2143"/>
      <c r="Q55" s="2138"/>
      <c r="R55" s="1969"/>
      <c r="S55" s="1969"/>
      <c r="T55" s="1969"/>
      <c r="U55" s="1969"/>
      <c r="V55" s="1969"/>
      <c r="W55" s="1969"/>
      <c r="X55" s="1969"/>
      <c r="Y55" s="1969"/>
      <c r="Z55" s="1969"/>
      <c r="AA55" s="1969"/>
      <c r="AB55" s="1969"/>
      <c r="AC55" s="1969"/>
    </row>
    <row r="56" spans="1:29" s="1199" customFormat="1" ht="15.75" thickBot="1">
      <c r="A56" s="639"/>
      <c r="B56" s="628"/>
      <c r="C56" s="629">
        <v>100</v>
      </c>
      <c r="D56" s="630">
        <v>98</v>
      </c>
      <c r="E56" s="630"/>
      <c r="F56" s="630"/>
      <c r="G56" s="630"/>
      <c r="H56" s="630"/>
      <c r="I56" s="630"/>
      <c r="J56" s="630"/>
      <c r="K56" s="630"/>
      <c r="L56" s="630"/>
      <c r="M56" s="632"/>
      <c r="N56" s="2142"/>
      <c r="O56" s="2142"/>
      <c r="P56" s="2138"/>
      <c r="Q56" s="2138"/>
      <c r="R56" s="1969"/>
      <c r="S56" s="1969"/>
      <c r="T56" s="1969"/>
      <c r="U56" s="1969"/>
      <c r="V56" s="1969"/>
      <c r="W56" s="1969"/>
      <c r="X56" s="1969"/>
      <c r="Y56" s="1969"/>
      <c r="Z56" s="1969"/>
      <c r="AA56" s="1969"/>
      <c r="AB56" s="1969"/>
      <c r="AC56" s="1969"/>
    </row>
    <row r="57" spans="1:29">
      <c r="A57" s="644" t="s">
        <v>574</v>
      </c>
      <c r="B57" s="645" t="s">
        <v>523</v>
      </c>
      <c r="C57" s="684" t="str">
        <f>C9</f>
        <v>工业</v>
      </c>
      <c r="D57" s="578" t="s">
        <v>947</v>
      </c>
      <c r="E57" s="578"/>
      <c r="F57" s="578"/>
      <c r="G57" s="578"/>
      <c r="H57" s="578"/>
      <c r="I57" s="578"/>
      <c r="J57" s="578"/>
      <c r="K57" s="646"/>
      <c r="L57" s="647"/>
      <c r="M57" s="648"/>
      <c r="N57" s="2144"/>
      <c r="O57" s="2144"/>
      <c r="P57" s="2145"/>
      <c r="Q57" s="2138"/>
      <c r="R57" s="2125"/>
      <c r="S57" s="2125"/>
      <c r="T57" s="2125"/>
      <c r="U57" s="2125"/>
      <c r="V57" s="2125"/>
      <c r="W57" s="2125"/>
      <c r="X57" s="2125"/>
      <c r="Y57" s="2125"/>
      <c r="Z57" s="2125"/>
      <c r="AA57" s="2125"/>
      <c r="AB57" s="2125"/>
      <c r="AC57" s="2125"/>
    </row>
    <row r="58" spans="1:29" ht="15.75" thickBot="1">
      <c r="A58" s="649"/>
      <c r="B58" s="650"/>
      <c r="C58" s="651">
        <v>100</v>
      </c>
      <c r="D58" s="651">
        <v>105</v>
      </c>
      <c r="E58" s="651"/>
      <c r="F58" s="651"/>
      <c r="G58" s="651"/>
      <c r="H58" s="651"/>
      <c r="I58" s="651"/>
      <c r="J58" s="651"/>
      <c r="K58" s="651"/>
      <c r="L58" s="651"/>
      <c r="M58" s="652"/>
      <c r="N58" s="2146"/>
      <c r="O58" s="2146"/>
      <c r="P58" s="2145"/>
      <c r="Q58" s="2138"/>
      <c r="R58" s="2125"/>
      <c r="S58" s="2125"/>
      <c r="T58" s="2125"/>
      <c r="U58" s="2125"/>
      <c r="V58" s="2125"/>
      <c r="W58" s="2125"/>
      <c r="X58" s="2125"/>
      <c r="Y58" s="2125"/>
      <c r="Z58" s="2125"/>
      <c r="AA58" s="2125"/>
      <c r="AB58" s="2125"/>
      <c r="AC58" s="2125"/>
    </row>
    <row r="59" spans="1:29" ht="27.75" thickTop="1">
      <c r="A59" s="649"/>
      <c r="B59" s="653" t="s">
        <v>526</v>
      </c>
      <c r="C59" s="654" t="s">
        <v>792</v>
      </c>
      <c r="D59" s="654" t="s">
        <v>793</v>
      </c>
      <c r="E59" s="654" t="s">
        <v>794</v>
      </c>
      <c r="F59" s="654" t="s">
        <v>795</v>
      </c>
      <c r="G59" s="654" t="s">
        <v>796</v>
      </c>
      <c r="H59" s="654" t="s">
        <v>797</v>
      </c>
      <c r="I59" s="654" t="s">
        <v>798</v>
      </c>
      <c r="J59" s="654"/>
      <c r="K59" s="655"/>
      <c r="L59" s="656"/>
      <c r="M59" s="657"/>
      <c r="N59" s="2144"/>
      <c r="O59" s="2144"/>
      <c r="P59" s="2145"/>
      <c r="Q59" s="2138"/>
      <c r="R59" s="2125"/>
      <c r="S59" s="2125"/>
      <c r="T59" s="2125"/>
      <c r="U59" s="2125"/>
      <c r="V59" s="2125"/>
      <c r="W59" s="2125"/>
      <c r="X59" s="2125"/>
      <c r="Y59" s="2125"/>
      <c r="Z59" s="2125"/>
      <c r="AA59" s="2125"/>
      <c r="AB59" s="2125"/>
      <c r="AC59" s="2125"/>
    </row>
    <row r="60" spans="1:29" ht="15.75" thickBot="1">
      <c r="A60" s="649"/>
      <c r="B60" s="658"/>
      <c r="C60" s="659" t="s">
        <v>14</v>
      </c>
      <c r="D60" s="659" t="s">
        <v>15</v>
      </c>
      <c r="E60" s="659">
        <v>100</v>
      </c>
      <c r="F60" s="659">
        <f>E60-$K10</f>
        <v>98</v>
      </c>
      <c r="G60" s="659">
        <f>F60-$K10</f>
        <v>96</v>
      </c>
      <c r="H60" s="659">
        <f>G60-$K10</f>
        <v>94</v>
      </c>
      <c r="I60" s="659">
        <f>H60-$K10</f>
        <v>92</v>
      </c>
      <c r="J60" s="659"/>
      <c r="K60" s="659"/>
      <c r="L60" s="659"/>
      <c r="M60" s="660"/>
      <c r="N60" s="2146"/>
      <c r="O60" s="2146"/>
      <c r="P60" s="2145"/>
      <c r="Q60" s="2138"/>
      <c r="R60" s="2125"/>
      <c r="S60" s="2125"/>
      <c r="T60" s="2125"/>
      <c r="U60" s="2125"/>
      <c r="V60" s="2125"/>
      <c r="W60" s="2125"/>
      <c r="X60" s="2125"/>
      <c r="Y60" s="2125"/>
      <c r="Z60" s="2125"/>
      <c r="AA60" s="2125"/>
      <c r="AB60" s="2125"/>
      <c r="AC60" s="2125"/>
    </row>
    <row r="61" spans="1:29" ht="15.75" thickTop="1">
      <c r="A61" s="649"/>
      <c r="B61" s="661" t="s">
        <v>527</v>
      </c>
      <c r="C61" s="662" t="str">
        <f>C62&amp;"（含）"&amp;"-"&amp;D62</f>
        <v>0（含）-1</v>
      </c>
      <c r="D61" s="662" t="str">
        <f t="shared" ref="D61:L61" si="17">D62&amp;"（含）"&amp;"-"&amp;E62</f>
        <v>1（含）-2</v>
      </c>
      <c r="E61" s="662" t="str">
        <f t="shared" si="17"/>
        <v>2（含）-3</v>
      </c>
      <c r="F61" s="662" t="str">
        <f t="shared" si="17"/>
        <v>3（含）-4</v>
      </c>
      <c r="G61" s="662" t="str">
        <f t="shared" si="17"/>
        <v>4（含）-</v>
      </c>
      <c r="H61" s="662" t="str">
        <f t="shared" si="17"/>
        <v>（含）-</v>
      </c>
      <c r="I61" s="662" t="str">
        <f t="shared" si="17"/>
        <v>（含）-</v>
      </c>
      <c r="J61" s="662" t="str">
        <f t="shared" si="17"/>
        <v>（含）-</v>
      </c>
      <c r="K61" s="662" t="str">
        <f t="shared" si="17"/>
        <v>（含）-</v>
      </c>
      <c r="L61" s="662" t="str">
        <f t="shared" si="17"/>
        <v>（含）-</v>
      </c>
      <c r="M61" s="535"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49"/>
      <c r="B62" s="663"/>
      <c r="C62" s="521">
        <v>0</v>
      </c>
      <c r="D62" s="521">
        <v>1</v>
      </c>
      <c r="E62" s="521">
        <v>2</v>
      </c>
      <c r="F62" s="521">
        <v>3</v>
      </c>
      <c r="G62" s="521">
        <v>4</v>
      </c>
      <c r="H62" s="521"/>
      <c r="I62" s="521"/>
      <c r="J62" s="521"/>
      <c r="K62" s="664"/>
      <c r="L62" s="665"/>
      <c r="M62" s="666"/>
      <c r="N62" s="2144"/>
      <c r="O62" s="2144"/>
      <c r="P62" s="2145"/>
      <c r="Q62" s="2138"/>
      <c r="R62" s="2125"/>
      <c r="S62" s="2125"/>
      <c r="T62" s="2125"/>
      <c r="U62" s="2125"/>
      <c r="V62" s="2125"/>
      <c r="W62" s="2125"/>
      <c r="X62" s="2125"/>
      <c r="Y62" s="2125"/>
      <c r="Z62" s="2125"/>
      <c r="AA62" s="2125"/>
      <c r="AB62" s="2125"/>
      <c r="AC62" s="2125"/>
    </row>
    <row r="63" spans="1:29" ht="15.75" thickBot="1">
      <c r="A63" s="649"/>
      <c r="B63" s="650"/>
      <c r="C63" s="659">
        <v>100</v>
      </c>
      <c r="D63" s="659">
        <f t="shared" ref="D63:M63" si="18">C63-$K11</f>
        <v>97</v>
      </c>
      <c r="E63" s="659">
        <f t="shared" si="18"/>
        <v>94</v>
      </c>
      <c r="F63" s="659">
        <f t="shared" si="18"/>
        <v>91</v>
      </c>
      <c r="G63" s="659">
        <f t="shared" si="18"/>
        <v>88</v>
      </c>
      <c r="H63" s="659">
        <f t="shared" si="18"/>
        <v>85</v>
      </c>
      <c r="I63" s="659">
        <f t="shared" si="18"/>
        <v>82</v>
      </c>
      <c r="J63" s="659">
        <f t="shared" si="18"/>
        <v>79</v>
      </c>
      <c r="K63" s="659">
        <f t="shared" si="18"/>
        <v>76</v>
      </c>
      <c r="L63" s="659">
        <f t="shared" si="18"/>
        <v>73</v>
      </c>
      <c r="M63" s="660">
        <f t="shared" si="18"/>
        <v>70</v>
      </c>
      <c r="N63" s="2146"/>
      <c r="O63" s="2146"/>
      <c r="P63" s="2145"/>
      <c r="Q63" s="2138"/>
      <c r="R63" s="2125"/>
      <c r="S63" s="2125"/>
      <c r="T63" s="2125"/>
      <c r="U63" s="2125"/>
      <c r="V63" s="2125"/>
      <c r="W63" s="2125"/>
      <c r="X63" s="2125"/>
      <c r="Y63" s="2125"/>
      <c r="Z63" s="2125"/>
      <c r="AA63" s="2125"/>
      <c r="AB63" s="2125"/>
      <c r="AC63" s="2125"/>
    </row>
    <row r="64" spans="1:29" s="1324" customFormat="1" ht="15.75" thickTop="1">
      <c r="A64" s="667"/>
      <c r="B64" s="653">
        <f>B12</f>
        <v>111</v>
      </c>
      <c r="C64" s="668">
        <v>111</v>
      </c>
      <c r="D64" s="668">
        <v>222</v>
      </c>
      <c r="E64" s="668">
        <v>333</v>
      </c>
      <c r="F64" s="668">
        <v>444</v>
      </c>
      <c r="G64" s="668"/>
      <c r="H64" s="669"/>
      <c r="I64" s="669"/>
      <c r="J64" s="669"/>
      <c r="K64" s="669"/>
      <c r="L64" s="670"/>
      <c r="M64" s="671"/>
      <c r="N64" s="2147"/>
      <c r="O64" s="2147"/>
      <c r="P64" s="2148"/>
      <c r="Q64" s="2149"/>
      <c r="R64" s="2150"/>
      <c r="S64" s="2150"/>
      <c r="T64" s="2150"/>
      <c r="U64" s="2150"/>
      <c r="V64" s="2150"/>
      <c r="W64" s="2150"/>
      <c r="X64" s="2150"/>
      <c r="Y64" s="2150"/>
      <c r="Z64" s="2150"/>
      <c r="AA64" s="2150"/>
      <c r="AB64" s="2150"/>
      <c r="AC64" s="2150"/>
    </row>
    <row r="65" spans="1:29" s="1324" customFormat="1" ht="15.75" thickBot="1">
      <c r="A65" s="667"/>
      <c r="B65" s="658"/>
      <c r="C65" s="672">
        <v>100</v>
      </c>
      <c r="D65" s="651">
        <v>95</v>
      </c>
      <c r="E65" s="651">
        <v>90</v>
      </c>
      <c r="F65" s="651">
        <v>85</v>
      </c>
      <c r="G65" s="651"/>
      <c r="H65" s="651"/>
      <c r="I65" s="651"/>
      <c r="J65" s="651"/>
      <c r="K65" s="651"/>
      <c r="L65" s="651"/>
      <c r="M65" s="652"/>
      <c r="N65" s="2146"/>
      <c r="O65" s="2146"/>
      <c r="P65" s="2148"/>
      <c r="Q65" s="2149"/>
      <c r="R65" s="2150"/>
      <c r="S65" s="2150"/>
      <c r="T65" s="2150"/>
      <c r="U65" s="2150"/>
      <c r="V65" s="2150"/>
      <c r="W65" s="2150"/>
      <c r="X65" s="2150"/>
      <c r="Y65" s="2150"/>
      <c r="Z65" s="2150"/>
      <c r="AA65" s="2150"/>
      <c r="AB65" s="2150"/>
      <c r="AC65" s="2150"/>
    </row>
    <row r="66" spans="1:29" s="1324" customFormat="1" ht="15.75" thickTop="1">
      <c r="A66" s="667"/>
      <c r="B66" s="653">
        <f>B13</f>
        <v>111</v>
      </c>
      <c r="C66" s="668">
        <v>111</v>
      </c>
      <c r="D66" s="668">
        <v>222</v>
      </c>
      <c r="E66" s="668">
        <v>333</v>
      </c>
      <c r="F66" s="668">
        <v>444</v>
      </c>
      <c r="G66" s="668"/>
      <c r="H66" s="669"/>
      <c r="I66" s="669"/>
      <c r="J66" s="669"/>
      <c r="K66" s="669"/>
      <c r="L66" s="670"/>
      <c r="M66" s="671"/>
      <c r="N66" s="2147"/>
      <c r="O66" s="2147"/>
      <c r="P66" s="2151"/>
      <c r="Q66" s="2152"/>
      <c r="R66" s="2150"/>
      <c r="S66" s="2150"/>
      <c r="T66" s="2150"/>
      <c r="U66" s="2150"/>
      <c r="V66" s="2150"/>
      <c r="W66" s="2150"/>
      <c r="X66" s="2150"/>
      <c r="Y66" s="2150"/>
      <c r="Z66" s="2150"/>
      <c r="AA66" s="2150"/>
      <c r="AB66" s="2150"/>
      <c r="AC66" s="2150"/>
    </row>
    <row r="67" spans="1:29" s="1324" customFormat="1" ht="15.75" thickBot="1">
      <c r="A67" s="667"/>
      <c r="B67" s="658"/>
      <c r="C67" s="672">
        <v>100</v>
      </c>
      <c r="D67" s="651">
        <v>95</v>
      </c>
      <c r="E67" s="651">
        <v>90</v>
      </c>
      <c r="F67" s="651">
        <v>85</v>
      </c>
      <c r="G67" s="672"/>
      <c r="H67" s="673"/>
      <c r="I67" s="673"/>
      <c r="J67" s="673"/>
      <c r="K67" s="673"/>
      <c r="L67" s="673"/>
      <c r="M67" s="674"/>
      <c r="N67" s="2147"/>
      <c r="O67" s="2147"/>
      <c r="P67" s="2148"/>
      <c r="Q67" s="2149"/>
      <c r="R67" s="2150"/>
      <c r="S67" s="2150"/>
      <c r="T67" s="2150"/>
      <c r="U67" s="2150"/>
      <c r="V67" s="2150"/>
      <c r="W67" s="2150"/>
      <c r="X67" s="2150"/>
      <c r="Y67" s="2150"/>
      <c r="Z67" s="2150"/>
      <c r="AA67" s="2150"/>
      <c r="AB67" s="2150"/>
      <c r="AC67" s="2150"/>
    </row>
    <row r="68" spans="1:29" s="1324" customFormat="1" ht="15.75" thickTop="1">
      <c r="A68" s="667"/>
      <c r="B68" s="661">
        <f>B14</f>
        <v>111</v>
      </c>
      <c r="C68" s="641">
        <v>111</v>
      </c>
      <c r="D68" s="641">
        <v>222</v>
      </c>
      <c r="E68" s="641">
        <v>333</v>
      </c>
      <c r="F68" s="641">
        <v>444</v>
      </c>
      <c r="G68" s="641"/>
      <c r="H68" s="675"/>
      <c r="I68" s="675"/>
      <c r="J68" s="675"/>
      <c r="K68" s="675"/>
      <c r="L68" s="676"/>
      <c r="M68" s="677"/>
      <c r="N68" s="2147"/>
      <c r="O68" s="2147"/>
      <c r="P68" s="2153"/>
      <c r="Q68" s="2149"/>
      <c r="R68" s="2150"/>
      <c r="S68" s="2150"/>
      <c r="T68" s="2150"/>
      <c r="U68" s="2150"/>
      <c r="V68" s="2150"/>
      <c r="W68" s="2150"/>
      <c r="X68" s="2150"/>
      <c r="Y68" s="2150"/>
      <c r="Z68" s="2150"/>
      <c r="AA68" s="2150"/>
      <c r="AB68" s="2150"/>
      <c r="AC68" s="2150"/>
    </row>
    <row r="69" spans="1:29" s="1324" customFormat="1" ht="15.75" thickBot="1">
      <c r="A69" s="678"/>
      <c r="B69" s="679"/>
      <c r="C69" s="680">
        <v>100</v>
      </c>
      <c r="D69" s="680">
        <v>98</v>
      </c>
      <c r="E69" s="680">
        <v>96</v>
      </c>
      <c r="F69" s="680">
        <v>94</v>
      </c>
      <c r="G69" s="680"/>
      <c r="H69" s="681"/>
      <c r="I69" s="681"/>
      <c r="J69" s="681"/>
      <c r="K69" s="681"/>
      <c r="L69" s="681"/>
      <c r="M69" s="682"/>
      <c r="N69" s="2147"/>
      <c r="O69" s="2147"/>
      <c r="P69" s="2148"/>
      <c r="Q69" s="2149"/>
      <c r="R69" s="2150"/>
      <c r="S69" s="2150"/>
      <c r="T69" s="2150"/>
      <c r="U69" s="2150"/>
      <c r="V69" s="2150"/>
      <c r="W69" s="2150"/>
      <c r="X69" s="2150"/>
      <c r="Y69" s="2150"/>
      <c r="Z69" s="2150"/>
      <c r="AA69" s="2150"/>
      <c r="AB69" s="2150"/>
      <c r="AC69" s="2150"/>
    </row>
    <row r="70" spans="1:29">
      <c r="A70" s="644" t="s">
        <v>528</v>
      </c>
      <c r="B70" s="645" t="s">
        <v>582</v>
      </c>
      <c r="C70" s="683" t="s">
        <v>576</v>
      </c>
      <c r="D70" s="683" t="s">
        <v>577</v>
      </c>
      <c r="E70" s="683" t="s">
        <v>578</v>
      </c>
      <c r="F70" s="683" t="s">
        <v>579</v>
      </c>
      <c r="G70" s="683" t="s">
        <v>580</v>
      </c>
      <c r="H70" s="684"/>
      <c r="I70" s="684"/>
      <c r="J70" s="684"/>
      <c r="K70" s="685"/>
      <c r="L70" s="686"/>
      <c r="M70" s="687"/>
      <c r="N70" s="2144"/>
      <c r="O70" s="2144"/>
      <c r="P70" s="2154"/>
      <c r="Q70" s="2138"/>
      <c r="R70" s="2125"/>
      <c r="S70" s="2125"/>
      <c r="T70" s="2125"/>
      <c r="U70" s="2125"/>
      <c r="V70" s="2125"/>
      <c r="W70" s="2125"/>
      <c r="X70" s="2125"/>
      <c r="Y70" s="2125"/>
      <c r="Z70" s="2125"/>
      <c r="AA70" s="2125"/>
      <c r="AB70" s="2125"/>
      <c r="AC70" s="2125"/>
    </row>
    <row r="71" spans="1:29" ht="15.75" thickBot="1">
      <c r="A71" s="649"/>
      <c r="B71" s="658"/>
      <c r="C71" s="659">
        <v>100</v>
      </c>
      <c r="D71" s="659">
        <f>C71-$K15</f>
        <v>98</v>
      </c>
      <c r="E71" s="659">
        <f>D71-$K15</f>
        <v>96</v>
      </c>
      <c r="F71" s="659">
        <f>E71-$K15</f>
        <v>94</v>
      </c>
      <c r="G71" s="659">
        <f>F71-$K15</f>
        <v>92</v>
      </c>
      <c r="H71" s="659"/>
      <c r="I71" s="659"/>
      <c r="J71" s="659"/>
      <c r="K71" s="659"/>
      <c r="L71" s="659"/>
      <c r="M71" s="660"/>
      <c r="N71" s="2146"/>
      <c r="O71" s="2146"/>
      <c r="P71" s="2145"/>
      <c r="Q71" s="2138"/>
      <c r="R71" s="2125"/>
      <c r="S71" s="2125"/>
      <c r="T71" s="2125"/>
      <c r="U71" s="2125"/>
      <c r="V71" s="2125"/>
      <c r="W71" s="2125"/>
      <c r="X71" s="2125"/>
      <c r="Y71" s="2125"/>
      <c r="Z71" s="2125"/>
      <c r="AA71" s="2125"/>
      <c r="AB71" s="2125"/>
      <c r="AC71" s="2125"/>
    </row>
    <row r="72" spans="1:29" ht="15.75" thickTop="1">
      <c r="A72" s="649"/>
      <c r="B72" s="653" t="s">
        <v>583</v>
      </c>
      <c r="C72" s="688" t="s">
        <v>576</v>
      </c>
      <c r="D72" s="688" t="s">
        <v>577</v>
      </c>
      <c r="E72" s="688" t="s">
        <v>578</v>
      </c>
      <c r="F72" s="688" t="s">
        <v>579</v>
      </c>
      <c r="G72" s="688" t="s">
        <v>580</v>
      </c>
      <c r="H72" s="654"/>
      <c r="I72" s="654"/>
      <c r="J72" s="654"/>
      <c r="K72" s="655"/>
      <c r="L72" s="656"/>
      <c r="M72" s="657"/>
      <c r="N72" s="2144"/>
      <c r="O72" s="2144"/>
      <c r="P72" s="2145"/>
      <c r="Q72" s="2138"/>
      <c r="R72" s="2125"/>
      <c r="S72" s="2125"/>
      <c r="T72" s="2125"/>
      <c r="U72" s="2125"/>
      <c r="V72" s="2125"/>
      <c r="W72" s="2125"/>
      <c r="X72" s="2125"/>
      <c r="Y72" s="2125"/>
      <c r="Z72" s="2125"/>
      <c r="AA72" s="2125"/>
      <c r="AB72" s="2125"/>
      <c r="AC72" s="2125"/>
    </row>
    <row r="73" spans="1:29" ht="15.75" thickBot="1">
      <c r="A73" s="649"/>
      <c r="B73" s="658"/>
      <c r="C73" s="659">
        <v>100</v>
      </c>
      <c r="D73" s="659">
        <f>C73-$K17</f>
        <v>97</v>
      </c>
      <c r="E73" s="659">
        <f>D73-$K17</f>
        <v>94</v>
      </c>
      <c r="F73" s="659">
        <f>E73-$K17</f>
        <v>91</v>
      </c>
      <c r="G73" s="659">
        <f>F73-$K17</f>
        <v>88</v>
      </c>
      <c r="H73" s="659"/>
      <c r="I73" s="659"/>
      <c r="J73" s="659"/>
      <c r="K73" s="659"/>
      <c r="L73" s="659"/>
      <c r="M73" s="660"/>
      <c r="N73" s="2146"/>
      <c r="O73" s="2146"/>
      <c r="P73" s="2145"/>
      <c r="Q73" s="2138"/>
      <c r="R73" s="2125"/>
      <c r="S73" s="2125"/>
      <c r="T73" s="2125"/>
      <c r="U73" s="2125"/>
      <c r="V73" s="2125"/>
      <c r="W73" s="2125"/>
      <c r="X73" s="2125"/>
      <c r="Y73" s="2125"/>
      <c r="Z73" s="2125"/>
      <c r="AA73" s="2125"/>
      <c r="AB73" s="2125"/>
      <c r="AC73" s="2125"/>
    </row>
    <row r="74" spans="1:29" ht="15.75" thickTop="1">
      <c r="A74" s="649"/>
      <c r="B74" s="1871" t="s">
        <v>2826</v>
      </c>
      <c r="C74" s="688" t="s">
        <v>576</v>
      </c>
      <c r="D74" s="688" t="s">
        <v>577</v>
      </c>
      <c r="E74" s="688" t="s">
        <v>578</v>
      </c>
      <c r="F74" s="688" t="s">
        <v>579</v>
      </c>
      <c r="G74" s="688" t="s">
        <v>580</v>
      </c>
      <c r="H74" s="654"/>
      <c r="I74" s="654"/>
      <c r="J74" s="654"/>
      <c r="K74" s="655"/>
      <c r="L74" s="656"/>
      <c r="M74" s="657"/>
      <c r="N74" s="2144"/>
      <c r="O74" s="2144"/>
      <c r="P74" s="2145"/>
      <c r="Q74" s="2138"/>
      <c r="R74" s="2125"/>
      <c r="S74" s="2125"/>
      <c r="T74" s="2125"/>
      <c r="U74" s="2125"/>
      <c r="V74" s="2125"/>
      <c r="W74" s="2125"/>
      <c r="X74" s="2125"/>
      <c r="Y74" s="2125"/>
      <c r="Z74" s="2125"/>
      <c r="AA74" s="2125"/>
      <c r="AB74" s="2125"/>
      <c r="AC74" s="2125"/>
    </row>
    <row r="75" spans="1:29" ht="15.75" thickBot="1">
      <c r="A75" s="649"/>
      <c r="B75" s="658"/>
      <c r="C75" s="659">
        <v>100</v>
      </c>
      <c r="D75" s="659">
        <f>C75-$K19</f>
        <v>99</v>
      </c>
      <c r="E75" s="659">
        <f>D75-$K19</f>
        <v>98</v>
      </c>
      <c r="F75" s="659">
        <f>E75-$K19</f>
        <v>97</v>
      </c>
      <c r="G75" s="659">
        <f>F75-$K19</f>
        <v>96</v>
      </c>
      <c r="H75" s="659"/>
      <c r="I75" s="659"/>
      <c r="J75" s="659"/>
      <c r="K75" s="659"/>
      <c r="L75" s="659"/>
      <c r="M75" s="660"/>
      <c r="N75" s="2146"/>
      <c r="O75" s="2146"/>
      <c r="P75" s="2145"/>
      <c r="Q75" s="2138"/>
      <c r="R75" s="2125"/>
      <c r="S75" s="2125"/>
      <c r="T75" s="2125"/>
      <c r="U75" s="2125"/>
      <c r="V75" s="2125"/>
      <c r="W75" s="2125"/>
      <c r="X75" s="2125"/>
      <c r="Y75" s="2125"/>
      <c r="Z75" s="2125"/>
      <c r="AA75" s="2125"/>
      <c r="AB75" s="2125"/>
      <c r="AC75" s="2125"/>
    </row>
    <row r="76" spans="1:29" ht="15.75" thickTop="1">
      <c r="A76" s="649"/>
      <c r="B76" s="2610" t="s">
        <v>2827</v>
      </c>
      <c r="C76" s="2611" t="s">
        <v>2828</v>
      </c>
      <c r="D76" s="2611" t="s">
        <v>2829</v>
      </c>
      <c r="E76" s="2611" t="s">
        <v>2830</v>
      </c>
      <c r="F76" s="2611" t="s">
        <v>2831</v>
      </c>
      <c r="G76" s="2611" t="s">
        <v>2832</v>
      </c>
      <c r="H76" s="914"/>
      <c r="I76" s="914"/>
      <c r="J76" s="914"/>
      <c r="K76" s="914"/>
      <c r="L76" s="914"/>
      <c r="M76" s="539"/>
      <c r="N76" s="2146"/>
      <c r="O76" s="2146"/>
      <c r="P76" s="2145"/>
      <c r="Q76" s="2138"/>
      <c r="R76" s="2125"/>
      <c r="S76" s="2125"/>
      <c r="T76" s="2125"/>
      <c r="U76" s="2125"/>
      <c r="V76" s="2125"/>
      <c r="W76" s="2125"/>
      <c r="X76" s="2125"/>
      <c r="Y76" s="2125"/>
      <c r="Z76" s="2125"/>
      <c r="AA76" s="2125"/>
      <c r="AB76" s="2125"/>
      <c r="AC76" s="2125"/>
    </row>
    <row r="77" spans="1:29" ht="15.75" thickBot="1">
      <c r="A77" s="649"/>
      <c r="B77" s="661"/>
      <c r="C77" s="659">
        <v>100</v>
      </c>
      <c r="D77" s="659">
        <f>C77-$K21</f>
        <v>99</v>
      </c>
      <c r="E77" s="659">
        <f>D77-$K21</f>
        <v>98</v>
      </c>
      <c r="F77" s="659">
        <f>E77-$K21</f>
        <v>97</v>
      </c>
      <c r="G77" s="659">
        <f>F77-$K21</f>
        <v>96</v>
      </c>
      <c r="H77" s="659"/>
      <c r="I77" s="659"/>
      <c r="J77" s="659"/>
      <c r="K77" s="659"/>
      <c r="L77" s="659"/>
      <c r="M77" s="660"/>
      <c r="N77" s="2146"/>
      <c r="O77" s="2146"/>
      <c r="P77" s="2145"/>
      <c r="Q77" s="2138"/>
      <c r="R77" s="2125"/>
      <c r="S77" s="2125"/>
      <c r="T77" s="2125"/>
      <c r="U77" s="2125"/>
      <c r="V77" s="2125"/>
      <c r="W77" s="2125"/>
      <c r="X77" s="2125"/>
      <c r="Y77" s="2125"/>
      <c r="Z77" s="2125"/>
      <c r="AA77" s="2125"/>
      <c r="AB77" s="2125"/>
      <c r="AC77" s="2125"/>
    </row>
    <row r="78" spans="1:29" ht="15.75" thickTop="1">
      <c r="A78" s="649"/>
      <c r="B78" s="653" t="s">
        <v>918</v>
      </c>
      <c r="C78" s="688" t="s">
        <v>576</v>
      </c>
      <c r="D78" s="688" t="s">
        <v>577</v>
      </c>
      <c r="E78" s="688" t="s">
        <v>578</v>
      </c>
      <c r="F78" s="688" t="s">
        <v>579</v>
      </c>
      <c r="G78" s="688" t="s">
        <v>580</v>
      </c>
      <c r="H78" s="654"/>
      <c r="I78" s="654"/>
      <c r="J78" s="654"/>
      <c r="K78" s="655"/>
      <c r="L78" s="656"/>
      <c r="M78" s="657"/>
      <c r="N78" s="2144"/>
      <c r="O78" s="2144"/>
      <c r="P78" s="2145"/>
      <c r="Q78" s="2138"/>
      <c r="R78" s="2125"/>
      <c r="S78" s="2125"/>
      <c r="T78" s="2125"/>
      <c r="U78" s="2125"/>
      <c r="V78" s="2125"/>
      <c r="W78" s="2125"/>
      <c r="X78" s="2125"/>
      <c r="Y78" s="2125"/>
      <c r="Z78" s="2125"/>
      <c r="AA78" s="2125"/>
      <c r="AB78" s="2125"/>
      <c r="AC78" s="2125"/>
    </row>
    <row r="79" spans="1:29" ht="15.75" thickBot="1">
      <c r="A79" s="649"/>
      <c r="B79" s="658"/>
      <c r="C79" s="659">
        <v>100</v>
      </c>
      <c r="D79" s="659">
        <f>C79-$K23</f>
        <v>98</v>
      </c>
      <c r="E79" s="659">
        <f>D79-$K23</f>
        <v>96</v>
      </c>
      <c r="F79" s="659">
        <f>E79-$K23</f>
        <v>94</v>
      </c>
      <c r="G79" s="659">
        <f>F79-$K23</f>
        <v>92</v>
      </c>
      <c r="H79" s="659"/>
      <c r="I79" s="659"/>
      <c r="J79" s="659"/>
      <c r="K79" s="659"/>
      <c r="L79" s="659"/>
      <c r="M79" s="660"/>
      <c r="N79" s="2146"/>
      <c r="O79" s="2146"/>
      <c r="P79" s="2145"/>
      <c r="Q79" s="2138"/>
      <c r="R79" s="2125"/>
      <c r="S79" s="2125"/>
      <c r="T79" s="2125"/>
      <c r="U79" s="2125"/>
      <c r="V79" s="2125"/>
      <c r="W79" s="2125"/>
      <c r="X79" s="2125"/>
      <c r="Y79" s="2125"/>
      <c r="Z79" s="2125"/>
      <c r="AA79" s="2125"/>
      <c r="AB79" s="2125"/>
      <c r="AC79" s="2125"/>
    </row>
    <row r="80" spans="1:29" s="1199" customFormat="1" ht="15.75" thickTop="1">
      <c r="A80" s="689"/>
      <c r="B80" s="653">
        <f>B25</f>
        <v>111</v>
      </c>
      <c r="C80" s="668">
        <v>111</v>
      </c>
      <c r="D80" s="668">
        <v>222</v>
      </c>
      <c r="E80" s="668">
        <v>333</v>
      </c>
      <c r="F80" s="668">
        <v>444</v>
      </c>
      <c r="G80" s="668"/>
      <c r="H80" s="668"/>
      <c r="I80" s="668"/>
      <c r="J80" s="668"/>
      <c r="K80" s="668"/>
      <c r="L80" s="870"/>
      <c r="M80" s="871"/>
      <c r="N80" s="2142"/>
      <c r="O80" s="2142"/>
      <c r="P80" s="2145"/>
      <c r="Q80" s="2138"/>
      <c r="R80" s="1969"/>
      <c r="S80" s="1969"/>
      <c r="T80" s="1969"/>
      <c r="U80" s="1969"/>
      <c r="V80" s="1969"/>
      <c r="W80" s="1969"/>
      <c r="X80" s="1969"/>
      <c r="Y80" s="1969"/>
      <c r="Z80" s="1969"/>
      <c r="AA80" s="1969"/>
      <c r="AB80" s="1969"/>
      <c r="AC80" s="1969"/>
    </row>
    <row r="81" spans="1:29" s="1199" customFormat="1" ht="15.75" thickBot="1">
      <c r="A81" s="689"/>
      <c r="B81" s="658"/>
      <c r="C81" s="672">
        <v>100</v>
      </c>
      <c r="D81" s="651">
        <v>95</v>
      </c>
      <c r="E81" s="651">
        <v>90</v>
      </c>
      <c r="F81" s="651">
        <v>85</v>
      </c>
      <c r="G81" s="651"/>
      <c r="H81" s="651"/>
      <c r="I81" s="651"/>
      <c r="J81" s="651"/>
      <c r="K81" s="651"/>
      <c r="L81" s="651"/>
      <c r="M81" s="652"/>
      <c r="N81" s="2146"/>
      <c r="O81" s="2146"/>
      <c r="P81" s="2145"/>
      <c r="Q81" s="2138"/>
      <c r="R81" s="1969"/>
      <c r="S81" s="1969"/>
      <c r="T81" s="1969"/>
      <c r="U81" s="1969"/>
      <c r="V81" s="1969"/>
      <c r="W81" s="1969"/>
      <c r="X81" s="1969"/>
      <c r="Y81" s="1969"/>
      <c r="Z81" s="1969"/>
      <c r="AA81" s="1969"/>
      <c r="AB81" s="1969"/>
      <c r="AC81" s="1969"/>
    </row>
    <row r="82" spans="1:29" s="1199" customFormat="1" ht="15.75" thickTop="1">
      <c r="A82" s="689"/>
      <c r="B82" s="653">
        <f>B26</f>
        <v>111</v>
      </c>
      <c r="C82" s="668">
        <v>111</v>
      </c>
      <c r="D82" s="668">
        <v>222</v>
      </c>
      <c r="E82" s="668">
        <v>333</v>
      </c>
      <c r="F82" s="668">
        <v>444</v>
      </c>
      <c r="G82" s="668"/>
      <c r="H82" s="668"/>
      <c r="I82" s="668"/>
      <c r="J82" s="668"/>
      <c r="K82" s="668"/>
      <c r="L82" s="870"/>
      <c r="M82" s="871"/>
      <c r="N82" s="2142"/>
      <c r="O82" s="2142"/>
      <c r="P82" s="2145"/>
      <c r="Q82" s="2138"/>
      <c r="R82" s="1969"/>
      <c r="S82" s="1969"/>
      <c r="T82" s="1969"/>
      <c r="U82" s="1969"/>
      <c r="V82" s="1969"/>
      <c r="W82" s="1969"/>
      <c r="X82" s="1969"/>
      <c r="Y82" s="1969"/>
      <c r="Z82" s="1969"/>
      <c r="AA82" s="1969"/>
      <c r="AB82" s="1969"/>
      <c r="AC82" s="1969"/>
    </row>
    <row r="83" spans="1:29" s="1199" customFormat="1" ht="15.75" thickBot="1">
      <c r="A83" s="689"/>
      <c r="B83" s="658"/>
      <c r="C83" s="672">
        <v>100</v>
      </c>
      <c r="D83" s="651">
        <v>95</v>
      </c>
      <c r="E83" s="651">
        <v>90</v>
      </c>
      <c r="F83" s="651">
        <v>85</v>
      </c>
      <c r="G83" s="651"/>
      <c r="H83" s="651"/>
      <c r="I83" s="651"/>
      <c r="J83" s="651"/>
      <c r="K83" s="651"/>
      <c r="L83" s="651"/>
      <c r="M83" s="652"/>
      <c r="N83" s="2146"/>
      <c r="O83" s="2146"/>
      <c r="P83" s="2145"/>
      <c r="Q83" s="2138"/>
      <c r="R83" s="1969"/>
      <c r="S83" s="1969"/>
      <c r="T83" s="1969"/>
      <c r="U83" s="1969"/>
      <c r="V83" s="1969"/>
      <c r="W83" s="1969"/>
      <c r="X83" s="1969"/>
      <c r="Y83" s="1969"/>
      <c r="Z83" s="1969"/>
      <c r="AA83" s="1969"/>
      <c r="AB83" s="1969"/>
      <c r="AC83" s="1969"/>
    </row>
    <row r="84" spans="1:29" s="1324" customFormat="1" ht="15.75" thickTop="1">
      <c r="A84" s="667"/>
      <c r="B84" s="653">
        <f>B27</f>
        <v>111</v>
      </c>
      <c r="C84" s="668">
        <v>111</v>
      </c>
      <c r="D84" s="668">
        <v>222</v>
      </c>
      <c r="E84" s="668">
        <v>333</v>
      </c>
      <c r="F84" s="668">
        <v>444</v>
      </c>
      <c r="G84" s="668"/>
      <c r="H84" s="668"/>
      <c r="I84" s="668"/>
      <c r="J84" s="668"/>
      <c r="K84" s="668"/>
      <c r="L84" s="870"/>
      <c r="M84" s="87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67"/>
      <c r="B85" s="658"/>
      <c r="C85" s="672">
        <v>100</v>
      </c>
      <c r="D85" s="651">
        <v>95</v>
      </c>
      <c r="E85" s="651">
        <v>90</v>
      </c>
      <c r="F85" s="651">
        <v>85</v>
      </c>
      <c r="G85" s="651"/>
      <c r="H85" s="651"/>
      <c r="I85" s="651"/>
      <c r="J85" s="651"/>
      <c r="K85" s="651"/>
      <c r="L85" s="651"/>
      <c r="M85" s="652"/>
      <c r="N85" s="2147"/>
      <c r="O85" s="2147"/>
      <c r="P85" s="2148"/>
      <c r="Q85" s="2149"/>
      <c r="R85" s="2150"/>
      <c r="S85" s="2150"/>
      <c r="T85" s="2150"/>
      <c r="U85" s="2150"/>
      <c r="V85" s="2150"/>
      <c r="W85" s="2150"/>
      <c r="X85" s="2150"/>
      <c r="Y85" s="2150"/>
      <c r="Z85" s="2150"/>
      <c r="AA85" s="2150"/>
      <c r="AB85" s="2150"/>
      <c r="AC85" s="2150"/>
    </row>
    <row r="86" spans="1:29" ht="15.75" thickTop="1">
      <c r="A86" s="649"/>
      <c r="B86" s="661">
        <f>B28</f>
        <v>111</v>
      </c>
      <c r="C86" s="641">
        <v>111</v>
      </c>
      <c r="D86" s="641">
        <v>222</v>
      </c>
      <c r="E86" s="641">
        <v>333</v>
      </c>
      <c r="F86" s="641">
        <v>444</v>
      </c>
      <c r="G86" s="702"/>
      <c r="H86" s="702"/>
      <c r="I86" s="702"/>
      <c r="J86" s="702"/>
      <c r="K86" s="703"/>
      <c r="L86" s="704"/>
      <c r="M86" s="705"/>
      <c r="N86" s="2144"/>
      <c r="O86" s="2144"/>
      <c r="P86" s="2145"/>
      <c r="Q86" s="2138"/>
      <c r="R86" s="2125"/>
      <c r="S86" s="2125"/>
      <c r="T86" s="2125"/>
      <c r="U86" s="2125"/>
      <c r="V86" s="2125"/>
      <c r="W86" s="2125"/>
      <c r="X86" s="2125"/>
      <c r="Y86" s="2125"/>
      <c r="Z86" s="2125"/>
      <c r="AA86" s="2125"/>
      <c r="AB86" s="2125"/>
      <c r="AC86" s="2125"/>
    </row>
    <row r="87" spans="1:29" ht="15.75" thickBot="1">
      <c r="A87" s="873"/>
      <c r="B87" s="679"/>
      <c r="C87" s="680">
        <v>100</v>
      </c>
      <c r="D87" s="680">
        <v>98</v>
      </c>
      <c r="E87" s="680">
        <v>96</v>
      </c>
      <c r="F87" s="680">
        <v>94</v>
      </c>
      <c r="G87" s="706"/>
      <c r="H87" s="706"/>
      <c r="I87" s="706"/>
      <c r="J87" s="706"/>
      <c r="K87" s="706"/>
      <c r="L87" s="706"/>
      <c r="M87" s="707"/>
      <c r="N87" s="2146"/>
      <c r="O87" s="2146"/>
      <c r="P87" s="2145"/>
      <c r="Q87" s="2138"/>
      <c r="R87" s="2125"/>
      <c r="S87" s="2125"/>
      <c r="T87" s="2125"/>
      <c r="U87" s="2125"/>
      <c r="V87" s="2125"/>
      <c r="W87" s="2125"/>
      <c r="X87" s="2125"/>
      <c r="Y87" s="2125"/>
      <c r="Z87" s="2125"/>
      <c r="AA87" s="2125"/>
      <c r="AB87" s="2125"/>
      <c r="AC87" s="2125"/>
    </row>
    <row r="88" spans="1:29">
      <c r="A88" s="644" t="s">
        <v>544</v>
      </c>
      <c r="B88" s="645" t="s">
        <v>815</v>
      </c>
      <c r="C88" s="578" t="s">
        <v>948</v>
      </c>
      <c r="D88" s="578" t="s">
        <v>949</v>
      </c>
      <c r="E88" s="578"/>
      <c r="F88" s="578"/>
      <c r="G88" s="578"/>
      <c r="H88" s="578"/>
      <c r="I88" s="578"/>
      <c r="J88" s="578"/>
      <c r="K88" s="646"/>
      <c r="L88" s="647"/>
      <c r="M88" s="648"/>
      <c r="N88" s="2144"/>
      <c r="O88" s="2144"/>
      <c r="P88" s="2145"/>
      <c r="Q88" s="2138"/>
      <c r="R88" s="2125"/>
      <c r="S88" s="2125"/>
      <c r="T88" s="2125"/>
      <c r="U88" s="2125"/>
      <c r="V88" s="2125"/>
      <c r="W88" s="2125"/>
      <c r="X88" s="2125"/>
      <c r="Y88" s="2125"/>
      <c r="Z88" s="2125"/>
      <c r="AA88" s="2125"/>
      <c r="AB88" s="2125"/>
      <c r="AC88" s="2125"/>
    </row>
    <row r="89" spans="1:29" ht="15.75" thickBot="1">
      <c r="A89" s="649"/>
      <c r="B89" s="658"/>
      <c r="C89" s="659">
        <v>100</v>
      </c>
      <c r="D89" s="659">
        <f t="shared" ref="D89:M89" si="19">C89-$K29</f>
        <v>97</v>
      </c>
      <c r="E89" s="659">
        <f t="shared" si="19"/>
        <v>94</v>
      </c>
      <c r="F89" s="659">
        <f t="shared" si="19"/>
        <v>91</v>
      </c>
      <c r="G89" s="659">
        <f t="shared" si="19"/>
        <v>88</v>
      </c>
      <c r="H89" s="659">
        <f t="shared" si="19"/>
        <v>85</v>
      </c>
      <c r="I89" s="659">
        <f t="shared" si="19"/>
        <v>82</v>
      </c>
      <c r="J89" s="659">
        <f t="shared" si="19"/>
        <v>79</v>
      </c>
      <c r="K89" s="659">
        <f t="shared" si="19"/>
        <v>76</v>
      </c>
      <c r="L89" s="659">
        <f t="shared" si="19"/>
        <v>73</v>
      </c>
      <c r="M89" s="660">
        <f t="shared" si="19"/>
        <v>70</v>
      </c>
      <c r="N89" s="2146"/>
      <c r="O89" s="2146"/>
      <c r="P89" s="2145"/>
      <c r="Q89" s="2138"/>
      <c r="R89" s="2125"/>
      <c r="S89" s="2125"/>
      <c r="T89" s="2125"/>
      <c r="U89" s="2125"/>
      <c r="V89" s="2125"/>
      <c r="W89" s="2125"/>
      <c r="X89" s="2125"/>
      <c r="Y89" s="2125"/>
      <c r="Z89" s="2125"/>
      <c r="AA89" s="2125"/>
      <c r="AB89" s="2125"/>
      <c r="AC89" s="2125"/>
    </row>
    <row r="90" spans="1:29" ht="29.25" thickTop="1">
      <c r="A90" s="649"/>
      <c r="B90" s="653" t="s">
        <v>818</v>
      </c>
      <c r="C90" s="688" t="str">
        <f>C91&amp;"(含)"&amp;"-"&amp;D91</f>
        <v>100(含)-500</v>
      </c>
      <c r="D90" s="688" t="str">
        <f t="shared" ref="D90:L90" si="20">D91&amp;"(含)"&amp;"-"&amp;E91</f>
        <v>500(含)-2000</v>
      </c>
      <c r="E90" s="688" t="str">
        <f t="shared" si="20"/>
        <v>2000(含)-5000</v>
      </c>
      <c r="F90" s="688" t="str">
        <f t="shared" si="20"/>
        <v>5000(含)-10000</v>
      </c>
      <c r="G90" s="688" t="str">
        <f t="shared" si="20"/>
        <v>10000(含)-15000</v>
      </c>
      <c r="H90" s="688" t="str">
        <f t="shared" si="20"/>
        <v>15000(含)-</v>
      </c>
      <c r="I90" s="688" t="str">
        <f t="shared" si="20"/>
        <v>(含)-</v>
      </c>
      <c r="J90" s="688" t="str">
        <f t="shared" si="20"/>
        <v>(含)-</v>
      </c>
      <c r="K90" s="688" t="str">
        <f t="shared" si="20"/>
        <v>(含)-</v>
      </c>
      <c r="L90" s="688" t="str">
        <f t="shared" si="20"/>
        <v>(含)-</v>
      </c>
      <c r="M90" s="691" t="str">
        <f>M91&amp;"(含)"&amp;"-"&amp;P91</f>
        <v>(含)-</v>
      </c>
      <c r="N90" s="2142"/>
      <c r="O90" s="2142"/>
      <c r="P90" s="2145"/>
      <c r="Q90" s="2138"/>
      <c r="R90" s="2125"/>
      <c r="S90" s="2125"/>
      <c r="T90" s="2125"/>
      <c r="U90" s="2125"/>
      <c r="V90" s="2125"/>
      <c r="W90" s="2125"/>
      <c r="X90" s="2125"/>
      <c r="Y90" s="2125"/>
      <c r="Z90" s="2125"/>
      <c r="AA90" s="2125"/>
      <c r="AB90" s="2125"/>
      <c r="AC90" s="2125"/>
    </row>
    <row r="91" spans="1:29" s="1324" customFormat="1">
      <c r="A91" s="708"/>
      <c r="B91" s="709"/>
      <c r="C91" s="710">
        <v>100</v>
      </c>
      <c r="D91" s="710">
        <v>500</v>
      </c>
      <c r="E91" s="710">
        <v>2000</v>
      </c>
      <c r="F91" s="710">
        <v>5000</v>
      </c>
      <c r="G91" s="710">
        <v>10000</v>
      </c>
      <c r="H91" s="710">
        <v>15000</v>
      </c>
      <c r="I91" s="710"/>
      <c r="J91" s="711"/>
      <c r="K91" s="711"/>
      <c r="L91" s="712"/>
      <c r="M91" s="713"/>
      <c r="N91" s="2147"/>
      <c r="O91" s="2147"/>
      <c r="P91" s="2148"/>
      <c r="Q91" s="2149"/>
      <c r="R91" s="2150"/>
      <c r="S91" s="2150"/>
      <c r="T91" s="2150"/>
      <c r="U91" s="2150"/>
      <c r="V91" s="2150"/>
      <c r="W91" s="2150"/>
      <c r="X91" s="2150"/>
      <c r="Y91" s="2150"/>
      <c r="Z91" s="2150"/>
      <c r="AA91" s="2150"/>
      <c r="AB91" s="2150"/>
      <c r="AC91" s="2150"/>
    </row>
    <row r="92" spans="1:29" s="1324" customFormat="1" ht="15.75" thickBot="1">
      <c r="A92" s="667"/>
      <c r="B92" s="658"/>
      <c r="C92" s="672">
        <v>100</v>
      </c>
      <c r="D92" s="651">
        <v>102</v>
      </c>
      <c r="E92" s="651">
        <v>104</v>
      </c>
      <c r="F92" s="651">
        <v>106</v>
      </c>
      <c r="G92" s="651">
        <v>108</v>
      </c>
      <c r="H92" s="651">
        <v>110</v>
      </c>
      <c r="I92" s="651"/>
      <c r="J92" s="651"/>
      <c r="K92" s="651"/>
      <c r="L92" s="651"/>
      <c r="M92" s="652"/>
      <c r="N92" s="2146"/>
      <c r="O92" s="2146"/>
      <c r="P92" s="2148"/>
      <c r="Q92" s="2149"/>
      <c r="R92" s="2150"/>
      <c r="S92" s="2150"/>
      <c r="T92" s="2150"/>
      <c r="U92" s="2150"/>
      <c r="V92" s="2150"/>
      <c r="W92" s="2150"/>
      <c r="X92" s="2150"/>
      <c r="Y92" s="2150"/>
      <c r="Z92" s="2150"/>
      <c r="AA92" s="2150"/>
      <c r="AB92" s="2150"/>
      <c r="AC92" s="2150"/>
    </row>
    <row r="93" spans="1:29" ht="15" thickTop="1">
      <c r="A93" s="715"/>
      <c r="B93" s="653" t="s">
        <v>819</v>
      </c>
      <c r="C93" s="668" t="s">
        <v>820</v>
      </c>
      <c r="D93" s="668" t="s">
        <v>821</v>
      </c>
      <c r="E93" s="698" t="s">
        <v>822</v>
      </c>
      <c r="F93" s="698"/>
      <c r="G93" s="698"/>
      <c r="H93" s="698"/>
      <c r="I93" s="698"/>
      <c r="J93" s="698"/>
      <c r="K93" s="699"/>
      <c r="L93" s="700"/>
      <c r="M93" s="701"/>
      <c r="N93" s="2144"/>
      <c r="O93" s="2144"/>
      <c r="P93" s="2145"/>
      <c r="Q93" s="2138"/>
      <c r="R93" s="2125"/>
      <c r="S93" s="2125"/>
      <c r="T93" s="2125"/>
      <c r="U93" s="2125"/>
      <c r="V93" s="2125"/>
      <c r="W93" s="2125"/>
      <c r="X93" s="2125"/>
      <c r="Y93" s="2125"/>
      <c r="Z93" s="2125"/>
      <c r="AA93" s="2125"/>
      <c r="AB93" s="2125"/>
      <c r="AC93" s="2125"/>
    </row>
    <row r="94" spans="1:29" ht="15.75" thickBot="1">
      <c r="A94" s="649"/>
      <c r="B94" s="658"/>
      <c r="C94" s="659">
        <v>100</v>
      </c>
      <c r="D94" s="659">
        <f t="shared" ref="D94:M94" si="21">C94-$K31</f>
        <v>97</v>
      </c>
      <c r="E94" s="659">
        <f t="shared" si="21"/>
        <v>94</v>
      </c>
      <c r="F94" s="659">
        <f t="shared" si="21"/>
        <v>91</v>
      </c>
      <c r="G94" s="659">
        <f t="shared" si="21"/>
        <v>88</v>
      </c>
      <c r="H94" s="659">
        <f t="shared" si="21"/>
        <v>85</v>
      </c>
      <c r="I94" s="659">
        <f t="shared" si="21"/>
        <v>82</v>
      </c>
      <c r="J94" s="659">
        <f t="shared" si="21"/>
        <v>79</v>
      </c>
      <c r="K94" s="659">
        <f t="shared" si="21"/>
        <v>76</v>
      </c>
      <c r="L94" s="659">
        <f t="shared" si="21"/>
        <v>73</v>
      </c>
      <c r="M94" s="660">
        <f t="shared" si="21"/>
        <v>70</v>
      </c>
      <c r="N94" s="2146"/>
      <c r="O94" s="2146"/>
      <c r="P94" s="2145"/>
      <c r="Q94" s="2138"/>
      <c r="R94" s="2125"/>
      <c r="S94" s="2125"/>
      <c r="T94" s="2125"/>
      <c r="U94" s="2125"/>
      <c r="V94" s="2125"/>
      <c r="W94" s="2125"/>
      <c r="X94" s="2125"/>
      <c r="Y94" s="2125"/>
      <c r="Z94" s="2125"/>
      <c r="AA94" s="2125"/>
      <c r="AB94" s="2125"/>
      <c r="AC94" s="2125"/>
    </row>
    <row r="95" spans="1:29" ht="15" thickTop="1">
      <c r="A95" s="715"/>
      <c r="B95" s="653" t="s">
        <v>826</v>
      </c>
      <c r="C95" s="668" t="s">
        <v>827</v>
      </c>
      <c r="D95" s="668" t="s">
        <v>828</v>
      </c>
      <c r="E95" s="668" t="s">
        <v>829</v>
      </c>
      <c r="F95" s="698" t="s">
        <v>830</v>
      </c>
      <c r="G95" s="698"/>
      <c r="H95" s="698"/>
      <c r="I95" s="698"/>
      <c r="J95" s="698"/>
      <c r="K95" s="699"/>
      <c r="L95" s="700"/>
      <c r="M95" s="701"/>
      <c r="N95" s="2144"/>
      <c r="O95" s="2144"/>
      <c r="P95" s="2145"/>
      <c r="Q95" s="2138"/>
      <c r="R95" s="2125"/>
      <c r="S95" s="2125"/>
      <c r="T95" s="2125"/>
      <c r="U95" s="2125"/>
      <c r="V95" s="2125"/>
      <c r="W95" s="2125"/>
      <c r="X95" s="2125"/>
      <c r="Y95" s="2125"/>
      <c r="Z95" s="2125"/>
      <c r="AA95" s="2125"/>
      <c r="AB95" s="2125"/>
      <c r="AC95" s="2125"/>
    </row>
    <row r="96" spans="1:29" ht="15.75" thickBot="1">
      <c r="A96" s="649"/>
      <c r="B96" s="658"/>
      <c r="C96" s="659">
        <v>100</v>
      </c>
      <c r="D96" s="659">
        <f t="shared" ref="D96:M96" si="22">C96-$K32</f>
        <v>97</v>
      </c>
      <c r="E96" s="659">
        <f t="shared" si="22"/>
        <v>94</v>
      </c>
      <c r="F96" s="659">
        <f t="shared" si="22"/>
        <v>91</v>
      </c>
      <c r="G96" s="659">
        <f t="shared" si="22"/>
        <v>88</v>
      </c>
      <c r="H96" s="659">
        <f t="shared" si="22"/>
        <v>85</v>
      </c>
      <c r="I96" s="659">
        <f t="shared" si="22"/>
        <v>82</v>
      </c>
      <c r="J96" s="659">
        <f t="shared" si="22"/>
        <v>79</v>
      </c>
      <c r="K96" s="659">
        <f t="shared" si="22"/>
        <v>76</v>
      </c>
      <c r="L96" s="659">
        <f t="shared" si="22"/>
        <v>73</v>
      </c>
      <c r="M96" s="660">
        <f t="shared" si="22"/>
        <v>70</v>
      </c>
      <c r="N96" s="2146"/>
      <c r="O96" s="2146"/>
      <c r="P96" s="2145"/>
      <c r="Q96" s="2138"/>
      <c r="R96" s="2125"/>
      <c r="S96" s="2125"/>
      <c r="T96" s="2125"/>
      <c r="U96" s="2125"/>
      <c r="V96" s="2125"/>
      <c r="W96" s="2125"/>
      <c r="X96" s="2125"/>
      <c r="Y96" s="2125"/>
      <c r="Z96" s="2125"/>
      <c r="AA96" s="2125"/>
      <c r="AB96" s="2125"/>
      <c r="AC96" s="2125"/>
    </row>
    <row r="97" spans="1:29" ht="15" thickTop="1">
      <c r="A97" s="715"/>
      <c r="B97" s="653" t="s">
        <v>831</v>
      </c>
      <c r="C97" s="688" t="str">
        <f>C98&amp;"(含)"&amp;"-"&amp;D98</f>
        <v>0.5(含)-0.6</v>
      </c>
      <c r="D97" s="688" t="str">
        <f>D98&amp;"(含)"&amp;"-"&amp;E98</f>
        <v>0.6(含)-0.7</v>
      </c>
      <c r="E97" s="688" t="str">
        <f>E98&amp;"(含)"&amp;"-"&amp;F98</f>
        <v>0.7(含)-0.8</v>
      </c>
      <c r="F97" s="688" t="str">
        <f>F98&amp;"(含)"&amp;"-"&amp;G98</f>
        <v>0.8(含)-0.9</v>
      </c>
      <c r="G97" s="688" t="str">
        <f>G98&amp;"(含)"&amp;"-"&amp;ROUND(H98,0)</f>
        <v>0.9(含)-1</v>
      </c>
      <c r="H97" s="688"/>
      <c r="I97" s="698"/>
      <c r="J97" s="698"/>
      <c r="K97" s="699"/>
      <c r="L97" s="700"/>
      <c r="M97" s="701"/>
      <c r="N97" s="2144"/>
      <c r="O97" s="2144"/>
      <c r="P97" s="2145"/>
      <c r="Q97" s="2138"/>
      <c r="R97" s="2125"/>
      <c r="S97" s="2125"/>
      <c r="T97" s="2125"/>
      <c r="U97" s="2125"/>
      <c r="V97" s="2125"/>
      <c r="W97" s="2125"/>
      <c r="X97" s="2125"/>
      <c r="Y97" s="2125"/>
      <c r="Z97" s="2125"/>
      <c r="AA97" s="2125"/>
      <c r="AB97" s="2125"/>
      <c r="AC97" s="2125"/>
    </row>
    <row r="98" spans="1:29">
      <c r="A98" s="715"/>
      <c r="B98" s="661"/>
      <c r="C98" s="874">
        <v>0.5</v>
      </c>
      <c r="D98" s="874">
        <v>0.6</v>
      </c>
      <c r="E98" s="874">
        <v>0.7</v>
      </c>
      <c r="F98" s="874">
        <v>0.8</v>
      </c>
      <c r="G98" s="874">
        <v>0.9</v>
      </c>
      <c r="H98" s="874">
        <v>1.0001</v>
      </c>
      <c r="I98" s="884"/>
      <c r="J98" s="884"/>
      <c r="K98" s="885"/>
      <c r="L98" s="886"/>
      <c r="M98" s="887"/>
      <c r="N98" s="2144"/>
      <c r="O98" s="2144"/>
      <c r="P98" s="2145"/>
      <c r="Q98" s="2138"/>
      <c r="R98" s="2125"/>
      <c r="S98" s="2125"/>
      <c r="T98" s="2125"/>
      <c r="U98" s="2125"/>
      <c r="V98" s="2125"/>
      <c r="W98" s="2125"/>
      <c r="X98" s="2125"/>
      <c r="Y98" s="2125"/>
      <c r="Z98" s="2125"/>
      <c r="AA98" s="2125"/>
      <c r="AB98" s="2125"/>
      <c r="AC98" s="2125"/>
    </row>
    <row r="99" spans="1:29" ht="15.75" thickBot="1">
      <c r="A99" s="649"/>
      <c r="B99" s="658"/>
      <c r="C99" s="692">
        <v>100</v>
      </c>
      <c r="D99" s="659">
        <f>C99+$K33</f>
        <v>102</v>
      </c>
      <c r="E99" s="659">
        <f t="shared" ref="E99:M99" si="23">D99+$K33</f>
        <v>104</v>
      </c>
      <c r="F99" s="659">
        <f t="shared" si="23"/>
        <v>106</v>
      </c>
      <c r="G99" s="659">
        <f t="shared" si="23"/>
        <v>108</v>
      </c>
      <c r="H99" s="659">
        <f t="shared" si="23"/>
        <v>110</v>
      </c>
      <c r="I99" s="659">
        <f t="shared" si="23"/>
        <v>112</v>
      </c>
      <c r="J99" s="659">
        <f t="shared" si="23"/>
        <v>114</v>
      </c>
      <c r="K99" s="659">
        <f t="shared" si="23"/>
        <v>116</v>
      </c>
      <c r="L99" s="659">
        <f t="shared" si="23"/>
        <v>118</v>
      </c>
      <c r="M99" s="659">
        <f t="shared" si="23"/>
        <v>120</v>
      </c>
      <c r="N99" s="2146"/>
      <c r="O99" s="2146"/>
      <c r="P99" s="2145"/>
      <c r="Q99" s="2138"/>
      <c r="R99" s="2125"/>
      <c r="S99" s="2125"/>
      <c r="T99" s="2125"/>
      <c r="U99" s="2125"/>
      <c r="V99" s="2125"/>
      <c r="W99" s="2125"/>
      <c r="X99" s="2125"/>
      <c r="Y99" s="2125"/>
      <c r="Z99" s="2125"/>
      <c r="AA99" s="2125"/>
      <c r="AB99" s="2125"/>
      <c r="AC99" s="2125"/>
    </row>
    <row r="100" spans="1:29" s="1324" customFormat="1" ht="15" thickTop="1">
      <c r="A100" s="708"/>
      <c r="B100" s="653" t="s">
        <v>832</v>
      </c>
      <c r="C100" s="668" t="s">
        <v>833</v>
      </c>
      <c r="D100" s="668" t="s">
        <v>834</v>
      </c>
      <c r="E100" s="668"/>
      <c r="F100" s="668"/>
      <c r="G100" s="668"/>
      <c r="H100" s="698"/>
      <c r="I100" s="698"/>
      <c r="J100" s="698"/>
      <c r="K100" s="699"/>
      <c r="L100" s="700"/>
      <c r="M100" s="701"/>
      <c r="N100" s="2147"/>
      <c r="O100" s="2147"/>
      <c r="P100" s="2148"/>
      <c r="Q100" s="2149"/>
      <c r="R100" s="2150"/>
      <c r="S100" s="2150"/>
      <c r="T100" s="2150"/>
      <c r="U100" s="2150"/>
      <c r="V100" s="2150"/>
      <c r="W100" s="2150"/>
      <c r="X100" s="2150"/>
      <c r="Y100" s="2150"/>
      <c r="Z100" s="2150"/>
      <c r="AA100" s="2150"/>
      <c r="AB100" s="2150"/>
      <c r="AC100" s="2150"/>
    </row>
    <row r="101" spans="1:29" s="1324" customFormat="1" ht="15.75" thickBot="1">
      <c r="A101" s="667"/>
      <c r="B101" s="658"/>
      <c r="C101" s="659">
        <v>100</v>
      </c>
      <c r="D101" s="659">
        <f>C101-$K34</f>
        <v>97</v>
      </c>
      <c r="E101" s="659">
        <f t="shared" ref="E101:M101" si="24">D101-$K34</f>
        <v>94</v>
      </c>
      <c r="F101" s="659">
        <f t="shared" si="24"/>
        <v>91</v>
      </c>
      <c r="G101" s="659">
        <f t="shared" si="24"/>
        <v>88</v>
      </c>
      <c r="H101" s="659">
        <f t="shared" si="24"/>
        <v>85</v>
      </c>
      <c r="I101" s="659">
        <f t="shared" si="24"/>
        <v>82</v>
      </c>
      <c r="J101" s="659">
        <f t="shared" si="24"/>
        <v>79</v>
      </c>
      <c r="K101" s="659">
        <f t="shared" si="24"/>
        <v>76</v>
      </c>
      <c r="L101" s="659">
        <f t="shared" si="24"/>
        <v>73</v>
      </c>
      <c r="M101" s="659">
        <f t="shared" si="24"/>
        <v>70</v>
      </c>
      <c r="N101" s="2147"/>
      <c r="O101" s="2147"/>
      <c r="P101" s="2148"/>
      <c r="Q101" s="2149"/>
      <c r="R101" s="2150"/>
      <c r="S101" s="2150"/>
      <c r="T101" s="2150"/>
      <c r="U101" s="2150"/>
      <c r="V101" s="2150"/>
      <c r="W101" s="2150"/>
      <c r="X101" s="2150"/>
      <c r="Y101" s="2150"/>
      <c r="Z101" s="2150"/>
      <c r="AA101" s="2150"/>
      <c r="AB101" s="2150"/>
      <c r="AC101" s="2150"/>
    </row>
    <row r="102" spans="1:29" ht="15" thickTop="1">
      <c r="A102" s="715"/>
      <c r="B102" s="1871" t="s">
        <v>2825</v>
      </c>
      <c r="C102" s="668" t="s">
        <v>608</v>
      </c>
      <c r="D102" s="668" t="s">
        <v>609</v>
      </c>
      <c r="E102" s="668" t="s">
        <v>610</v>
      </c>
      <c r="F102" s="668" t="s">
        <v>611</v>
      </c>
      <c r="G102" s="668" t="s">
        <v>612</v>
      </c>
      <c r="H102" s="698"/>
      <c r="I102" s="698"/>
      <c r="J102" s="698"/>
      <c r="K102" s="699"/>
      <c r="L102" s="700"/>
      <c r="M102" s="701"/>
      <c r="N102" s="2144"/>
      <c r="O102" s="2144"/>
      <c r="P102" s="2145"/>
      <c r="Q102" s="2138"/>
      <c r="R102" s="2125"/>
      <c r="S102" s="2125"/>
      <c r="T102" s="2125"/>
      <c r="U102" s="2125"/>
      <c r="V102" s="2125"/>
      <c r="W102" s="2125"/>
      <c r="X102" s="2125"/>
      <c r="Y102" s="2125"/>
      <c r="Z102" s="2125"/>
      <c r="AA102" s="2125"/>
      <c r="AB102" s="2125"/>
      <c r="AC102" s="2125"/>
    </row>
    <row r="103" spans="1:29" ht="15.75" thickBot="1">
      <c r="A103" s="649"/>
      <c r="B103" s="658"/>
      <c r="C103" s="659">
        <v>100</v>
      </c>
      <c r="D103" s="659">
        <f t="shared" ref="D103:M103" si="25">C103-$K35</f>
        <v>98</v>
      </c>
      <c r="E103" s="659">
        <f t="shared" si="25"/>
        <v>96</v>
      </c>
      <c r="F103" s="659">
        <f t="shared" si="25"/>
        <v>94</v>
      </c>
      <c r="G103" s="659">
        <f t="shared" si="25"/>
        <v>92</v>
      </c>
      <c r="H103" s="659">
        <f t="shared" si="25"/>
        <v>90</v>
      </c>
      <c r="I103" s="659">
        <f t="shared" si="25"/>
        <v>88</v>
      </c>
      <c r="J103" s="659">
        <f t="shared" si="25"/>
        <v>86</v>
      </c>
      <c r="K103" s="659">
        <f t="shared" si="25"/>
        <v>84</v>
      </c>
      <c r="L103" s="659">
        <f t="shared" si="25"/>
        <v>82</v>
      </c>
      <c r="M103" s="660">
        <f t="shared" si="25"/>
        <v>80</v>
      </c>
      <c r="N103" s="2146"/>
      <c r="O103" s="2146"/>
      <c r="P103" s="2145"/>
      <c r="Q103" s="2138"/>
      <c r="R103" s="2125"/>
      <c r="S103" s="2125"/>
      <c r="T103" s="2125"/>
      <c r="U103" s="2125"/>
      <c r="V103" s="2125"/>
      <c r="W103" s="2125"/>
      <c r="X103" s="2125"/>
      <c r="Y103" s="2125"/>
      <c r="Z103" s="2125"/>
      <c r="AA103" s="2125"/>
      <c r="AB103" s="2125"/>
      <c r="AC103" s="2125"/>
    </row>
    <row r="104" spans="1:29" ht="15" thickTop="1">
      <c r="A104" s="715"/>
      <c r="B104" s="653" t="s">
        <v>841</v>
      </c>
      <c r="C104" s="668" t="s">
        <v>827</v>
      </c>
      <c r="D104" s="668" t="s">
        <v>828</v>
      </c>
      <c r="E104" s="668" t="s">
        <v>950</v>
      </c>
      <c r="F104" s="668" t="s">
        <v>951</v>
      </c>
      <c r="G104" s="668"/>
      <c r="H104" s="698"/>
      <c r="I104" s="698"/>
      <c r="J104" s="698"/>
      <c r="K104" s="699"/>
      <c r="L104" s="700"/>
      <c r="M104" s="701"/>
      <c r="N104" s="2144"/>
      <c r="O104" s="2144"/>
      <c r="P104" s="2145"/>
      <c r="Q104" s="2138"/>
      <c r="R104" s="2125"/>
      <c r="S104" s="2125"/>
      <c r="T104" s="2125"/>
      <c r="U104" s="2125"/>
      <c r="V104" s="2125"/>
      <c r="W104" s="2125"/>
      <c r="X104" s="2125"/>
      <c r="Y104" s="2125"/>
      <c r="Z104" s="2125"/>
      <c r="AA104" s="2125"/>
      <c r="AB104" s="2125"/>
      <c r="AC104" s="2125"/>
    </row>
    <row r="105" spans="1:29" ht="15.75" thickBot="1">
      <c r="A105" s="649"/>
      <c r="B105" s="658"/>
      <c r="C105" s="659">
        <v>100</v>
      </c>
      <c r="D105" s="659">
        <f>C105-$K36</f>
        <v>99</v>
      </c>
      <c r="E105" s="659">
        <f>D105-$K36</f>
        <v>98</v>
      </c>
      <c r="F105" s="659">
        <f>E105-$K36</f>
        <v>97</v>
      </c>
      <c r="G105" s="659">
        <f>F105-$K36</f>
        <v>96</v>
      </c>
      <c r="H105" s="659"/>
      <c r="I105" s="659"/>
      <c r="J105" s="659"/>
      <c r="K105" s="659"/>
      <c r="L105" s="659"/>
      <c r="M105" s="660"/>
      <c r="N105" s="2146"/>
      <c r="O105" s="2146"/>
      <c r="P105" s="2145"/>
      <c r="Q105" s="2138"/>
      <c r="R105" s="2125"/>
      <c r="S105" s="2125"/>
      <c r="T105" s="2125"/>
      <c r="U105" s="2125"/>
      <c r="V105" s="2125"/>
      <c r="W105" s="2125"/>
      <c r="X105" s="2125"/>
      <c r="Y105" s="2125"/>
      <c r="Z105" s="2125"/>
      <c r="AA105" s="2125"/>
      <c r="AB105" s="2125"/>
      <c r="AC105" s="2125"/>
    </row>
    <row r="106" spans="1:29" ht="27.75" thickTop="1">
      <c r="A106" s="715"/>
      <c r="B106" s="896" t="s">
        <v>952</v>
      </c>
      <c r="C106" s="688" t="s">
        <v>576</v>
      </c>
      <c r="D106" s="688" t="s">
        <v>577</v>
      </c>
      <c r="E106" s="688" t="s">
        <v>578</v>
      </c>
      <c r="F106" s="688" t="s">
        <v>579</v>
      </c>
      <c r="G106" s="688" t="s">
        <v>580</v>
      </c>
      <c r="H106" s="654"/>
      <c r="I106" s="654"/>
      <c r="J106" s="654"/>
      <c r="K106" s="655"/>
      <c r="L106" s="656"/>
      <c r="M106" s="657"/>
      <c r="N106" s="2146"/>
      <c r="O106" s="2146"/>
      <c r="P106" s="2185"/>
      <c r="Q106" s="2186"/>
      <c r="R106" s="2125"/>
      <c r="S106" s="2125"/>
      <c r="T106" s="2125"/>
      <c r="U106" s="2125"/>
      <c r="V106" s="2125"/>
      <c r="W106" s="2125"/>
      <c r="X106" s="2125"/>
      <c r="Y106" s="2125"/>
      <c r="Z106" s="2125"/>
      <c r="AA106" s="2125"/>
      <c r="AB106" s="2125"/>
      <c r="AC106" s="2125"/>
    </row>
    <row r="107" spans="1:29" ht="15.75" thickBot="1">
      <c r="A107" s="649"/>
      <c r="B107" s="658"/>
      <c r="C107" s="692">
        <v>100</v>
      </c>
      <c r="D107" s="659">
        <f t="shared" ref="D107:M107" si="26">C107-$K37</f>
        <v>98.5</v>
      </c>
      <c r="E107" s="659">
        <f t="shared" si="26"/>
        <v>97</v>
      </c>
      <c r="F107" s="659">
        <f t="shared" si="26"/>
        <v>95.5</v>
      </c>
      <c r="G107" s="659">
        <f t="shared" si="26"/>
        <v>94</v>
      </c>
      <c r="H107" s="659">
        <f t="shared" si="26"/>
        <v>92.5</v>
      </c>
      <c r="I107" s="659">
        <f t="shared" si="26"/>
        <v>91</v>
      </c>
      <c r="J107" s="659">
        <f t="shared" si="26"/>
        <v>89.5</v>
      </c>
      <c r="K107" s="659">
        <f t="shared" si="26"/>
        <v>88</v>
      </c>
      <c r="L107" s="659">
        <f t="shared" si="26"/>
        <v>86.5</v>
      </c>
      <c r="M107" s="659">
        <f t="shared" si="26"/>
        <v>85</v>
      </c>
      <c r="N107" s="2146"/>
      <c r="O107" s="2146"/>
      <c r="P107" s="2145"/>
      <c r="Q107" s="2138"/>
      <c r="R107" s="2125"/>
      <c r="S107" s="2125"/>
      <c r="T107" s="2125"/>
      <c r="U107" s="2125"/>
      <c r="V107" s="2125"/>
      <c r="W107" s="2125"/>
      <c r="X107" s="2125"/>
      <c r="Y107" s="2125"/>
      <c r="Z107" s="2125"/>
      <c r="AA107" s="2125"/>
      <c r="AB107" s="2125"/>
      <c r="AC107" s="2125"/>
    </row>
    <row r="108" spans="1:29" s="1324" customFormat="1" ht="15" thickTop="1">
      <c r="A108" s="708"/>
      <c r="B108" s="653">
        <f>B38</f>
        <v>111</v>
      </c>
      <c r="C108" s="668">
        <v>111</v>
      </c>
      <c r="D108" s="668">
        <v>222</v>
      </c>
      <c r="E108" s="668">
        <v>333</v>
      </c>
      <c r="F108" s="668">
        <v>444</v>
      </c>
      <c r="G108" s="668"/>
      <c r="H108" s="669"/>
      <c r="I108" s="669"/>
      <c r="J108" s="669"/>
      <c r="K108" s="669"/>
      <c r="L108" s="670"/>
      <c r="M108" s="671"/>
      <c r="N108" s="2147"/>
      <c r="O108" s="2147"/>
      <c r="P108" s="2148"/>
      <c r="Q108" s="2149"/>
      <c r="R108" s="2150"/>
      <c r="S108" s="2150"/>
      <c r="T108" s="2150"/>
      <c r="U108" s="2150"/>
      <c r="V108" s="2150"/>
      <c r="W108" s="2150"/>
      <c r="X108" s="2150"/>
      <c r="Y108" s="2150"/>
      <c r="Z108" s="2150"/>
      <c r="AA108" s="2150"/>
      <c r="AB108" s="2150"/>
      <c r="AC108" s="2150"/>
    </row>
    <row r="109" spans="1:29" s="1324" customFormat="1" ht="15.75" thickBot="1">
      <c r="A109" s="667"/>
      <c r="B109" s="650"/>
      <c r="C109" s="672">
        <v>100</v>
      </c>
      <c r="D109" s="651">
        <v>95</v>
      </c>
      <c r="E109" s="651">
        <v>90</v>
      </c>
      <c r="F109" s="651">
        <v>85</v>
      </c>
      <c r="G109" s="672"/>
      <c r="H109" s="673"/>
      <c r="I109" s="673"/>
      <c r="J109" s="673"/>
      <c r="K109" s="673"/>
      <c r="L109" s="673"/>
      <c r="M109" s="674"/>
      <c r="N109" s="2147"/>
      <c r="O109" s="2147"/>
      <c r="P109" s="2148"/>
      <c r="Q109" s="2149"/>
      <c r="R109" s="2150"/>
      <c r="S109" s="2150"/>
      <c r="T109" s="2150"/>
      <c r="U109" s="2150"/>
      <c r="V109" s="2150"/>
      <c r="W109" s="2150"/>
      <c r="X109" s="2150"/>
      <c r="Y109" s="2150"/>
      <c r="Z109" s="2150"/>
      <c r="AA109" s="2150"/>
      <c r="AB109" s="2150"/>
      <c r="AC109" s="2150"/>
    </row>
    <row r="110" spans="1:29" ht="15" thickTop="1">
      <c r="A110" s="715"/>
      <c r="B110" s="653">
        <f>B39</f>
        <v>111</v>
      </c>
      <c r="C110" s="668">
        <v>111</v>
      </c>
      <c r="D110" s="668">
        <v>222</v>
      </c>
      <c r="E110" s="668">
        <v>333</v>
      </c>
      <c r="F110" s="668">
        <v>444</v>
      </c>
      <c r="G110" s="668"/>
      <c r="H110" s="669"/>
      <c r="I110" s="669"/>
      <c r="J110" s="669"/>
      <c r="K110" s="669"/>
      <c r="L110" s="670"/>
      <c r="M110" s="671"/>
      <c r="N110" s="2144"/>
      <c r="O110" s="2144"/>
      <c r="P110" s="2145"/>
      <c r="Q110" s="2138"/>
      <c r="R110" s="2125"/>
      <c r="S110" s="2125"/>
      <c r="T110" s="2125"/>
      <c r="U110" s="2125"/>
      <c r="V110" s="2125"/>
      <c r="W110" s="2125"/>
      <c r="X110" s="2125"/>
      <c r="Y110" s="2125"/>
      <c r="Z110" s="2125"/>
      <c r="AA110" s="2125"/>
      <c r="AB110" s="2125"/>
      <c r="AC110" s="2125"/>
    </row>
    <row r="111" spans="1:29" ht="15.75" thickBot="1">
      <c r="A111" s="649"/>
      <c r="B111" s="658"/>
      <c r="C111" s="672">
        <v>100</v>
      </c>
      <c r="D111" s="651">
        <v>95</v>
      </c>
      <c r="E111" s="651">
        <v>90</v>
      </c>
      <c r="F111" s="651">
        <v>85</v>
      </c>
      <c r="G111" s="672"/>
      <c r="H111" s="673"/>
      <c r="I111" s="673"/>
      <c r="J111" s="673"/>
      <c r="K111" s="673"/>
      <c r="L111" s="673"/>
      <c r="M111" s="674"/>
      <c r="N111" s="2146"/>
      <c r="O111" s="2146"/>
      <c r="P111" s="2145"/>
      <c r="Q111" s="2138"/>
      <c r="R111" s="2125"/>
      <c r="S111" s="2125"/>
      <c r="T111" s="2125"/>
      <c r="U111" s="2125"/>
      <c r="V111" s="2125"/>
      <c r="W111" s="2125"/>
      <c r="X111" s="2125"/>
      <c r="Y111" s="2125"/>
      <c r="Z111" s="2125"/>
      <c r="AA111" s="2125"/>
      <c r="AB111" s="2125"/>
      <c r="AC111" s="2125"/>
    </row>
    <row r="112" spans="1:29" ht="15" thickTop="1">
      <c r="A112" s="715"/>
      <c r="B112" s="661">
        <f>B40</f>
        <v>111</v>
      </c>
      <c r="C112" s="641">
        <v>111</v>
      </c>
      <c r="D112" s="641">
        <v>222</v>
      </c>
      <c r="E112" s="641">
        <v>333</v>
      </c>
      <c r="F112" s="641">
        <v>444</v>
      </c>
      <c r="G112" s="702"/>
      <c r="H112" s="702"/>
      <c r="I112" s="702"/>
      <c r="J112" s="702"/>
      <c r="K112" s="641"/>
      <c r="L112" s="642"/>
      <c r="M112" s="705"/>
      <c r="N112" s="2144"/>
      <c r="O112" s="2144"/>
      <c r="P112" s="2145"/>
      <c r="Q112" s="2138"/>
      <c r="R112" s="2125"/>
      <c r="S112" s="2125"/>
      <c r="T112" s="2125"/>
      <c r="U112" s="2125"/>
      <c r="V112" s="2125"/>
      <c r="W112" s="2125"/>
      <c r="X112" s="2125"/>
      <c r="Y112" s="2125"/>
      <c r="Z112" s="2125"/>
      <c r="AA112" s="2125"/>
      <c r="AB112" s="2125"/>
      <c r="AC112" s="2125"/>
    </row>
    <row r="113" spans="1:29" ht="15.75" thickBot="1">
      <c r="A113" s="873"/>
      <c r="B113" s="679"/>
      <c r="C113" s="680">
        <v>100</v>
      </c>
      <c r="D113" s="680">
        <v>98</v>
      </c>
      <c r="E113" s="680">
        <v>96</v>
      </c>
      <c r="F113" s="680">
        <v>94</v>
      </c>
      <c r="G113" s="706"/>
      <c r="H113" s="706"/>
      <c r="I113" s="706"/>
      <c r="J113" s="706"/>
      <c r="K113" s="706"/>
      <c r="L113" s="706"/>
      <c r="M113" s="707"/>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53" customWidth="1"/>
    <col min="2" max="2" width="9" style="1753"/>
    <col min="3" max="4" width="9.625" style="1753" customWidth="1"/>
    <col min="5" max="16384" width="9" style="1753"/>
  </cols>
  <sheetData>
    <row r="1" spans="1:4" ht="22.5">
      <c r="A1" s="1752" t="s">
        <v>2118</v>
      </c>
    </row>
    <row r="2" spans="1:4">
      <c r="A2" s="1754"/>
    </row>
    <row r="3" spans="1:4" ht="18.75">
      <c r="A3" s="1772" t="str">
        <f>项目基本情况!B5&amp;"："</f>
        <v>交通银行北分：</v>
      </c>
    </row>
    <row r="4" spans="1:4" ht="37.5">
      <c r="A4" s="1766" t="str">
        <f>"受贵公司委托，我公司对"&amp;项目基本情况!K2&amp;项目基本情况!B9&amp;"进行了预评估。"</f>
        <v>受贵公司委托，我公司对北京市07出让国有建设用地使用权抵押价格进行了预评估。</v>
      </c>
    </row>
    <row r="5" spans="1:4" ht="18.75">
      <c r="A5" s="1769" t="s">
        <v>2119</v>
      </c>
    </row>
    <row r="6" spans="1:4" ht="75">
      <c r="A6" s="176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BB公司使用的、位于北京市07出让国有建设用地使用权。根据《国有土地使用证》[]，估价对象（分摊）出让国有建设用地使用权面积为114029.21平方米。根据《建设工程规划许可证》[]、《出让合同》[]，估价对象规划建筑面积为507462.25平方米。</v>
      </c>
    </row>
    <row r="7" spans="1:4" ht="93.75">
      <c r="A7" s="2891" t="s">
        <v>3031</v>
      </c>
    </row>
    <row r="8" spans="1:4" ht="18.75">
      <c r="A8" s="1769" t="s">
        <v>2120</v>
      </c>
    </row>
    <row r="9" spans="1:4" ht="75">
      <c r="A9" s="1771" t="str">
        <f>IF(项目基本情况!B8="抵押",IF(项目基本情况!B5=项目基本情况!B6,定义!C51,定义!B51),定义!D51)</f>
        <v>中信开发拟使用北京市07出让国有建设用地使用权作为抵押担保物，向交通银行北分办理贷款手续。交通银行北分特委托北京康正宏基房地产评估有限公司对上述抵押物进行评估。本次评估为确定标的物之抵押贷款额度提供参考依据而评估出让国有建设用地使用权抵押价格。</v>
      </c>
    </row>
    <row r="10" spans="1:4" ht="18.75">
      <c r="A10" s="1772" t="s">
        <v>2250</v>
      </c>
    </row>
    <row r="11" spans="1:4" ht="18.75">
      <c r="A11" s="1755" t="str">
        <f>TEXT(项目基本情况!D3,"yyyy年m月d日;;")&amp;IF(项目基本情况!B3=项目基本情况!D3,"（评估专业人员勘察现场之日）","")</f>
        <v>2017年6月12日（评估专业人员勘察现场之日）</v>
      </c>
    </row>
    <row r="12" spans="1:4" ht="18.75">
      <c r="A12" s="1772" t="s">
        <v>2249</v>
      </c>
    </row>
    <row r="13" spans="1:4" ht="18.75">
      <c r="A13" s="1766" t="s">
        <v>2300</v>
      </c>
    </row>
    <row r="14" spans="1:4" ht="18.75">
      <c r="A14" s="1766" t="str">
        <f>"根据"&amp;项目基本情况!F12&amp;"，本次评估估价对象证载（地类）用途为"&amp;项目基本情况!B12&amp;"。"</f>
        <v>根据，本次评估估价对象证载（地类）用途为。</v>
      </c>
      <c r="C14" s="1756"/>
      <c r="D14" s="1757"/>
    </row>
    <row r="15" spans="1:4" ht="18.75">
      <c r="A15" s="17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56"/>
      <c r="D15" s="1757"/>
    </row>
    <row r="16" spans="1:4" ht="18.75">
      <c r="A16" s="1766" t="s">
        <v>2301</v>
      </c>
    </row>
    <row r="17" spans="1:1" ht="75">
      <c r="A17" s="17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76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6" t="s">
        <v>2302</v>
      </c>
    </row>
    <row r="20" spans="1:1" ht="56.2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根据《国有土地使用证》[]，估价对象（分摊）出让国有建设用地使用权面积为114029.21平方米。根据《建设工程规划许可证》[]、《出让合同》[]，估价对象规划建筑面积为507462.25平方米。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6" t="s">
        <v>2303</v>
      </c>
    </row>
    <row r="23" spans="1:1" ht="18.75">
      <c r="A23" s="2893" t="s">
        <v>3032</v>
      </c>
    </row>
    <row r="24" spans="1:1" ht="18.75">
      <c r="A24" s="1766" t="s">
        <v>2304</v>
      </c>
    </row>
    <row r="25" spans="1:1" ht="93.75">
      <c r="A25" s="1766"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剩余土地使用年限为的出让国有建设用地使用权价格。</v>
      </c>
    </row>
    <row r="26" spans="1:1" ht="37.5">
      <c r="A26" s="176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66" t="str">
        <f>IF(项目基本情况!E9="——","",定义!C57)</f>
        <v/>
      </c>
    </row>
    <row r="29" spans="1:1" ht="18.75">
      <c r="A29" s="1772" t="s">
        <v>2251</v>
      </c>
    </row>
    <row r="30" spans="1:1" ht="75">
      <c r="A30" s="176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31" spans="1:1">
      <c r="A31" s="1773"/>
    </row>
    <row r="32" spans="1:1" ht="18.75">
      <c r="A32" s="1774" t="s">
        <v>2252</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42" sqref="C42"/>
    </sheetView>
  </sheetViews>
  <sheetFormatPr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82" t="s">
        <v>755</v>
      </c>
      <c r="B1" s="902" t="s">
        <v>1117</v>
      </c>
      <c r="C1" s="484" t="s">
        <v>954</v>
      </c>
      <c r="D1" s="829" t="s">
        <v>47</v>
      </c>
      <c r="E1" s="486"/>
      <c r="F1" s="2825" t="s">
        <v>2843</v>
      </c>
      <c r="G1" s="1582" t="s">
        <v>955</v>
      </c>
      <c r="H1" s="486"/>
      <c r="I1" s="486"/>
      <c r="J1" s="486"/>
      <c r="K1" s="487"/>
      <c r="L1" s="1543"/>
      <c r="M1" s="1544"/>
      <c r="N1" s="1544"/>
      <c r="O1" s="1544"/>
      <c r="P1" s="1545"/>
      <c r="Q1" s="1545"/>
      <c r="R1" s="1545"/>
      <c r="S1" s="1545"/>
      <c r="T1" s="1545"/>
      <c r="U1" s="1545"/>
      <c r="V1" s="1545"/>
      <c r="W1" s="1545"/>
      <c r="X1" s="1545"/>
      <c r="Y1" s="1545"/>
      <c r="Z1" s="1545"/>
      <c r="AA1" s="1545"/>
      <c r="AB1" s="1545"/>
      <c r="AC1" s="1546"/>
    </row>
    <row r="2" spans="1:29" s="1321" customFormat="1" ht="28.5" customHeight="1">
      <c r="A2" s="403" t="s">
        <v>956</v>
      </c>
      <c r="B2" s="830">
        <f>IF(B37="元/平方米",ROUND(B3*D3/10000,0),ROUND(F3*C39/10000,0))</f>
        <v>77551</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1" customFormat="1" ht="28.5" customHeight="1" thickBot="1">
      <c r="A3" s="489" t="s">
        <v>957</v>
      </c>
      <c r="B3" s="490">
        <f>IF(B37="元/平方米",C39,ROUND(B2*10000/D3,0))</f>
        <v>8080</v>
      </c>
      <c r="C3" s="832" t="s">
        <v>958</v>
      </c>
      <c r="D3" s="831">
        <f>SUMIF('数据-汇总表'!$C19:$C36,D1,'数据-汇总表'!$E19:$E36)</f>
        <v>95982.26999999999</v>
      </c>
      <c r="E3" s="1821" t="s">
        <v>2305</v>
      </c>
      <c r="F3" s="831">
        <f>SUMIF('数据-取费表'!A5:A18,D1,'数据-取费表'!AH5:AH18)</f>
        <v>2742</v>
      </c>
      <c r="G3" s="2108"/>
      <c r="H3" s="2108"/>
      <c r="I3" s="2108"/>
      <c r="J3" s="2108"/>
      <c r="K3" s="2110"/>
      <c r="L3" s="2111"/>
      <c r="M3" s="2112"/>
      <c r="N3" s="2112"/>
      <c r="O3" s="2112"/>
      <c r="P3" s="1545"/>
      <c r="Q3" s="1545"/>
      <c r="R3" s="1545"/>
      <c r="S3" s="1545"/>
      <c r="T3" s="1545"/>
      <c r="U3" s="1545"/>
      <c r="V3" s="1545"/>
      <c r="W3" s="1545"/>
      <c r="X3" s="1545"/>
      <c r="Y3" s="1545"/>
      <c r="Z3" s="1545"/>
      <c r="AA3" s="1545"/>
      <c r="AB3" s="1547"/>
      <c r="AC3" s="408"/>
    </row>
    <row r="4" spans="1:29" ht="15">
      <c r="A4" s="492" t="s">
        <v>959</v>
      </c>
      <c r="B4" s="493"/>
      <c r="C4" s="3402" t="s">
        <v>960</v>
      </c>
      <c r="D4" s="3403"/>
      <c r="E4" s="3402" t="s">
        <v>961</v>
      </c>
      <c r="F4" s="3403"/>
      <c r="G4" s="3402" t="s">
        <v>962</v>
      </c>
      <c r="H4" s="3403"/>
      <c r="I4" s="3402" t="s">
        <v>963</v>
      </c>
      <c r="J4" s="3403"/>
      <c r="K4" s="494" t="s">
        <v>964</v>
      </c>
      <c r="L4" s="2113"/>
      <c r="M4" s="2114"/>
      <c r="N4" s="2114"/>
      <c r="O4" s="2114"/>
      <c r="P4" s="3404" t="s">
        <v>965</v>
      </c>
      <c r="Q4" s="3405"/>
      <c r="R4" s="3410" t="s">
        <v>961</v>
      </c>
      <c r="S4" s="3411"/>
      <c r="T4" s="3410" t="s">
        <v>962</v>
      </c>
      <c r="U4" s="3411"/>
      <c r="V4" s="3397" t="s">
        <v>963</v>
      </c>
      <c r="W4" s="3397"/>
      <c r="X4" s="1548"/>
      <c r="Y4" s="3410" t="s">
        <v>965</v>
      </c>
      <c r="Z4" s="3411"/>
      <c r="AA4" s="3399" t="s">
        <v>961</v>
      </c>
      <c r="AB4" s="3400" t="s">
        <v>962</v>
      </c>
      <c r="AC4" s="3399" t="s">
        <v>963</v>
      </c>
    </row>
    <row r="5" spans="1:29" ht="15">
      <c r="A5" s="495"/>
      <c r="B5" s="496"/>
      <c r="C5" s="3438" t="s">
        <v>512</v>
      </c>
      <c r="D5" s="3439"/>
      <c r="E5" s="3418" t="str">
        <f>[1]车位!A23</f>
        <v>顶秀青溪</v>
      </c>
      <c r="F5" s="3419"/>
      <c r="G5" s="3418" t="str">
        <f>[1]车位!A76</f>
        <v>京基鹭府</v>
      </c>
      <c r="H5" s="3419"/>
      <c r="I5" s="3537" t="s">
        <v>3385</v>
      </c>
      <c r="J5" s="3439"/>
      <c r="K5" s="494"/>
      <c r="L5" s="2113"/>
      <c r="M5" s="2114"/>
      <c r="N5" s="2114"/>
      <c r="O5" s="2114"/>
      <c r="P5" s="3406"/>
      <c r="Q5" s="3407"/>
      <c r="R5" s="3412"/>
      <c r="S5" s="3413"/>
      <c r="T5" s="3412"/>
      <c r="U5" s="3413"/>
      <c r="V5" s="3397"/>
      <c r="W5" s="3397"/>
      <c r="X5" s="1548"/>
      <c r="Y5" s="3412"/>
      <c r="Z5" s="3413"/>
      <c r="AA5" s="3400"/>
      <c r="AB5" s="3400"/>
      <c r="AC5" s="3400"/>
    </row>
    <row r="6" spans="1:29" ht="15.75" customHeight="1" thickBot="1">
      <c r="A6" s="497"/>
      <c r="B6" s="498"/>
      <c r="C6" s="3440" t="s">
        <v>516</v>
      </c>
      <c r="D6" s="3441"/>
      <c r="E6" s="3538" t="s">
        <v>3373</v>
      </c>
      <c r="F6" s="3425"/>
      <c r="G6" s="3514" t="s">
        <v>3374</v>
      </c>
      <c r="H6" s="3417"/>
      <c r="I6" s="3536" t="s">
        <v>3386</v>
      </c>
      <c r="J6" s="3441"/>
      <c r="K6" s="494" t="s">
        <v>517</v>
      </c>
      <c r="L6" s="2113"/>
      <c r="M6" s="2114"/>
      <c r="N6" s="2114"/>
      <c r="O6" s="2114"/>
      <c r="P6" s="3408"/>
      <c r="Q6" s="3409"/>
      <c r="R6" s="3412"/>
      <c r="S6" s="3413"/>
      <c r="T6" s="3414"/>
      <c r="U6" s="3415"/>
      <c r="V6" s="3397"/>
      <c r="W6" s="3397"/>
      <c r="X6" s="1548"/>
      <c r="Y6" s="3414"/>
      <c r="Z6" s="3415"/>
      <c r="AA6" s="3401"/>
      <c r="AB6" s="3401"/>
      <c r="AC6" s="3401"/>
    </row>
    <row r="7" spans="1:29" s="1199" customFormat="1" ht="15.75" thickBot="1">
      <c r="A7" s="2929"/>
      <c r="B7" s="2936" t="s">
        <v>518</v>
      </c>
      <c r="C7" s="499">
        <f>'数据-取费表'!B2</f>
        <v>42898</v>
      </c>
      <c r="D7" s="500">
        <v>100</v>
      </c>
      <c r="E7" s="503">
        <v>42856</v>
      </c>
      <c r="F7" s="502">
        <f>SUMIF(48:48,YEAR(E7)&amp;"-"&amp;MONTH(E7),49:49)</f>
        <v>99.5</v>
      </c>
      <c r="G7" s="503">
        <v>42826</v>
      </c>
      <c r="H7" s="500">
        <f>SUMIF(48:48,YEAR(G7)&amp;"-"&amp;MONTH(G7),49:49)</f>
        <v>99</v>
      </c>
      <c r="I7" s="501">
        <v>42856</v>
      </c>
      <c r="J7" s="500">
        <f>SUMIF(48:48,YEAR(I7)&amp;"-"&amp;MONTH(I7),49:49)</f>
        <v>99.5</v>
      </c>
      <c r="K7" s="504"/>
      <c r="L7" s="2115"/>
      <c r="M7" s="2116"/>
      <c r="N7" s="2116"/>
      <c r="O7" s="2116"/>
      <c r="P7" s="3431" t="s">
        <v>519</v>
      </c>
      <c r="Q7" s="3433"/>
      <c r="R7" s="1549" t="s">
        <v>8</v>
      </c>
      <c r="S7" s="1550">
        <f t="shared" ref="S7:S14" si="0">F7</f>
        <v>99.5</v>
      </c>
      <c r="T7" s="1549" t="s">
        <v>8</v>
      </c>
      <c r="U7" s="1550">
        <f t="shared" ref="U7:U14" si="1">H7</f>
        <v>99</v>
      </c>
      <c r="V7" s="1549" t="s">
        <v>8</v>
      </c>
      <c r="W7" s="1550">
        <f t="shared" ref="W7:W14" si="2">J7</f>
        <v>99.5</v>
      </c>
      <c r="X7" s="1551"/>
      <c r="Y7" s="3431" t="s">
        <v>519</v>
      </c>
      <c r="Z7" s="3432"/>
      <c r="AA7" s="1552">
        <f>D7/F7</f>
        <v>1.0050251256281406</v>
      </c>
      <c r="AB7" s="1552">
        <f>D7/H7</f>
        <v>1.0101010101010102</v>
      </c>
      <c r="AC7" s="1552">
        <f>D7/J7</f>
        <v>1.0050251256281406</v>
      </c>
    </row>
    <row r="8" spans="1:29" s="1199" customFormat="1" ht="15.75" thickBot="1">
      <c r="A8" s="2930"/>
      <c r="B8" s="2937" t="s">
        <v>520</v>
      </c>
      <c r="C8" s="505" t="s">
        <v>572</v>
      </c>
      <c r="D8" s="500">
        <v>100</v>
      </c>
      <c r="E8" s="3144" t="s">
        <v>3314</v>
      </c>
      <c r="F8" s="502">
        <f>SUMIF(51:51,E8,52:52)-SUMIF(51:51,C8,52:52)+100</f>
        <v>100</v>
      </c>
      <c r="G8" s="3144" t="s">
        <v>3314</v>
      </c>
      <c r="H8" s="500">
        <f>SUMIF(51:51,G8,52:52)-SUMIF(51:51,C8,52:52)+100</f>
        <v>100</v>
      </c>
      <c r="I8" s="505" t="s">
        <v>3381</v>
      </c>
      <c r="J8" s="500">
        <f>SUMIF(51:51,I8,52:52)-SUMIF(51:51,C8,52:52)+100</f>
        <v>100</v>
      </c>
      <c r="K8" s="504"/>
      <c r="L8" s="2115"/>
      <c r="M8" s="2116"/>
      <c r="N8" s="2116"/>
      <c r="O8" s="2116"/>
      <c r="P8" s="3431" t="s">
        <v>522</v>
      </c>
      <c r="Q8" s="3432"/>
      <c r="R8" s="1549" t="s">
        <v>8</v>
      </c>
      <c r="S8" s="1550">
        <f t="shared" si="0"/>
        <v>100</v>
      </c>
      <c r="T8" s="1549" t="s">
        <v>8</v>
      </c>
      <c r="U8" s="1550">
        <f t="shared" si="1"/>
        <v>100</v>
      </c>
      <c r="V8" s="1549" t="s">
        <v>8</v>
      </c>
      <c r="W8" s="1550">
        <f t="shared" si="2"/>
        <v>100</v>
      </c>
      <c r="X8" s="1551"/>
      <c r="Y8" s="3431" t="s">
        <v>522</v>
      </c>
      <c r="Z8" s="3432"/>
      <c r="AA8" s="1552">
        <f t="shared" ref="AA8:AA36" si="3">D8/F8</f>
        <v>1</v>
      </c>
      <c r="AB8" s="1552">
        <f t="shared" ref="AB8:AB36" si="4">D8/H8</f>
        <v>1</v>
      </c>
      <c r="AC8" s="1552">
        <f t="shared" ref="AC8:AC36" si="5">D8/J8</f>
        <v>1</v>
      </c>
    </row>
    <row r="9" spans="1:29" s="1199" customFormat="1" ht="15">
      <c r="A9" s="2931"/>
      <c r="B9" s="2938" t="s">
        <v>3039</v>
      </c>
      <c r="C9" s="837" t="s">
        <v>966</v>
      </c>
      <c r="D9" s="231">
        <v>100</v>
      </c>
      <c r="E9" s="3191" t="s">
        <v>967</v>
      </c>
      <c r="F9" s="231">
        <f>SUMIF(53:53,E9,54:54)-SUMIF(53:53,C9,54:54)+100</f>
        <v>100</v>
      </c>
      <c r="G9" s="3184" t="s">
        <v>967</v>
      </c>
      <c r="H9" s="231">
        <f>SUMIF(53:53,G9,54:54)-SUMIF(53:53,C9,54:54)+100</f>
        <v>100</v>
      </c>
      <c r="I9" s="838" t="s">
        <v>3382</v>
      </c>
      <c r="J9" s="231">
        <f>SUMIF(53:53,I9,54:54)-SUMIF(53:53,C9,54:54)+100</f>
        <v>100</v>
      </c>
      <c r="K9" s="504"/>
      <c r="L9" s="2115"/>
      <c r="M9" s="2116"/>
      <c r="N9" s="2116"/>
      <c r="O9" s="2117"/>
      <c r="P9" s="3396" t="s">
        <v>524</v>
      </c>
      <c r="Q9" s="1130" t="str">
        <f t="shared" ref="Q9:Q14" si="6">B9</f>
        <v>用途</v>
      </c>
      <c r="R9" s="1549" t="s">
        <v>8</v>
      </c>
      <c r="S9" s="1550">
        <f t="shared" si="0"/>
        <v>100</v>
      </c>
      <c r="T9" s="1549" t="s">
        <v>8</v>
      </c>
      <c r="U9" s="1550">
        <f t="shared" si="1"/>
        <v>100</v>
      </c>
      <c r="V9" s="1549" t="s">
        <v>8</v>
      </c>
      <c r="W9" s="1550">
        <f t="shared" si="2"/>
        <v>100</v>
      </c>
      <c r="X9" s="1551"/>
      <c r="Y9" s="3343" t="s">
        <v>525</v>
      </c>
      <c r="Z9" s="1129" t="str">
        <f t="shared" ref="Z9:Z14" si="7">Q9</f>
        <v>用途</v>
      </c>
      <c r="AA9" s="1552">
        <f t="shared" si="3"/>
        <v>1</v>
      </c>
      <c r="AB9" s="1552">
        <f t="shared" si="4"/>
        <v>1</v>
      </c>
      <c r="AC9" s="1552">
        <f t="shared" si="5"/>
        <v>1</v>
      </c>
    </row>
    <row r="10" spans="1:29" s="1323" customFormat="1" ht="27">
      <c r="A10" s="2932"/>
      <c r="B10" s="2937" t="s">
        <v>3040</v>
      </c>
      <c r="C10" s="841" t="s">
        <v>905</v>
      </c>
      <c r="D10" s="232">
        <v>100</v>
      </c>
      <c r="E10" s="3181" t="s">
        <v>3350</v>
      </c>
      <c r="F10" s="232">
        <f>SUMIF(55:55,E10,56:56)-SUMIF(55:55,C10,56:56)+100</f>
        <v>98</v>
      </c>
      <c r="G10" s="3185" t="s">
        <v>3378</v>
      </c>
      <c r="H10" s="232">
        <f>SUMIF(55:55,G10,56:56)-SUMIF(55:55,C10,56:56)+100</f>
        <v>100</v>
      </c>
      <c r="I10" s="842" t="s">
        <v>3378</v>
      </c>
      <c r="J10" s="232">
        <f>SUMIF(55:55,I10,56:56)-SUMIF(55:55,C10,56:56)+100</f>
        <v>100</v>
      </c>
      <c r="K10" s="564">
        <v>2</v>
      </c>
      <c r="L10" s="2118"/>
      <c r="M10" s="2158"/>
      <c r="N10" s="2158"/>
      <c r="O10" s="2119"/>
      <c r="P10" s="3396"/>
      <c r="Q10" s="1130" t="str">
        <f t="shared" si="6"/>
        <v>土地使用年限（年）</v>
      </c>
      <c r="R10" s="1549" t="s">
        <v>8</v>
      </c>
      <c r="S10" s="1550">
        <f t="shared" si="0"/>
        <v>98</v>
      </c>
      <c r="T10" s="1549" t="s">
        <v>8</v>
      </c>
      <c r="U10" s="1550">
        <f t="shared" si="1"/>
        <v>100</v>
      </c>
      <c r="V10" s="1549" t="s">
        <v>8</v>
      </c>
      <c r="W10" s="1550">
        <f t="shared" si="2"/>
        <v>100</v>
      </c>
      <c r="X10" s="1551"/>
      <c r="Y10" s="3343"/>
      <c r="Z10" s="1129" t="str">
        <f t="shared" si="7"/>
        <v>土地使用年限（年）</v>
      </c>
      <c r="AA10" s="1552">
        <f t="shared" si="3"/>
        <v>1.0204081632653061</v>
      </c>
      <c r="AB10" s="1552">
        <f t="shared" si="4"/>
        <v>1</v>
      </c>
      <c r="AC10" s="1552">
        <f t="shared" si="5"/>
        <v>1</v>
      </c>
    </row>
    <row r="11" spans="1:29" ht="15">
      <c r="A11" s="2934"/>
      <c r="B11" s="2940"/>
      <c r="C11" s="508"/>
      <c r="D11" s="232">
        <v>100</v>
      </c>
      <c r="E11" s="508"/>
      <c r="F11" s="232">
        <f>SUMIF(57:57,E11,58:58)-SUMIF(57:57,C11,58:58)+100</f>
        <v>100</v>
      </c>
      <c r="G11" s="508"/>
      <c r="H11" s="232">
        <f>SUMIF(57:57,G11,58:58)-SUMIF(57:57,C11,58:58)+100</f>
        <v>100</v>
      </c>
      <c r="I11" s="508"/>
      <c r="J11" s="232">
        <f>SUMIF(57:57,I11,58:58)-SUMIF(57:57,C11,58:58)+100</f>
        <v>100</v>
      </c>
      <c r="K11" s="561"/>
      <c r="L11" s="2120"/>
      <c r="M11" s="2114"/>
      <c r="N11" s="2114"/>
      <c r="O11" s="2121"/>
      <c r="P11" s="3396"/>
      <c r="Q11" s="1130">
        <f t="shared" si="6"/>
        <v>0</v>
      </c>
      <c r="R11" s="1549" t="s">
        <v>8</v>
      </c>
      <c r="S11" s="1550">
        <f t="shared" si="0"/>
        <v>100</v>
      </c>
      <c r="T11" s="1549" t="s">
        <v>8</v>
      </c>
      <c r="U11" s="1550">
        <f t="shared" si="1"/>
        <v>100</v>
      </c>
      <c r="V11" s="1549" t="s">
        <v>8</v>
      </c>
      <c r="W11" s="1550">
        <f t="shared" si="2"/>
        <v>100</v>
      </c>
      <c r="X11" s="1551"/>
      <c r="Y11" s="3343"/>
      <c r="Z11" s="1129">
        <f t="shared" si="7"/>
        <v>0</v>
      </c>
      <c r="AA11" s="1552">
        <f t="shared" si="3"/>
        <v>1</v>
      </c>
      <c r="AB11" s="1552">
        <f t="shared" si="4"/>
        <v>1</v>
      </c>
      <c r="AC11" s="1552">
        <f t="shared" si="5"/>
        <v>1</v>
      </c>
    </row>
    <row r="12" spans="1:29" s="1199" customFormat="1" ht="15">
      <c r="A12" s="2934"/>
      <c r="B12" s="2940"/>
      <c r="C12" s="508"/>
      <c r="D12" s="518">
        <v>100</v>
      </c>
      <c r="E12" s="508"/>
      <c r="F12" s="232">
        <f>SUMIF(59:59,E12,60:60)-SUMIF(59:59,C12,60:60)+100</f>
        <v>100</v>
      </c>
      <c r="G12" s="508"/>
      <c r="H12" s="232">
        <f>SUMIF(59:59,G12,60:60)-SUMIF(59:59,C12,60:60)+100</f>
        <v>100</v>
      </c>
      <c r="I12" s="508"/>
      <c r="J12" s="232">
        <f>SUMIF(59:59,I12,60:60)-SUMIF(59:59,C12,60:60)+100</f>
        <v>100</v>
      </c>
      <c r="K12" s="561"/>
      <c r="L12" s="2115"/>
      <c r="M12" s="2116"/>
      <c r="N12" s="2116"/>
      <c r="O12" s="2117"/>
      <c r="P12" s="3396"/>
      <c r="Q12" s="1130">
        <f t="shared" si="6"/>
        <v>0</v>
      </c>
      <c r="R12" s="1549" t="s">
        <v>8</v>
      </c>
      <c r="S12" s="1550">
        <f t="shared" si="0"/>
        <v>100</v>
      </c>
      <c r="T12" s="1549" t="s">
        <v>8</v>
      </c>
      <c r="U12" s="1550">
        <f t="shared" si="1"/>
        <v>100</v>
      </c>
      <c r="V12" s="1549" t="s">
        <v>8</v>
      </c>
      <c r="W12" s="1550">
        <f t="shared" si="2"/>
        <v>100</v>
      </c>
      <c r="X12" s="1551"/>
      <c r="Y12" s="3343"/>
      <c r="Z12" s="1129">
        <f t="shared" si="7"/>
        <v>0</v>
      </c>
      <c r="AA12" s="1552">
        <f>D12/F12</f>
        <v>1</v>
      </c>
      <c r="AB12" s="1552">
        <f>D12/H12</f>
        <v>1</v>
      </c>
      <c r="AC12" s="1552">
        <f>D12/J12</f>
        <v>1</v>
      </c>
    </row>
    <row r="13" spans="1:29" ht="15.75" thickBot="1">
      <c r="A13" s="2935"/>
      <c r="B13" s="2941"/>
      <c r="C13" s="519"/>
      <c r="D13" s="520">
        <v>100</v>
      </c>
      <c r="E13" s="508"/>
      <c r="F13" s="232">
        <f>SUMIF(61:61,E13,62:62)-SUMIF(61:61,C13,62:62)+100</f>
        <v>100</v>
      </c>
      <c r="G13" s="508"/>
      <c r="H13" s="520">
        <f>SUMIF(61:61,G13,62:62)-SUMIF(61:61,C13,62:62)+100</f>
        <v>100</v>
      </c>
      <c r="I13" s="508"/>
      <c r="J13" s="520">
        <f>SUMIF(61:61,I13,62:62)-SUMIF(61:61,C13,62:62)+100</f>
        <v>100</v>
      </c>
      <c r="K13" s="561"/>
      <c r="L13" s="2122"/>
      <c r="M13" s="2114"/>
      <c r="N13" s="2114"/>
      <c r="O13" s="2121"/>
      <c r="P13" s="3396"/>
      <c r="Q13" s="1130">
        <f t="shared" si="6"/>
        <v>0</v>
      </c>
      <c r="R13" s="1549" t="s">
        <v>8</v>
      </c>
      <c r="S13" s="1550">
        <f t="shared" si="0"/>
        <v>100</v>
      </c>
      <c r="T13" s="1549" t="s">
        <v>8</v>
      </c>
      <c r="U13" s="1550">
        <f t="shared" si="1"/>
        <v>100</v>
      </c>
      <c r="V13" s="1549" t="s">
        <v>8</v>
      </c>
      <c r="W13" s="1550">
        <f t="shared" si="2"/>
        <v>100</v>
      </c>
      <c r="X13" s="1551"/>
      <c r="Y13" s="3343"/>
      <c r="Z13" s="1129">
        <f t="shared" si="7"/>
        <v>0</v>
      </c>
      <c r="AA13" s="1552">
        <f t="shared" si="3"/>
        <v>1</v>
      </c>
      <c r="AB13" s="1552">
        <f t="shared" si="4"/>
        <v>1</v>
      </c>
      <c r="AC13" s="1552">
        <f t="shared" si="5"/>
        <v>1</v>
      </c>
    </row>
    <row r="14" spans="1:29" ht="128.25">
      <c r="A14" s="2927" t="s">
        <v>3037</v>
      </c>
      <c r="B14" s="527" t="s">
        <v>534</v>
      </c>
      <c r="C14" s="900" t="str">
        <f>IF(B1="工业",估价对象房地状况!G4,估价对象房地状况!C6)</f>
        <v>估价对象周边有326、643等公交线路、紧邻昌平线，公共交通通达情况；项目自身有停车位、停车便捷程度较好，综合评价交通便捷度较好</v>
      </c>
      <c r="D14" s="529">
        <v>100</v>
      </c>
      <c r="E14" s="3201" t="s">
        <v>3375</v>
      </c>
      <c r="F14" s="531">
        <f>SUMIF(63:63,E15,64:64)-SUMIF(63:63,C15,64:64)+100</f>
        <v>100</v>
      </c>
      <c r="G14" s="3203" t="s">
        <v>3379</v>
      </c>
      <c r="H14" s="529">
        <f>SUMIF(63:63,G15,64:64)-SUMIF(63:63,C15,64:64)+100</f>
        <v>98</v>
      </c>
      <c r="I14" s="530" t="s">
        <v>3387</v>
      </c>
      <c r="J14" s="529">
        <f>SUMIF(63:63,I15,64:64)-SUMIF(63:63,C15,64:64)+100</f>
        <v>98</v>
      </c>
      <c r="K14" s="878">
        <v>2</v>
      </c>
      <c r="L14" s="2122"/>
      <c r="M14" s="2114"/>
      <c r="N14" s="2114"/>
      <c r="O14" s="2121"/>
      <c r="P14" s="3434" t="s">
        <v>529</v>
      </c>
      <c r="Q14" s="1553" t="str">
        <f t="shared" si="6"/>
        <v>交通便捷度</v>
      </c>
      <c r="R14" s="1554" t="s">
        <v>8</v>
      </c>
      <c r="S14" s="1555">
        <f t="shared" si="0"/>
        <v>100</v>
      </c>
      <c r="T14" s="1554" t="s">
        <v>8</v>
      </c>
      <c r="U14" s="1555">
        <f t="shared" si="1"/>
        <v>98</v>
      </c>
      <c r="V14" s="1554" t="s">
        <v>8</v>
      </c>
      <c r="W14" s="1555">
        <f t="shared" si="2"/>
        <v>98</v>
      </c>
      <c r="X14" s="1548"/>
      <c r="Y14" s="3434" t="s">
        <v>529</v>
      </c>
      <c r="Z14" s="1556" t="str">
        <f t="shared" si="7"/>
        <v>交通便捷度</v>
      </c>
      <c r="AA14" s="1557">
        <f t="shared" si="3"/>
        <v>1</v>
      </c>
      <c r="AB14" s="1557">
        <f t="shared" si="4"/>
        <v>1.0204081632653061</v>
      </c>
      <c r="AC14" s="1557">
        <f t="shared" si="5"/>
        <v>1.0204081632653061</v>
      </c>
    </row>
    <row r="15" spans="1:29" ht="15">
      <c r="A15" s="495"/>
      <c r="B15" s="903"/>
      <c r="C15" s="556" t="s">
        <v>1072</v>
      </c>
      <c r="D15" s="535"/>
      <c r="E15" s="556" t="s">
        <v>1072</v>
      </c>
      <c r="F15" s="537"/>
      <c r="G15" s="556" t="s">
        <v>1073</v>
      </c>
      <c r="H15" s="539"/>
      <c r="I15" s="556" t="s">
        <v>1073</v>
      </c>
      <c r="J15" s="535"/>
      <c r="K15" s="879"/>
      <c r="L15" s="2122"/>
      <c r="M15" s="2114"/>
      <c r="N15" s="2114"/>
      <c r="O15" s="2121"/>
      <c r="P15" s="3435"/>
      <c r="Q15" s="1553"/>
      <c r="R15" s="1554"/>
      <c r="S15" s="1555"/>
      <c r="T15" s="1554"/>
      <c r="U15" s="1555"/>
      <c r="V15" s="1554"/>
      <c r="W15" s="1555"/>
      <c r="X15" s="1548"/>
      <c r="Y15" s="3435"/>
      <c r="Z15" s="1556"/>
      <c r="AA15" s="1557">
        <v>1</v>
      </c>
      <c r="AB15" s="1557">
        <v>1</v>
      </c>
      <c r="AC15" s="1557">
        <v>1</v>
      </c>
    </row>
    <row r="16" spans="1:29" ht="42.75">
      <c r="A16" s="495"/>
      <c r="B16" s="2616" t="s">
        <v>2813</v>
      </c>
      <c r="C16" s="852" t="str">
        <f>IF(B1="工业",估价对象房地状况!G5,估价对象房地状况!C7)</f>
        <v>估价对象所在区域公共配套设施较齐备；</v>
      </c>
      <c r="D16" s="545">
        <v>100</v>
      </c>
      <c r="E16" s="3169" t="s">
        <v>3263</v>
      </c>
      <c r="F16" s="551">
        <f>SUMIF(65:65,E17,66:66)-SUMIF(65:65,C17,66:66)+100</f>
        <v>100</v>
      </c>
      <c r="G16" s="3169" t="s">
        <v>3263</v>
      </c>
      <c r="H16" s="545">
        <f>SUMIF(65:65,G17,66:66)-SUMIF(65:65,C17,66:66)+100</f>
        <v>100</v>
      </c>
      <c r="I16" s="3207" t="s">
        <v>3388</v>
      </c>
      <c r="J16" s="545">
        <f>SUMIF(65:65,I17,66:66)-SUMIF(65:65,C17,66:66)+100</f>
        <v>98</v>
      </c>
      <c r="K16" s="878">
        <v>2</v>
      </c>
      <c r="L16" s="2122"/>
      <c r="M16" s="2114"/>
      <c r="N16" s="2114"/>
      <c r="O16" s="2121"/>
      <c r="P16" s="3435"/>
      <c r="Q16" s="1553" t="str">
        <f>B16</f>
        <v>公共配套设施</v>
      </c>
      <c r="R16" s="1554" t="s">
        <v>8</v>
      </c>
      <c r="S16" s="1555">
        <f>F16</f>
        <v>100</v>
      </c>
      <c r="T16" s="1554" t="s">
        <v>8</v>
      </c>
      <c r="U16" s="1555">
        <f>H16</f>
        <v>100</v>
      </c>
      <c r="V16" s="1554" t="s">
        <v>8</v>
      </c>
      <c r="W16" s="1555">
        <f>J16</f>
        <v>98</v>
      </c>
      <c r="X16" s="1548"/>
      <c r="Y16" s="3435"/>
      <c r="Z16" s="1556" t="str">
        <f>Q16</f>
        <v>公共配套设施</v>
      </c>
      <c r="AA16" s="1557">
        <f t="shared" si="3"/>
        <v>1</v>
      </c>
      <c r="AB16" s="1557">
        <f t="shared" si="4"/>
        <v>1</v>
      </c>
      <c r="AC16" s="1557">
        <f t="shared" si="5"/>
        <v>1.0204081632653061</v>
      </c>
    </row>
    <row r="17" spans="1:29" ht="15">
      <c r="A17" s="495"/>
      <c r="B17" s="546"/>
      <c r="C17" s="853" t="s">
        <v>531</v>
      </c>
      <c r="D17" s="535"/>
      <c r="E17" s="556" t="s">
        <v>531</v>
      </c>
      <c r="F17" s="537"/>
      <c r="G17" s="556" t="s">
        <v>531</v>
      </c>
      <c r="H17" s="535"/>
      <c r="I17" s="556" t="s">
        <v>1073</v>
      </c>
      <c r="J17" s="535"/>
      <c r="K17" s="879"/>
      <c r="L17" s="2122"/>
      <c r="M17" s="2114"/>
      <c r="N17" s="2114"/>
      <c r="O17" s="2121"/>
      <c r="P17" s="3435"/>
      <c r="Q17" s="1553"/>
      <c r="R17" s="1554"/>
      <c r="S17" s="1555"/>
      <c r="T17" s="1554"/>
      <c r="U17" s="1555"/>
      <c r="V17" s="1554"/>
      <c r="W17" s="1555"/>
      <c r="X17" s="1548"/>
      <c r="Y17" s="3435"/>
      <c r="Z17" s="1556"/>
      <c r="AA17" s="1557">
        <v>1</v>
      </c>
      <c r="AB17" s="1557">
        <v>1</v>
      </c>
      <c r="AC17" s="1557">
        <v>1</v>
      </c>
    </row>
    <row r="18" spans="1:29" ht="28.5">
      <c r="A18" s="495"/>
      <c r="B18" s="2604" t="s">
        <v>2827</v>
      </c>
      <c r="C18" s="852" t="str">
        <f>IF(B1="工业",估价对象房地状况!G6,估价对象房地状况!C8)</f>
        <v>基础设施水平七通一平</v>
      </c>
      <c r="D18" s="539">
        <v>100</v>
      </c>
      <c r="E18" s="3169" t="s">
        <v>3264</v>
      </c>
      <c r="F18" s="551">
        <f>SUMIF(67:67,E19,68:68)-SUMIF(67:67,C19,68:68)+100</f>
        <v>100</v>
      </c>
      <c r="G18" s="3169" t="s">
        <v>3264</v>
      </c>
      <c r="H18" s="545">
        <f>SUMIF(67:67,G19,68:68)-SUMIF(67:67,C19,68:68)+100</f>
        <v>100</v>
      </c>
      <c r="I18" s="542" t="s">
        <v>3264</v>
      </c>
      <c r="J18" s="545">
        <f>SUMIF(67:67,I19,68:68)-SUMIF(67:67,C19,68:68)+100</f>
        <v>100</v>
      </c>
      <c r="K18" s="878">
        <v>1</v>
      </c>
      <c r="L18" s="2122"/>
      <c r="M18" s="2114"/>
      <c r="N18" s="2114"/>
      <c r="O18" s="2121"/>
      <c r="P18" s="3435"/>
      <c r="Q18" s="2591" t="str">
        <f>B18</f>
        <v>基础设施水平</v>
      </c>
      <c r="R18" s="1554" t="s">
        <v>8</v>
      </c>
      <c r="S18" s="1555">
        <f>F18</f>
        <v>100</v>
      </c>
      <c r="T18" s="1554" t="s">
        <v>8</v>
      </c>
      <c r="U18" s="1555">
        <f>H18</f>
        <v>100</v>
      </c>
      <c r="V18" s="1554" t="s">
        <v>8</v>
      </c>
      <c r="W18" s="1555">
        <f>J18</f>
        <v>100</v>
      </c>
      <c r="X18" s="2593"/>
      <c r="Y18" s="3435"/>
      <c r="Z18" s="2592" t="str">
        <f>Q18</f>
        <v>基础设施水平</v>
      </c>
      <c r="AA18" s="1557">
        <f t="shared" ref="AA18" si="8">D18/F18</f>
        <v>1</v>
      </c>
      <c r="AB18" s="1557">
        <f t="shared" ref="AB18" si="9">D18/H18</f>
        <v>1</v>
      </c>
      <c r="AC18" s="1557">
        <f t="shared" ref="AC18" si="10">D18/J18</f>
        <v>1</v>
      </c>
    </row>
    <row r="19" spans="1:29" ht="15">
      <c r="A19" s="495"/>
      <c r="B19" s="558"/>
      <c r="C19" s="853" t="s">
        <v>2805</v>
      </c>
      <c r="D19" s="539"/>
      <c r="E19" s="556" t="s">
        <v>2805</v>
      </c>
      <c r="F19" s="537"/>
      <c r="G19" s="556" t="s">
        <v>2805</v>
      </c>
      <c r="H19" s="535"/>
      <c r="I19" s="3206" t="s">
        <v>2805</v>
      </c>
      <c r="J19" s="535"/>
      <c r="K19" s="2615"/>
      <c r="L19" s="2122"/>
      <c r="M19" s="2114"/>
      <c r="N19" s="2114"/>
      <c r="O19" s="2121"/>
      <c r="P19" s="3435"/>
      <c r="Q19" s="2591"/>
      <c r="R19" s="1554"/>
      <c r="S19" s="1555"/>
      <c r="T19" s="1554"/>
      <c r="U19" s="1555"/>
      <c r="V19" s="1554"/>
      <c r="W19" s="1555"/>
      <c r="X19" s="2593"/>
      <c r="Y19" s="3435"/>
      <c r="Z19" s="2592"/>
      <c r="AA19" s="1557">
        <v>1</v>
      </c>
      <c r="AB19" s="1557">
        <v>1</v>
      </c>
      <c r="AC19" s="1557">
        <v>1</v>
      </c>
    </row>
    <row r="20" spans="1:29" ht="94.5">
      <c r="A20" s="495"/>
      <c r="B20" s="540" t="s">
        <v>968</v>
      </c>
      <c r="C20" s="852" t="str">
        <f>IF(B1="工业",估价对象房地状况!G7,估价对象房地状况!C9)</f>
        <v>区域自然环境：白浮泉公园等；人文环境：无；综合评价环境状况一般</v>
      </c>
      <c r="D20" s="545">
        <v>100</v>
      </c>
      <c r="E20" s="3153" t="s">
        <v>3376</v>
      </c>
      <c r="F20" s="543">
        <f>SUMIF(69:69,E21,70:70)-SUMIF(69:69,C21,70:70)+100</f>
        <v>102</v>
      </c>
      <c r="G20" s="3146" t="s">
        <v>3380</v>
      </c>
      <c r="H20" s="539">
        <f>SUMIF(69:69,G21,70:70)-SUMIF(69:69,C21,70:70)+100</f>
        <v>100</v>
      </c>
      <c r="I20" s="3207" t="s">
        <v>3389</v>
      </c>
      <c r="J20" s="539">
        <f>SUMIF(69:69,I21,70:70)-SUMIF(69:69,C21,70:70)+100</f>
        <v>102</v>
      </c>
      <c r="K20" s="878">
        <v>2</v>
      </c>
      <c r="L20" s="2122"/>
      <c r="M20" s="2114"/>
      <c r="N20" s="2114"/>
      <c r="O20" s="2121"/>
      <c r="P20" s="3435"/>
      <c r="Q20" s="1553" t="str">
        <f>B20</f>
        <v>自然及人文环境</v>
      </c>
      <c r="R20" s="1554" t="s">
        <v>8</v>
      </c>
      <c r="S20" s="1555">
        <f>F20</f>
        <v>102</v>
      </c>
      <c r="T20" s="1554" t="s">
        <v>8</v>
      </c>
      <c r="U20" s="1555">
        <f>H20</f>
        <v>100</v>
      </c>
      <c r="V20" s="1554" t="s">
        <v>8</v>
      </c>
      <c r="W20" s="1555">
        <f>J20</f>
        <v>102</v>
      </c>
      <c r="X20" s="1548"/>
      <c r="Y20" s="3435"/>
      <c r="Z20" s="1556" t="str">
        <f>Q20</f>
        <v>自然及人文环境</v>
      </c>
      <c r="AA20" s="1557">
        <f t="shared" si="3"/>
        <v>0.98039215686274506</v>
      </c>
      <c r="AB20" s="1557">
        <f t="shared" si="4"/>
        <v>1</v>
      </c>
      <c r="AC20" s="1557">
        <f t="shared" si="5"/>
        <v>0.98039215686274506</v>
      </c>
    </row>
    <row r="21" spans="1:29" ht="15">
      <c r="A21" s="495"/>
      <c r="B21" s="546"/>
      <c r="C21" s="556" t="s">
        <v>530</v>
      </c>
      <c r="D21" s="535"/>
      <c r="E21" s="556" t="s">
        <v>1072</v>
      </c>
      <c r="F21" s="537"/>
      <c r="G21" s="556" t="s">
        <v>530</v>
      </c>
      <c r="H21" s="535"/>
      <c r="I21" s="556" t="s">
        <v>1072</v>
      </c>
      <c r="J21" s="535"/>
      <c r="K21" s="879"/>
      <c r="L21" s="2122"/>
      <c r="M21" s="2114"/>
      <c r="N21" s="2114"/>
      <c r="O21" s="2121"/>
      <c r="P21" s="3435"/>
      <c r="Q21" s="1553"/>
      <c r="R21" s="1554"/>
      <c r="S21" s="1555"/>
      <c r="T21" s="1554"/>
      <c r="U21" s="1555"/>
      <c r="V21" s="1554"/>
      <c r="W21" s="1555"/>
      <c r="X21" s="1548"/>
      <c r="Y21" s="3435"/>
      <c r="Z21" s="1556"/>
      <c r="AA21" s="1557">
        <v>1</v>
      </c>
      <c r="AB21" s="1557">
        <v>1</v>
      </c>
      <c r="AC21" s="1557">
        <v>1</v>
      </c>
    </row>
    <row r="22" spans="1:29" ht="15">
      <c r="A22" s="495"/>
      <c r="B22" s="540" t="s">
        <v>969</v>
      </c>
      <c r="C22" s="563"/>
      <c r="D22" s="539">
        <v>100</v>
      </c>
      <c r="E22" s="563"/>
      <c r="F22" s="555">
        <f>SUMIF(71:71,E22,72:72)-SUMIF(71:71,C22,72:72)+100</f>
        <v>100</v>
      </c>
      <c r="G22" s="563"/>
      <c r="H22" s="520">
        <f>SUMIF(71:71,G22,72:72)-SUMIF(71:71,C22,72:72)+100</f>
        <v>100</v>
      </c>
      <c r="I22" s="563"/>
      <c r="J22" s="520">
        <f>SUMIF(71:71,I22,72:72)-SUMIF(71:71,C22,72:72)+100</f>
        <v>100</v>
      </c>
      <c r="K22" s="564"/>
      <c r="L22" s="2122"/>
      <c r="M22" s="2114"/>
      <c r="N22" s="2114"/>
      <c r="O22" s="2121"/>
      <c r="P22" s="3435"/>
      <c r="Q22" s="1553" t="str">
        <f>B22</f>
        <v>楼层</v>
      </c>
      <c r="R22" s="1554" t="s">
        <v>8</v>
      </c>
      <c r="S22" s="1555">
        <f>F22</f>
        <v>100</v>
      </c>
      <c r="T22" s="1554" t="s">
        <v>8</v>
      </c>
      <c r="U22" s="1555">
        <f>H22</f>
        <v>100</v>
      </c>
      <c r="V22" s="1554" t="s">
        <v>8</v>
      </c>
      <c r="W22" s="1555">
        <f>J22</f>
        <v>100</v>
      </c>
      <c r="X22" s="1548"/>
      <c r="Y22" s="3435"/>
      <c r="Z22" s="1556" t="str">
        <f>Q22</f>
        <v>楼层</v>
      </c>
      <c r="AA22" s="1557">
        <f t="shared" si="3"/>
        <v>1</v>
      </c>
      <c r="AB22" s="1557">
        <f t="shared" si="4"/>
        <v>1</v>
      </c>
      <c r="AC22" s="1557">
        <f t="shared" si="5"/>
        <v>1</v>
      </c>
    </row>
    <row r="23" spans="1:29" ht="15">
      <c r="A23" s="495"/>
      <c r="B23" s="904"/>
      <c r="C23" s="508"/>
      <c r="D23" s="520">
        <v>100</v>
      </c>
      <c r="E23" s="508"/>
      <c r="F23" s="555">
        <f>SUMIF(73:73,E23,74:74)-SUMIF(73:73,C23,74:74)+100</f>
        <v>100</v>
      </c>
      <c r="G23" s="508"/>
      <c r="H23" s="520">
        <f>SUMIF(73:73,G23,74:74)-SUMIF(73:73,C23,74:74)+100</f>
        <v>100</v>
      </c>
      <c r="I23" s="508"/>
      <c r="J23" s="520">
        <f>SUMIF(73:73,I23,74:74)-SUMIF(73:73,C23,74:74)+100</f>
        <v>100</v>
      </c>
      <c r="K23" s="561"/>
      <c r="L23" s="2122"/>
      <c r="M23" s="2114"/>
      <c r="N23" s="2114"/>
      <c r="O23" s="2121"/>
      <c r="P23" s="3435"/>
      <c r="Q23" s="1553">
        <f>B23</f>
        <v>0</v>
      </c>
      <c r="R23" s="1554" t="s">
        <v>8</v>
      </c>
      <c r="S23" s="1555">
        <f>F23</f>
        <v>100</v>
      </c>
      <c r="T23" s="1554" t="s">
        <v>8</v>
      </c>
      <c r="U23" s="1555">
        <f>H23</f>
        <v>100</v>
      </c>
      <c r="V23" s="1554" t="s">
        <v>8</v>
      </c>
      <c r="W23" s="1555">
        <f>J23</f>
        <v>100</v>
      </c>
      <c r="X23" s="1548"/>
      <c r="Y23" s="3435"/>
      <c r="Z23" s="1556">
        <f>Q23</f>
        <v>0</v>
      </c>
      <c r="AA23" s="1557">
        <f t="shared" si="3"/>
        <v>1</v>
      </c>
      <c r="AB23" s="1557">
        <f t="shared" si="4"/>
        <v>1</v>
      </c>
      <c r="AC23" s="1557">
        <f t="shared" si="5"/>
        <v>1</v>
      </c>
    </row>
    <row r="24" spans="1:29" ht="15">
      <c r="A24" s="495"/>
      <c r="B24" s="904"/>
      <c r="C24" s="508"/>
      <c r="D24" s="520">
        <v>100</v>
      </c>
      <c r="E24" s="508"/>
      <c r="F24" s="555">
        <f>SUMIF(75:75,E24,76:76)-SUMIF(75:75,C24,76:76)+100</f>
        <v>100</v>
      </c>
      <c r="G24" s="508"/>
      <c r="H24" s="520">
        <f>SUMIF(75:75,G24,76:76)-SUMIF(75:75,C24,76:76)+100</f>
        <v>100</v>
      </c>
      <c r="I24" s="508"/>
      <c r="J24" s="520">
        <f>SUMIF(75:75,I24,76:76)-SUMIF(75:75,C24,76:76)+100</f>
        <v>100</v>
      </c>
      <c r="K24" s="561"/>
      <c r="L24" s="2122"/>
      <c r="M24" s="2114"/>
      <c r="N24" s="2114"/>
      <c r="O24" s="2121"/>
      <c r="P24" s="3435"/>
      <c r="Q24" s="1553">
        <f t="shared" ref="Q24:Q36" si="11">B24</f>
        <v>0</v>
      </c>
      <c r="R24" s="1554" t="s">
        <v>8</v>
      </c>
      <c r="S24" s="1555">
        <f>F24</f>
        <v>100</v>
      </c>
      <c r="T24" s="1554" t="s">
        <v>8</v>
      </c>
      <c r="U24" s="1555">
        <f>H24</f>
        <v>100</v>
      </c>
      <c r="V24" s="1554" t="s">
        <v>8</v>
      </c>
      <c r="W24" s="1555">
        <f>J24</f>
        <v>100</v>
      </c>
      <c r="X24" s="1548"/>
      <c r="Y24" s="3435"/>
      <c r="Z24" s="1556">
        <f>Q24</f>
        <v>0</v>
      </c>
      <c r="AA24" s="1557">
        <f t="shared" si="3"/>
        <v>1</v>
      </c>
      <c r="AB24" s="1557">
        <f t="shared" si="4"/>
        <v>1</v>
      </c>
      <c r="AC24" s="1557">
        <f t="shared" si="5"/>
        <v>1</v>
      </c>
    </row>
    <row r="25" spans="1:29" s="1199" customFormat="1" ht="15.75" thickBot="1">
      <c r="A25" s="557"/>
      <c r="B25" s="893"/>
      <c r="C25" s="525"/>
      <c r="D25" s="905">
        <v>100</v>
      </c>
      <c r="E25" s="890"/>
      <c r="F25" s="906">
        <f>SUMIF(77:77,E25,78:78)-SUMIF(77:77,C25,78:78)+100</f>
        <v>100</v>
      </c>
      <c r="G25" s="890"/>
      <c r="H25" s="905">
        <f>SUMIF(77:77,G25,78:78)-SUMIF(77:77,C25,78:78)+100</f>
        <v>100</v>
      </c>
      <c r="I25" s="890"/>
      <c r="J25" s="905">
        <f>SUMIF(77:77,I25,78:78)-SUMIF(77:77,C25,78:78)+100</f>
        <v>100</v>
      </c>
      <c r="K25" s="561"/>
      <c r="L25" s="2115"/>
      <c r="M25" s="2116"/>
      <c r="N25" s="2116"/>
      <c r="O25" s="2117"/>
      <c r="P25" s="3435"/>
      <c r="Q25" s="1130">
        <f t="shared" si="11"/>
        <v>0</v>
      </c>
      <c r="R25" s="1549" t="s">
        <v>8</v>
      </c>
      <c r="S25" s="1550">
        <f>F25</f>
        <v>100</v>
      </c>
      <c r="T25" s="1549" t="s">
        <v>8</v>
      </c>
      <c r="U25" s="1550">
        <f>H25</f>
        <v>100</v>
      </c>
      <c r="V25" s="1549" t="s">
        <v>8</v>
      </c>
      <c r="W25" s="1550">
        <f>J25</f>
        <v>100</v>
      </c>
      <c r="X25" s="1551"/>
      <c r="Y25" s="3435"/>
      <c r="Z25" s="1129">
        <f>Q25</f>
        <v>0</v>
      </c>
      <c r="AA25" s="1557">
        <f>D25/F25</f>
        <v>1</v>
      </c>
      <c r="AB25" s="1557">
        <f>D25/H25</f>
        <v>1</v>
      </c>
      <c r="AC25" s="1557">
        <f>D25/J25</f>
        <v>1</v>
      </c>
    </row>
    <row r="26" spans="1:29" ht="15">
      <c r="A26" s="2925" t="s">
        <v>3038</v>
      </c>
      <c r="B26" s="161" t="s">
        <v>971</v>
      </c>
      <c r="C26" s="907" t="str">
        <f>B1</f>
        <v>住宅</v>
      </c>
      <c r="D26" s="535">
        <v>100</v>
      </c>
      <c r="E26" s="556" t="s">
        <v>1117</v>
      </c>
      <c r="F26" s="537">
        <f>SUMIF(79:79,E26,80:80)-SUMIF(79:79,C26,80:80)+100</f>
        <v>100</v>
      </c>
      <c r="G26" s="556" t="s">
        <v>1117</v>
      </c>
      <c r="H26" s="535">
        <f>SUMIF(79:79,G26,80:80)-SUMIF(79:79,C26,80:80)+100</f>
        <v>100</v>
      </c>
      <c r="I26" s="556" t="s">
        <v>3383</v>
      </c>
      <c r="J26" s="535">
        <f>SUMIF(79:79,I26,80:80)-SUMIF(79:79,C26,80:80)+100</f>
        <v>100</v>
      </c>
      <c r="K26" s="564">
        <v>5</v>
      </c>
      <c r="L26" s="2122"/>
      <c r="M26" s="2114"/>
      <c r="N26" s="2114"/>
      <c r="O26" s="2121"/>
      <c r="P26" s="3436" t="s">
        <v>543</v>
      </c>
      <c r="Q26" s="1553" t="str">
        <f t="shared" si="11"/>
        <v>配套类型</v>
      </c>
      <c r="R26" s="1554" t="s">
        <v>8</v>
      </c>
      <c r="S26" s="1555">
        <f t="shared" ref="S26:S36" si="12">F26</f>
        <v>100</v>
      </c>
      <c r="T26" s="1554" t="s">
        <v>8</v>
      </c>
      <c r="U26" s="1555">
        <f t="shared" ref="U26:U36" si="13">H26</f>
        <v>100</v>
      </c>
      <c r="V26" s="1554" t="s">
        <v>8</v>
      </c>
      <c r="W26" s="1555">
        <f t="shared" ref="W26:W36" si="14">J26</f>
        <v>100</v>
      </c>
      <c r="X26" s="1548"/>
      <c r="Y26" s="3437" t="s">
        <v>543</v>
      </c>
      <c r="Z26" s="1556" t="str">
        <f t="shared" ref="Z26:Z36" si="15">Q26</f>
        <v>配套类型</v>
      </c>
      <c r="AA26" s="1557">
        <f t="shared" si="3"/>
        <v>1</v>
      </c>
      <c r="AB26" s="1557">
        <f t="shared" si="4"/>
        <v>1</v>
      </c>
      <c r="AC26" s="1557">
        <f t="shared" si="5"/>
        <v>1</v>
      </c>
    </row>
    <row r="27" spans="1:29" s="1324" customFormat="1" ht="15">
      <c r="A27" s="908"/>
      <c r="B27" s="562" t="s">
        <v>972</v>
      </c>
      <c r="C27" s="909"/>
      <c r="D27" s="232">
        <v>100</v>
      </c>
      <c r="E27" s="860"/>
      <c r="F27" s="555">
        <f>SUMIF(81:81,E27,82:82)-SUMIF(81:81,C27,82:82)+100</f>
        <v>100</v>
      </c>
      <c r="G27" s="860"/>
      <c r="H27" s="520">
        <f>SUMIF(81:81,G27,82:82)-SUMIF(81:81,C27,82:82)+100</f>
        <v>100</v>
      </c>
      <c r="I27" s="909"/>
      <c r="J27" s="520">
        <f>SUMIF(81:81,I27,82:82)-SUMIF(81:81,C27,82:82)+100</f>
        <v>100</v>
      </c>
      <c r="K27" s="561"/>
      <c r="L27" s="2120"/>
      <c r="M27" s="2151"/>
      <c r="N27" s="2151"/>
      <c r="O27" s="2123"/>
      <c r="P27" s="3437"/>
      <c r="Q27" s="1586" t="str">
        <f t="shared" si="11"/>
        <v>项目停车位配比</v>
      </c>
      <c r="R27" s="1558" t="s">
        <v>8</v>
      </c>
      <c r="S27" s="1559">
        <f t="shared" si="12"/>
        <v>100</v>
      </c>
      <c r="T27" s="1558" t="s">
        <v>8</v>
      </c>
      <c r="U27" s="1559">
        <f t="shared" si="13"/>
        <v>100</v>
      </c>
      <c r="V27" s="1558" t="s">
        <v>8</v>
      </c>
      <c r="W27" s="1559">
        <f t="shared" si="14"/>
        <v>100</v>
      </c>
      <c r="X27" s="1560"/>
      <c r="Y27" s="3437"/>
      <c r="Z27" s="1561" t="str">
        <f t="shared" si="15"/>
        <v>项目停车位配比</v>
      </c>
      <c r="AA27" s="1557">
        <f t="shared" si="3"/>
        <v>1</v>
      </c>
      <c r="AB27" s="1557">
        <f t="shared" si="4"/>
        <v>1</v>
      </c>
      <c r="AC27" s="1557">
        <f t="shared" si="5"/>
        <v>1</v>
      </c>
    </row>
    <row r="28" spans="1:29" ht="15">
      <c r="A28" s="910"/>
      <c r="B28" s="562" t="s">
        <v>973</v>
      </c>
      <c r="C28" s="554" t="s">
        <v>3372</v>
      </c>
      <c r="D28" s="520">
        <v>100</v>
      </c>
      <c r="E28" s="554" t="s">
        <v>3372</v>
      </c>
      <c r="F28" s="555">
        <f>SUMIF(83:83,E28,84:84)-SUMIF(83:83,C28,84:84)+100</f>
        <v>100</v>
      </c>
      <c r="G28" s="554" t="s">
        <v>3372</v>
      </c>
      <c r="H28" s="520">
        <f>SUMIF(83:83,G28,84:84)-SUMIF(83:83,C28,84:84)+100</f>
        <v>100</v>
      </c>
      <c r="I28" s="554" t="s">
        <v>3372</v>
      </c>
      <c r="J28" s="520">
        <f>SUMIF(83:83,I28,84:84)-SUMIF(83:83,C28,84:84)+100</f>
        <v>100</v>
      </c>
      <c r="K28" s="564">
        <f>'[1]不动产比较法-办公'!K36</f>
        <v>2</v>
      </c>
      <c r="L28" s="2122"/>
      <c r="M28" s="2114"/>
      <c r="N28" s="2114"/>
      <c r="O28" s="2121"/>
      <c r="P28" s="3437"/>
      <c r="Q28" s="1553" t="str">
        <f t="shared" si="11"/>
        <v>公共部分装修</v>
      </c>
      <c r="R28" s="1554" t="s">
        <v>8</v>
      </c>
      <c r="S28" s="1555">
        <f t="shared" si="12"/>
        <v>100</v>
      </c>
      <c r="T28" s="1554" t="s">
        <v>8</v>
      </c>
      <c r="U28" s="1555">
        <f t="shared" si="13"/>
        <v>100</v>
      </c>
      <c r="V28" s="1554" t="s">
        <v>8</v>
      </c>
      <c r="W28" s="1555">
        <f t="shared" si="14"/>
        <v>100</v>
      </c>
      <c r="X28" s="1548"/>
      <c r="Y28" s="3437"/>
      <c r="Z28" s="1556" t="str">
        <f t="shared" si="15"/>
        <v>公共部分装修</v>
      </c>
      <c r="AA28" s="1557">
        <f t="shared" si="3"/>
        <v>1</v>
      </c>
      <c r="AB28" s="1557">
        <f t="shared" si="4"/>
        <v>1</v>
      </c>
      <c r="AC28" s="1557">
        <f t="shared" si="5"/>
        <v>1</v>
      </c>
    </row>
    <row r="29" spans="1:29" ht="15">
      <c r="A29" s="910"/>
      <c r="B29" s="562" t="s">
        <v>974</v>
      </c>
      <c r="C29" s="863">
        <v>1</v>
      </c>
      <c r="D29" s="520">
        <v>100</v>
      </c>
      <c r="E29" s="863">
        <f>ROUND(1-(2017-2005)/60,2)</f>
        <v>0.8</v>
      </c>
      <c r="F29" s="555">
        <f>LOOKUP(E29,86:86,87:87)-LOOKUP(C29,86:86,87:87)+100</f>
        <v>98</v>
      </c>
      <c r="G29" s="863">
        <f>ROUND(1-(2017-2013)/60,2)</f>
        <v>0.93</v>
      </c>
      <c r="H29" s="555">
        <f>LOOKUP(G29,86:86,87:87)-LOOKUP(C29,86:86,87:87)+100</f>
        <v>100</v>
      </c>
      <c r="I29" s="863">
        <v>1</v>
      </c>
      <c r="J29" s="520">
        <f>LOOKUP(I29,86:86,87:87)-LOOKUP(C29,86:86,87:87)+100</f>
        <v>100</v>
      </c>
      <c r="K29" s="564">
        <f>'[1]不动产比较法-办公'!K37</f>
        <v>2</v>
      </c>
      <c r="L29" s="2122"/>
      <c r="M29" s="2114"/>
      <c r="N29" s="2114"/>
      <c r="O29" s="2121"/>
      <c r="P29" s="3437"/>
      <c r="Q29" s="1553" t="str">
        <f t="shared" si="11"/>
        <v>成新率</v>
      </c>
      <c r="R29" s="1554" t="s">
        <v>8</v>
      </c>
      <c r="S29" s="1555">
        <f t="shared" si="12"/>
        <v>98</v>
      </c>
      <c r="T29" s="1554" t="s">
        <v>8</v>
      </c>
      <c r="U29" s="1555">
        <f t="shared" si="13"/>
        <v>100</v>
      </c>
      <c r="V29" s="1554" t="s">
        <v>8</v>
      </c>
      <c r="W29" s="1555">
        <f t="shared" si="14"/>
        <v>100</v>
      </c>
      <c r="X29" s="1548"/>
      <c r="Y29" s="3437"/>
      <c r="Z29" s="1556" t="str">
        <f t="shared" si="15"/>
        <v>成新率</v>
      </c>
      <c r="AA29" s="1557">
        <f t="shared" si="3"/>
        <v>1.0204081632653061</v>
      </c>
      <c r="AB29" s="1557">
        <f t="shared" si="4"/>
        <v>1</v>
      </c>
      <c r="AC29" s="1557">
        <f t="shared" si="5"/>
        <v>1</v>
      </c>
    </row>
    <row r="30" spans="1:29" ht="15">
      <c r="A30" s="910"/>
      <c r="B30" s="562" t="s">
        <v>975</v>
      </c>
      <c r="C30" s="911" t="s">
        <v>976</v>
      </c>
      <c r="D30" s="520">
        <v>100</v>
      </c>
      <c r="E30" s="911" t="s">
        <v>3377</v>
      </c>
      <c r="F30" s="555">
        <f>SUMIF(88:88,E30,89:89)-SUMIF(88:88,C30,89:89)+100</f>
        <v>100</v>
      </c>
      <c r="G30" s="911" t="s">
        <v>3377</v>
      </c>
      <c r="H30" s="520">
        <f>SUMIF(88:88,E30,89:89)-SUMIF(88:88,C30,89:89)+100</f>
        <v>100</v>
      </c>
      <c r="I30" s="911"/>
      <c r="J30" s="520">
        <f>SUMIF(88:88,E30,89:89)-SUMIF(88:88,C30,89:89)+100</f>
        <v>100</v>
      </c>
      <c r="K30" s="564">
        <f>'[1]不动产比较法-办公'!K38</f>
        <v>2</v>
      </c>
      <c r="L30" s="2122"/>
      <c r="M30" s="2114"/>
      <c r="N30" s="2114"/>
      <c r="O30" s="2121"/>
      <c r="P30" s="3437"/>
      <c r="Q30" s="1553" t="str">
        <f t="shared" si="11"/>
        <v>物业等级</v>
      </c>
      <c r="R30" s="1554" t="s">
        <v>8</v>
      </c>
      <c r="S30" s="1555">
        <f t="shared" si="12"/>
        <v>100</v>
      </c>
      <c r="T30" s="1554" t="s">
        <v>8</v>
      </c>
      <c r="U30" s="1555">
        <f t="shared" si="13"/>
        <v>100</v>
      </c>
      <c r="V30" s="1554" t="s">
        <v>8</v>
      </c>
      <c r="W30" s="1555">
        <f t="shared" si="14"/>
        <v>100</v>
      </c>
      <c r="X30" s="1548"/>
      <c r="Y30" s="3437"/>
      <c r="Z30" s="1556" t="str">
        <f t="shared" si="15"/>
        <v>物业等级</v>
      </c>
      <c r="AA30" s="1557">
        <f t="shared" si="3"/>
        <v>1</v>
      </c>
      <c r="AB30" s="1557">
        <f t="shared" si="4"/>
        <v>1</v>
      </c>
      <c r="AC30" s="1557">
        <f t="shared" si="5"/>
        <v>1</v>
      </c>
    </row>
    <row r="31" spans="1:29" s="1199" customFormat="1" ht="15">
      <c r="A31" s="912"/>
      <c r="B31" s="562" t="s">
        <v>977</v>
      </c>
      <c r="C31" s="860">
        <v>35</v>
      </c>
      <c r="D31" s="232">
        <v>100</v>
      </c>
      <c r="E31" s="860">
        <f>[1]车位!H32</f>
        <v>31</v>
      </c>
      <c r="F31" s="555">
        <f>LOOKUP(E31,91:91,92:92)-LOOKUP(C31,91:91,92:92)+100</f>
        <v>100</v>
      </c>
      <c r="G31" s="860">
        <f>[1]车位!H83</f>
        <v>58</v>
      </c>
      <c r="H31" s="520">
        <f>LOOKUP(G31,91:91,92:92)-LOOKUP(C31,91:91,92:92)+100</f>
        <v>102</v>
      </c>
      <c r="I31" s="860">
        <v>23</v>
      </c>
      <c r="J31" s="520">
        <f>LOOKUP(I31,91:91,92:92)-LOOKUP(C31,91:91,92:92)+100</f>
        <v>100</v>
      </c>
      <c r="K31" s="564">
        <v>3</v>
      </c>
      <c r="L31" s="2115"/>
      <c r="M31" s="2116"/>
      <c r="N31" s="2116"/>
      <c r="O31" s="2117"/>
      <c r="P31" s="3437"/>
      <c r="Q31" s="1130" t="str">
        <f t="shared" si="11"/>
        <v>停车位面积</v>
      </c>
      <c r="R31" s="1549" t="s">
        <v>8</v>
      </c>
      <c r="S31" s="1550">
        <f t="shared" si="12"/>
        <v>100</v>
      </c>
      <c r="T31" s="1549" t="s">
        <v>8</v>
      </c>
      <c r="U31" s="1550">
        <f t="shared" si="13"/>
        <v>102</v>
      </c>
      <c r="V31" s="1549" t="s">
        <v>8</v>
      </c>
      <c r="W31" s="1550">
        <f t="shared" si="14"/>
        <v>100</v>
      </c>
      <c r="X31" s="1551"/>
      <c r="Y31" s="3437"/>
      <c r="Z31" s="1129" t="str">
        <f t="shared" si="15"/>
        <v>停车位面积</v>
      </c>
      <c r="AA31" s="1552">
        <f t="shared" si="3"/>
        <v>1</v>
      </c>
      <c r="AB31" s="1552">
        <f t="shared" si="4"/>
        <v>0.98039215686274506</v>
      </c>
      <c r="AC31" s="1552">
        <f t="shared" si="5"/>
        <v>1</v>
      </c>
    </row>
    <row r="32" spans="1:29" ht="15">
      <c r="A32" s="910"/>
      <c r="B32" s="562" t="s">
        <v>978</v>
      </c>
      <c r="C32" s="554" t="s">
        <v>979</v>
      </c>
      <c r="D32" s="520">
        <v>100</v>
      </c>
      <c r="E32" s="554" t="s">
        <v>979</v>
      </c>
      <c r="F32" s="555">
        <f>SUMIF(93:93,E32,94:94)-SUMIF(93:93,C32,94:94)+100</f>
        <v>100</v>
      </c>
      <c r="G32" s="554" t="s">
        <v>979</v>
      </c>
      <c r="H32" s="520">
        <f>SUMIF(93:93,G32,94:94)-SUMIF(93:93,C32,94:94)+100</f>
        <v>100</v>
      </c>
      <c r="I32" s="554" t="s">
        <v>3384</v>
      </c>
      <c r="J32" s="520">
        <f>SUMIF(93:93,I32,94:94)-SUMIF(93:93,C32,94:94)+100</f>
        <v>100</v>
      </c>
      <c r="K32" s="564">
        <v>2</v>
      </c>
      <c r="L32" s="2122"/>
      <c r="M32" s="2114"/>
      <c r="N32" s="2114"/>
      <c r="O32" s="2121"/>
      <c r="P32" s="3437" t="s">
        <v>543</v>
      </c>
      <c r="Q32" s="1553" t="str">
        <f t="shared" si="11"/>
        <v>车位类型</v>
      </c>
      <c r="R32" s="1554" t="s">
        <v>8</v>
      </c>
      <c r="S32" s="1555">
        <f t="shared" si="12"/>
        <v>100</v>
      </c>
      <c r="T32" s="1554" t="s">
        <v>8</v>
      </c>
      <c r="U32" s="1555">
        <f t="shared" si="13"/>
        <v>100</v>
      </c>
      <c r="V32" s="1554" t="s">
        <v>8</v>
      </c>
      <c r="W32" s="1555">
        <f t="shared" si="14"/>
        <v>100</v>
      </c>
      <c r="X32" s="1548"/>
      <c r="Y32" s="3437" t="s">
        <v>543</v>
      </c>
      <c r="Z32" s="1556" t="str">
        <f t="shared" si="15"/>
        <v>车位类型</v>
      </c>
      <c r="AA32" s="1557">
        <f t="shared" si="3"/>
        <v>1</v>
      </c>
      <c r="AB32" s="1557">
        <f t="shared" si="4"/>
        <v>1</v>
      </c>
      <c r="AC32" s="1557">
        <f t="shared" si="5"/>
        <v>1</v>
      </c>
    </row>
    <row r="33" spans="1:29" ht="15">
      <c r="A33" s="910"/>
      <c r="B33" s="562" t="s">
        <v>980</v>
      </c>
      <c r="C33" s="554"/>
      <c r="D33" s="520">
        <v>100</v>
      </c>
      <c r="E33" s="3205"/>
      <c r="F33" s="555">
        <f>SUMIF(95:95,E33,96:96)-SUMIF(95:95,C33,96:96)+100</f>
        <v>100</v>
      </c>
      <c r="G33" s="3205"/>
      <c r="H33" s="520">
        <f>SUMIF(95:95,G33,96:96)-SUMIF(95:95,C33,96:96)+100</f>
        <v>100</v>
      </c>
      <c r="I33" s="554"/>
      <c r="J33" s="520">
        <f>SUMIF(95:95,I33,96:96)-SUMIF(95:95,C33,96:96)+100</f>
        <v>100</v>
      </c>
      <c r="K33" s="564">
        <v>2</v>
      </c>
      <c r="L33" s="2122"/>
      <c r="M33" s="2114"/>
      <c r="N33" s="2114"/>
      <c r="O33" s="2121"/>
      <c r="P33" s="3437"/>
      <c r="Q33" s="1553" t="str">
        <f t="shared" si="11"/>
        <v>是否直接入户</v>
      </c>
      <c r="R33" s="1554" t="s">
        <v>8</v>
      </c>
      <c r="S33" s="1555">
        <f t="shared" si="12"/>
        <v>100</v>
      </c>
      <c r="T33" s="1554" t="s">
        <v>8</v>
      </c>
      <c r="U33" s="1555">
        <f t="shared" si="13"/>
        <v>100</v>
      </c>
      <c r="V33" s="1554" t="s">
        <v>8</v>
      </c>
      <c r="W33" s="1555">
        <f t="shared" si="14"/>
        <v>100</v>
      </c>
      <c r="X33" s="1548"/>
      <c r="Y33" s="3437"/>
      <c r="Z33" s="1556" t="str">
        <f t="shared" si="15"/>
        <v>是否直接入户</v>
      </c>
      <c r="AA33" s="1557">
        <f t="shared" si="3"/>
        <v>1</v>
      </c>
      <c r="AB33" s="1557">
        <f t="shared" si="4"/>
        <v>1</v>
      </c>
      <c r="AC33" s="1557">
        <f t="shared" si="5"/>
        <v>1</v>
      </c>
    </row>
    <row r="34" spans="1:29" ht="15">
      <c r="A34" s="910"/>
      <c r="B34" s="904"/>
      <c r="C34" s="508"/>
      <c r="D34" s="520">
        <v>100</v>
      </c>
      <c r="E34" s="508"/>
      <c r="F34" s="555">
        <f>SUMIF(97:97,E34,98:98)-SUMIF(97:97,C34,98:98)+100</f>
        <v>100</v>
      </c>
      <c r="G34" s="508"/>
      <c r="H34" s="520">
        <f>SUMIF(97:97,G34,98:98)-SUMIF(97:97,C34,98:98)+100</f>
        <v>100</v>
      </c>
      <c r="I34" s="508"/>
      <c r="J34" s="520">
        <f>SUMIF(97:97,I34,98:98)-SUMIF(97:97,C34,98:98)+100</f>
        <v>100</v>
      </c>
      <c r="K34" s="561"/>
      <c r="L34" s="2122"/>
      <c r="M34" s="2114"/>
      <c r="N34" s="2114"/>
      <c r="O34" s="2121"/>
      <c r="P34" s="3437"/>
      <c r="Q34" s="1553">
        <f t="shared" si="11"/>
        <v>0</v>
      </c>
      <c r="R34" s="1554" t="s">
        <v>8</v>
      </c>
      <c r="S34" s="1555">
        <f t="shared" si="12"/>
        <v>100</v>
      </c>
      <c r="T34" s="1554" t="s">
        <v>8</v>
      </c>
      <c r="U34" s="1555">
        <f t="shared" si="13"/>
        <v>100</v>
      </c>
      <c r="V34" s="1554" t="s">
        <v>8</v>
      </c>
      <c r="W34" s="1555">
        <f t="shared" si="14"/>
        <v>100</v>
      </c>
      <c r="X34" s="1548"/>
      <c r="Y34" s="3437"/>
      <c r="Z34" s="1556">
        <f t="shared" si="15"/>
        <v>0</v>
      </c>
      <c r="AA34" s="1557">
        <f t="shared" si="3"/>
        <v>1</v>
      </c>
      <c r="AB34" s="1557">
        <f t="shared" si="4"/>
        <v>1</v>
      </c>
      <c r="AC34" s="1557">
        <f t="shared" si="5"/>
        <v>1</v>
      </c>
    </row>
    <row r="35" spans="1:29" s="1324" customFormat="1" ht="15">
      <c r="A35" s="908"/>
      <c r="B35" s="904"/>
      <c r="C35" s="508"/>
      <c r="D35" s="520">
        <v>100</v>
      </c>
      <c r="E35" s="508"/>
      <c r="F35" s="555">
        <f>SUMIF(99:99,E35,100:100)-SUMIF(99:99,C35,100:100)+100</f>
        <v>100</v>
      </c>
      <c r="G35" s="508"/>
      <c r="H35" s="520">
        <f>SUMIF(99:99,G35,100:100)-SUMIF(99:99,C35,100:100)+100</f>
        <v>100</v>
      </c>
      <c r="I35" s="508"/>
      <c r="J35" s="520">
        <f>SUMIF(99:99,I35,100:100)-SUMIF(99:99,C35,100:100)+100</f>
        <v>100</v>
      </c>
      <c r="K35" s="561"/>
      <c r="L35" s="2120"/>
      <c r="M35" s="2151"/>
      <c r="N35" s="2151"/>
      <c r="O35" s="2123"/>
      <c r="P35" s="3437"/>
      <c r="Q35" s="1586">
        <f t="shared" si="11"/>
        <v>0</v>
      </c>
      <c r="R35" s="1558" t="s">
        <v>8</v>
      </c>
      <c r="S35" s="1559">
        <f t="shared" si="12"/>
        <v>100</v>
      </c>
      <c r="T35" s="1558" t="s">
        <v>8</v>
      </c>
      <c r="U35" s="1559">
        <f t="shared" si="13"/>
        <v>100</v>
      </c>
      <c r="V35" s="1558" t="s">
        <v>8</v>
      </c>
      <c r="W35" s="1559">
        <f t="shared" si="14"/>
        <v>100</v>
      </c>
      <c r="X35" s="1560"/>
      <c r="Y35" s="3437"/>
      <c r="Z35" s="1561">
        <f t="shared" si="15"/>
        <v>0</v>
      </c>
      <c r="AA35" s="1557">
        <f t="shared" si="3"/>
        <v>1</v>
      </c>
      <c r="AB35" s="1557">
        <f t="shared" si="4"/>
        <v>1</v>
      </c>
      <c r="AC35" s="1557">
        <f t="shared" si="5"/>
        <v>1</v>
      </c>
    </row>
    <row r="36" spans="1:29" ht="15.75" thickBot="1">
      <c r="A36" s="913"/>
      <c r="B36" s="893"/>
      <c r="C36" s="519"/>
      <c r="D36" s="520">
        <v>100</v>
      </c>
      <c r="E36" s="508"/>
      <c r="F36" s="555">
        <f>SUMIF(101:101,E36,102:102)-SUMIF(101:101,C36,102:102)+100</f>
        <v>100</v>
      </c>
      <c r="G36" s="508"/>
      <c r="H36" s="520">
        <f>SUMIF(101:101,G36,102:102)-SUMIF(101:101,C36,102:102)+100</f>
        <v>100</v>
      </c>
      <c r="I36" s="508"/>
      <c r="J36" s="520">
        <f>SUMIF(101:101,I36,102:102)-SUMIF(101:101,C36,102:102)+100</f>
        <v>100</v>
      </c>
      <c r="K36" s="561"/>
      <c r="L36" s="2122"/>
      <c r="M36" s="2114"/>
      <c r="N36" s="2114"/>
      <c r="O36" s="2121"/>
      <c r="P36" s="3437"/>
      <c r="Q36" s="1553">
        <f t="shared" si="11"/>
        <v>0</v>
      </c>
      <c r="R36" s="1554" t="s">
        <v>8</v>
      </c>
      <c r="S36" s="1555">
        <f t="shared" si="12"/>
        <v>100</v>
      </c>
      <c r="T36" s="1554" t="s">
        <v>8</v>
      </c>
      <c r="U36" s="1555">
        <f t="shared" si="13"/>
        <v>100</v>
      </c>
      <c r="V36" s="1554" t="s">
        <v>8</v>
      </c>
      <c r="W36" s="1555">
        <f t="shared" si="14"/>
        <v>100</v>
      </c>
      <c r="X36" s="1548"/>
      <c r="Y36" s="3437"/>
      <c r="Z36" s="1556">
        <f t="shared" si="15"/>
        <v>0</v>
      </c>
      <c r="AA36" s="1557">
        <f t="shared" si="3"/>
        <v>1</v>
      </c>
      <c r="AB36" s="1557">
        <f t="shared" si="4"/>
        <v>1</v>
      </c>
      <c r="AC36" s="1557">
        <f t="shared" si="5"/>
        <v>1</v>
      </c>
    </row>
    <row r="37" spans="1:29" ht="15">
      <c r="A37" s="1819" t="s">
        <v>2306</v>
      </c>
      <c r="B37" s="1820" t="s">
        <v>3390</v>
      </c>
      <c r="C37" s="2640" t="s">
        <v>1</v>
      </c>
      <c r="D37" s="2641"/>
      <c r="E37" s="2642">
        <v>250000</v>
      </c>
      <c r="F37" s="2643"/>
      <c r="G37" s="2644">
        <v>281250</v>
      </c>
      <c r="H37" s="2645"/>
      <c r="I37" s="2642">
        <v>300000</v>
      </c>
      <c r="J37" s="2645"/>
      <c r="K37" s="1592"/>
      <c r="L37" s="2124"/>
      <c r="M37" s="2125"/>
      <c r="N37" s="2114"/>
      <c r="O37" s="2125"/>
      <c r="P37" s="3396" t="str">
        <f>A37</f>
        <v>成交单价</v>
      </c>
      <c r="Q37" s="3396"/>
      <c r="R37" s="3512">
        <f>E37</f>
        <v>250000</v>
      </c>
      <c r="S37" s="3512"/>
      <c r="T37" s="3512">
        <f>G37</f>
        <v>281250</v>
      </c>
      <c r="U37" s="3512"/>
      <c r="V37" s="3512">
        <f>I37</f>
        <v>300000</v>
      </c>
      <c r="W37" s="3512"/>
      <c r="X37" s="1540"/>
      <c r="Y37" s="1562"/>
      <c r="Z37" s="1540"/>
      <c r="AA37" s="1540"/>
      <c r="AB37" s="1540"/>
      <c r="AC37" s="1540"/>
    </row>
    <row r="38" spans="1:29" ht="15.75" thickBot="1">
      <c r="A38" s="595" t="s">
        <v>3043</v>
      </c>
      <c r="B38" s="868"/>
      <c r="C38" s="2646">
        <f>R39</f>
        <v>282825</v>
      </c>
      <c r="D38" s="2647"/>
      <c r="E38" s="2648">
        <f>R38</f>
        <v>256487</v>
      </c>
      <c r="F38" s="2648"/>
      <c r="G38" s="2646">
        <f>T38</f>
        <v>284205</v>
      </c>
      <c r="H38" s="2647"/>
      <c r="I38" s="2648">
        <f>V38</f>
        <v>307784</v>
      </c>
      <c r="J38" s="2647"/>
      <c r="K38" s="1593"/>
      <c r="L38" s="2124"/>
      <c r="M38" s="2125"/>
      <c r="N38" s="2125"/>
      <c r="O38" s="2125"/>
      <c r="P38" s="3396" t="str">
        <f>A38</f>
        <v>比较价格（元/平方米）</v>
      </c>
      <c r="Q38" s="3396"/>
      <c r="R38" s="3512">
        <f>IF(F1="售价",ROUND(PRODUCT(R37,AA7:AA36),0),ROUND(PRODUCT(R37,AA7:AA36),1))</f>
        <v>256487</v>
      </c>
      <c r="S38" s="3512"/>
      <c r="T38" s="3512">
        <f>IF(F1="售价",ROUND(PRODUCT(T37,AB7:AB36),0),ROUND(PRODUCT(T37,AB7:AB36),1))</f>
        <v>284205</v>
      </c>
      <c r="U38" s="3512"/>
      <c r="V38" s="3512">
        <f>IF(F1="售价",ROUND(PRODUCT(V37,AC7:AC36),0),ROUND(PRODUCT(V37,AC7:AC36),1))</f>
        <v>307784</v>
      </c>
      <c r="W38" s="3512"/>
      <c r="X38" s="1540"/>
      <c r="Y38" s="1540"/>
      <c r="Z38" s="1540"/>
      <c r="AA38" s="1540"/>
      <c r="AB38" s="1540"/>
      <c r="AC38" s="1540"/>
    </row>
    <row r="39" spans="1:29" ht="15.75" thickBot="1">
      <c r="A39" s="601" t="s">
        <v>3044</v>
      </c>
      <c r="B39" s="602"/>
      <c r="C39" s="2649">
        <f>R39</f>
        <v>282825</v>
      </c>
      <c r="D39" s="2649"/>
      <c r="E39" s="2649"/>
      <c r="F39" s="2649"/>
      <c r="G39" s="2649"/>
      <c r="H39" s="2649"/>
      <c r="I39" s="2649"/>
      <c r="J39" s="2649"/>
      <c r="K39" s="1594"/>
      <c r="L39" s="2124"/>
      <c r="M39" s="2125"/>
      <c r="N39" s="2125"/>
      <c r="O39" s="2125"/>
      <c r="P39" s="3393" t="str">
        <f>A39</f>
        <v>估价对象XX用房的比较价格（楼面单价，元/平方米）</v>
      </c>
      <c r="Q39" s="3394"/>
      <c r="R39" s="3511">
        <f>IF(F1="售价",ROUND(AVERAGE(R38:V38),0),ROUND(AVERAGE(R38:V38),1))</f>
        <v>282825</v>
      </c>
      <c r="S39" s="3511"/>
      <c r="T39" s="3511"/>
      <c r="U39" s="3511"/>
      <c r="V39" s="3511"/>
      <c r="W39" s="3511"/>
      <c r="X39" s="1540"/>
      <c r="Y39" s="1540"/>
      <c r="Z39" s="1540"/>
      <c r="AA39" s="1540"/>
      <c r="AB39" s="1540"/>
      <c r="AC39" s="1540"/>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04" t="s">
        <v>553</v>
      </c>
      <c r="D42" s="605"/>
      <c r="E42" s="606">
        <f>IF(E37&lt;E38,E38/E37-1,E37/E38-1)</f>
        <v>2.5948000000000082E-2</v>
      </c>
      <c r="F42" s="607" t="str">
        <f>IF(OR(E42&gt;=0.3,E42&lt;=-0.3),"超过30%","")</f>
        <v/>
      </c>
      <c r="G42" s="606">
        <f>IF(G37&lt;G38,G38/G37-1,G37/G38-1)</f>
        <v>1.0506666666666664E-2</v>
      </c>
      <c r="H42" s="607" t="str">
        <f>IF(OR(G42&gt;=0.3,G42&lt;=-0.3),"超过30%","")</f>
        <v/>
      </c>
      <c r="I42" s="606">
        <f>IF(I37&lt;I38,I38/I37-1,I37/I38-1)</f>
        <v>2.5946666666666562E-2</v>
      </c>
      <c r="J42" s="607" t="str">
        <f>IF(OR(I42&gt;=0.3,I42&lt;=-0.3),"超过30%","")</f>
        <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04" t="s">
        <v>554</v>
      </c>
      <c r="D43" s="608"/>
      <c r="E43" s="606">
        <f>IF(E38&lt;G38,G38/E38-1,E38/G38-1)</f>
        <v>0.10806785529091134</v>
      </c>
      <c r="F43" s="607" t="str">
        <f>IF(OR(E43&gt;=0.2,E43&lt;=-0.2),"超过20%","")</f>
        <v/>
      </c>
      <c r="G43" s="606">
        <f>IF(G38&lt;I38,I38/G38-1,G38/I38-1)</f>
        <v>8.2964761351841165E-2</v>
      </c>
      <c r="H43" s="607" t="str">
        <f>IF(OR(G43&gt;=0.2,G43&lt;=-0.2),"超过20%","")</f>
        <v/>
      </c>
      <c r="I43" s="606">
        <f>IF(I38&lt;E38,E38/I38-1,I38/E38-1)</f>
        <v>0.19999844046676829</v>
      </c>
      <c r="J43" s="607" t="str">
        <f>IF(OR(I43&gt;=0.2,I43&lt;=-0.2),"超过20%","")</f>
        <v/>
      </c>
      <c r="K43" s="2129"/>
      <c r="L43" s="2130"/>
      <c r="M43" s="2125"/>
      <c r="N43" s="2125"/>
      <c r="O43" s="2125"/>
      <c r="P43" s="2125"/>
      <c r="Q43" s="2125"/>
      <c r="R43" s="2125"/>
      <c r="S43" s="2125"/>
      <c r="T43" s="2125"/>
      <c r="U43" s="2125"/>
      <c r="V43" s="2125"/>
      <c r="W43" s="2125"/>
      <c r="X43" s="2125"/>
      <c r="Y43" s="2125"/>
      <c r="Z43" s="2125"/>
      <c r="AA43" s="2125"/>
      <c r="AB43" s="2125"/>
      <c r="AC43" s="2125"/>
    </row>
    <row r="44" spans="1:29" s="1330" customFormat="1" ht="13.5" customHeight="1">
      <c r="A44" s="2126"/>
      <c r="B44" s="2126"/>
      <c r="C44" s="604" t="s">
        <v>555</v>
      </c>
      <c r="D44" s="608"/>
      <c r="E44" s="606">
        <f>IF(E37&lt;G37,G37/E37-1,E37/G37-1)</f>
        <v>0.125</v>
      </c>
      <c r="F44" s="607" t="str">
        <f>IF(OR(E44&gt;=0.3,E44&lt;=-0.3),"超过30%","")</f>
        <v/>
      </c>
      <c r="G44" s="606">
        <f>IF(G37&lt;I37,I37/G37-1,G37/I37-1)</f>
        <v>6.6666666666666652E-2</v>
      </c>
      <c r="H44" s="607" t="str">
        <f>IF(OR(G44&gt;=0.3,G44&lt;=-0.3),"超过30%","")</f>
        <v/>
      </c>
      <c r="I44" s="606">
        <f>IF(I37&lt;E37,E37/I37-1,I37/E37-1)</f>
        <v>0.19999999999999996</v>
      </c>
      <c r="J44" s="607" t="str">
        <f>IF(OR(I44&gt;=0.3,I44&lt;=-0.3),"超过30%","")</f>
        <v/>
      </c>
      <c r="K44" s="2132"/>
      <c r="L44" s="2133"/>
      <c r="M44" s="2126"/>
      <c r="N44" s="2126"/>
      <c r="O44" s="2126"/>
      <c r="P44" s="2126"/>
      <c r="Q44" s="2126"/>
      <c r="R44" s="2126"/>
      <c r="S44" s="2126"/>
      <c r="T44" s="2126"/>
      <c r="U44" s="2126"/>
      <c r="V44" s="2126"/>
      <c r="W44" s="2126"/>
      <c r="X44" s="2126"/>
      <c r="Y44" s="2126"/>
      <c r="Z44" s="2126"/>
      <c r="AA44" s="2126"/>
      <c r="AB44" s="2126"/>
      <c r="AC44" s="2126"/>
    </row>
    <row r="45" spans="1:29" s="1330"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5" t="s">
        <v>570</v>
      </c>
      <c r="B47" s="1540"/>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2" customFormat="1" ht="15">
      <c r="A48" s="625" t="s">
        <v>518</v>
      </c>
      <c r="B48" s="626"/>
      <c r="C48" s="2820" t="str">
        <f>YEAR(C7)&amp;"-"&amp;MONTH(C7)</f>
        <v>2017-6</v>
      </c>
      <c r="D48" s="2822">
        <f>EDATE(C48,-1)</f>
        <v>42856</v>
      </c>
      <c r="E48" s="2822">
        <f t="shared" ref="E48:O48" si="16">EDATE(D48,-1)</f>
        <v>42826</v>
      </c>
      <c r="F48" s="2822">
        <f t="shared" si="16"/>
        <v>42795</v>
      </c>
      <c r="G48" s="2822">
        <f t="shared" si="16"/>
        <v>42767</v>
      </c>
      <c r="H48" s="2822">
        <f t="shared" si="16"/>
        <v>42736</v>
      </c>
      <c r="I48" s="2822">
        <f t="shared" si="16"/>
        <v>42705</v>
      </c>
      <c r="J48" s="2822">
        <f t="shared" si="16"/>
        <v>42675</v>
      </c>
      <c r="K48" s="2822">
        <f t="shared" si="16"/>
        <v>42644</v>
      </c>
      <c r="L48" s="2822">
        <f t="shared" si="16"/>
        <v>42614</v>
      </c>
      <c r="M48" s="2822">
        <f t="shared" si="16"/>
        <v>42583</v>
      </c>
      <c r="N48" s="2822">
        <f t="shared" si="16"/>
        <v>42552</v>
      </c>
      <c r="O48" s="2822">
        <f t="shared" si="16"/>
        <v>42522</v>
      </c>
      <c r="P48" s="2140"/>
      <c r="Q48" s="2141"/>
      <c r="R48" s="2141"/>
      <c r="S48" s="2141"/>
      <c r="T48" s="2141"/>
      <c r="U48" s="2141"/>
      <c r="V48" s="2141"/>
      <c r="W48" s="2141"/>
      <c r="X48" s="2141"/>
      <c r="Y48" s="2141"/>
      <c r="Z48" s="2141"/>
      <c r="AA48" s="2141"/>
      <c r="AB48" s="2141"/>
      <c r="AC48" s="2141"/>
    </row>
    <row r="49" spans="1:29" s="1199" customFormat="1" ht="15">
      <c r="A49" s="627"/>
      <c r="B49" s="628"/>
      <c r="C49" s="2821">
        <v>100</v>
      </c>
      <c r="D49" s="630">
        <v>99.5</v>
      </c>
      <c r="E49" s="630">
        <v>99</v>
      </c>
      <c r="F49" s="630">
        <v>98.5</v>
      </c>
      <c r="G49" s="630">
        <v>98</v>
      </c>
      <c r="H49" s="630">
        <v>97.5</v>
      </c>
      <c r="I49" s="630">
        <v>97</v>
      </c>
      <c r="J49" s="630">
        <v>96.5</v>
      </c>
      <c r="K49" s="630">
        <v>96</v>
      </c>
      <c r="L49" s="630">
        <v>95.5</v>
      </c>
      <c r="M49" s="631">
        <v>95</v>
      </c>
      <c r="N49" s="630">
        <v>94.5</v>
      </c>
      <c r="O49" s="632">
        <v>94</v>
      </c>
      <c r="P49" s="2138"/>
      <c r="Q49" s="1969"/>
      <c r="R49" s="1969"/>
      <c r="S49" s="1969"/>
      <c r="T49" s="1969"/>
      <c r="U49" s="1969"/>
      <c r="V49" s="1969"/>
      <c r="W49" s="1969"/>
      <c r="X49" s="1969"/>
      <c r="Y49" s="1969"/>
      <c r="Z49" s="1969"/>
      <c r="AA49" s="1969"/>
      <c r="AB49" s="1969"/>
      <c r="AC49" s="1969"/>
    </row>
    <row r="50" spans="1:29" s="1199" customFormat="1" ht="15.75" thickBot="1">
      <c r="A50" s="633" t="s">
        <v>571</v>
      </c>
      <c r="B50" s="634"/>
      <c r="C50" s="635"/>
      <c r="D50" s="636"/>
      <c r="E50" s="636"/>
      <c r="F50" s="636"/>
      <c r="G50" s="636"/>
      <c r="H50" s="636"/>
      <c r="I50" s="636"/>
      <c r="J50" s="636"/>
      <c r="K50" s="636"/>
      <c r="L50" s="636"/>
      <c r="M50" s="637"/>
      <c r="N50" s="636"/>
      <c r="O50" s="638"/>
      <c r="P50" s="2138"/>
      <c r="Q50" s="2138"/>
      <c r="R50" s="1969"/>
      <c r="S50" s="1969"/>
      <c r="T50" s="1969"/>
      <c r="U50" s="1969"/>
      <c r="V50" s="1969"/>
      <c r="W50" s="1969"/>
      <c r="X50" s="1969"/>
      <c r="Y50" s="1969"/>
      <c r="Z50" s="1969"/>
      <c r="AA50" s="1969"/>
      <c r="AB50" s="1969"/>
      <c r="AC50" s="1969"/>
    </row>
    <row r="51" spans="1:29" s="1199" customFormat="1" ht="15">
      <c r="A51" s="639" t="s">
        <v>520</v>
      </c>
      <c r="B51" s="628"/>
      <c r="C51" s="640" t="s">
        <v>572</v>
      </c>
      <c r="D51" s="641" t="s">
        <v>573</v>
      </c>
      <c r="E51" s="641"/>
      <c r="F51" s="641"/>
      <c r="G51" s="641"/>
      <c r="H51" s="641"/>
      <c r="I51" s="641"/>
      <c r="J51" s="641"/>
      <c r="K51" s="641"/>
      <c r="L51" s="642"/>
      <c r="M51" s="643"/>
      <c r="N51" s="2142"/>
      <c r="O51" s="2142"/>
      <c r="P51" s="2143"/>
      <c r="Q51" s="2138"/>
      <c r="R51" s="1969"/>
      <c r="S51" s="1969"/>
      <c r="T51" s="1969"/>
      <c r="U51" s="1969"/>
      <c r="V51" s="1969"/>
      <c r="W51" s="1969"/>
      <c r="X51" s="1969"/>
      <c r="Y51" s="1969"/>
      <c r="Z51" s="1969"/>
      <c r="AA51" s="1969"/>
      <c r="AB51" s="1969"/>
      <c r="AC51" s="1969"/>
    </row>
    <row r="52" spans="1:29" s="1199" customFormat="1" ht="15.75" thickBot="1">
      <c r="A52" s="639"/>
      <c r="B52" s="628"/>
      <c r="C52" s="629">
        <v>100</v>
      </c>
      <c r="D52" s="630">
        <v>97</v>
      </c>
      <c r="E52" s="630"/>
      <c r="F52" s="630"/>
      <c r="G52" s="630"/>
      <c r="H52" s="630"/>
      <c r="I52" s="630"/>
      <c r="J52" s="630"/>
      <c r="K52" s="630"/>
      <c r="L52" s="630"/>
      <c r="M52" s="632"/>
      <c r="N52" s="2142"/>
      <c r="O52" s="2142"/>
      <c r="P52" s="2138"/>
      <c r="Q52" s="2138"/>
      <c r="R52" s="1969"/>
      <c r="S52" s="1969"/>
      <c r="T52" s="1969"/>
      <c r="U52" s="1969"/>
      <c r="V52" s="1969"/>
      <c r="W52" s="1969"/>
      <c r="X52" s="1969"/>
      <c r="Y52" s="1969"/>
      <c r="Z52" s="1969"/>
      <c r="AA52" s="1969"/>
      <c r="AB52" s="1969"/>
      <c r="AC52" s="1969"/>
    </row>
    <row r="53" spans="1:29">
      <c r="A53" s="644" t="s">
        <v>574</v>
      </c>
      <c r="B53" s="645" t="s">
        <v>523</v>
      </c>
      <c r="C53" s="684" t="str">
        <f>C9</f>
        <v>车库</v>
      </c>
      <c r="D53" s="578"/>
      <c r="E53" s="578"/>
      <c r="F53" s="578"/>
      <c r="G53" s="578"/>
      <c r="H53" s="578"/>
      <c r="I53" s="578"/>
      <c r="J53" s="578"/>
      <c r="K53" s="646"/>
      <c r="L53" s="647"/>
      <c r="M53" s="648"/>
      <c r="N53" s="2144"/>
      <c r="O53" s="2144"/>
      <c r="P53" s="2145"/>
      <c r="Q53" s="2138"/>
      <c r="R53" s="2125"/>
      <c r="S53" s="2125"/>
      <c r="T53" s="2125"/>
      <c r="U53" s="2125"/>
      <c r="V53" s="2125"/>
      <c r="W53" s="2125"/>
      <c r="X53" s="2125"/>
      <c r="Y53" s="2125"/>
      <c r="Z53" s="2125"/>
      <c r="AA53" s="2125"/>
      <c r="AB53" s="2125"/>
      <c r="AC53" s="2125"/>
    </row>
    <row r="54" spans="1:29" ht="15.75" thickBot="1">
      <c r="A54" s="649"/>
      <c r="B54" s="650"/>
      <c r="C54" s="651">
        <v>100</v>
      </c>
      <c r="D54" s="651"/>
      <c r="E54" s="651"/>
      <c r="F54" s="651"/>
      <c r="G54" s="651"/>
      <c r="H54" s="651"/>
      <c r="I54" s="651"/>
      <c r="J54" s="651"/>
      <c r="K54" s="651"/>
      <c r="L54" s="651"/>
      <c r="M54" s="652"/>
      <c r="N54" s="2146"/>
      <c r="O54" s="2146"/>
      <c r="P54" s="2145"/>
      <c r="Q54" s="2138"/>
      <c r="R54" s="2125"/>
      <c r="S54" s="2125"/>
      <c r="T54" s="2125"/>
      <c r="U54" s="2125"/>
      <c r="V54" s="2125"/>
      <c r="W54" s="2125"/>
      <c r="X54" s="2125"/>
      <c r="Y54" s="2125"/>
      <c r="Z54" s="2125"/>
      <c r="AA54" s="2125"/>
      <c r="AB54" s="2125"/>
      <c r="AC54" s="2125"/>
    </row>
    <row r="55" spans="1:29" ht="27.75" thickTop="1">
      <c r="A55" s="649"/>
      <c r="B55" s="653" t="s">
        <v>526</v>
      </c>
      <c r="C55" s="654" t="s">
        <v>792</v>
      </c>
      <c r="D55" s="654" t="s">
        <v>793</v>
      </c>
      <c r="E55" s="654" t="s">
        <v>794</v>
      </c>
      <c r="F55" s="654" t="s">
        <v>795</v>
      </c>
      <c r="G55" s="654" t="s">
        <v>796</v>
      </c>
      <c r="H55" s="654" t="s">
        <v>797</v>
      </c>
      <c r="I55" s="654" t="s">
        <v>798</v>
      </c>
      <c r="J55" s="654"/>
      <c r="K55" s="655"/>
      <c r="L55" s="656"/>
      <c r="M55" s="657"/>
      <c r="N55" s="2144"/>
      <c r="O55" s="2144"/>
      <c r="P55" s="2145"/>
      <c r="Q55" s="2138"/>
      <c r="R55" s="2125"/>
      <c r="S55" s="2125"/>
      <c r="T55" s="2125"/>
      <c r="U55" s="2125"/>
      <c r="V55" s="2125"/>
      <c r="W55" s="2125"/>
      <c r="X55" s="2125"/>
      <c r="Y55" s="2125"/>
      <c r="Z55" s="2125"/>
      <c r="AA55" s="2125"/>
      <c r="AB55" s="2125"/>
      <c r="AC55" s="2125"/>
    </row>
    <row r="56" spans="1:29" ht="15.75" thickBot="1">
      <c r="A56" s="649"/>
      <c r="B56" s="658"/>
      <c r="C56" s="659" t="s">
        <v>14</v>
      </c>
      <c r="D56" s="659" t="s">
        <v>15</v>
      </c>
      <c r="E56" s="659">
        <v>100</v>
      </c>
      <c r="F56" s="659">
        <f>E56-$K10</f>
        <v>98</v>
      </c>
      <c r="G56" s="659">
        <f>F56-$K10</f>
        <v>96</v>
      </c>
      <c r="H56" s="659">
        <f>G56-$K10</f>
        <v>94</v>
      </c>
      <c r="I56" s="659">
        <f>H56-$K10</f>
        <v>92</v>
      </c>
      <c r="J56" s="659"/>
      <c r="K56" s="659"/>
      <c r="L56" s="659"/>
      <c r="M56" s="660"/>
      <c r="N56" s="2146"/>
      <c r="O56" s="2146"/>
      <c r="P56" s="2145"/>
      <c r="Q56" s="2138"/>
      <c r="R56" s="2125"/>
      <c r="S56" s="2125"/>
      <c r="T56" s="2125"/>
      <c r="U56" s="2125"/>
      <c r="V56" s="2125"/>
      <c r="W56" s="2125"/>
      <c r="X56" s="2125"/>
      <c r="Y56" s="2125"/>
      <c r="Z56" s="2125"/>
      <c r="AA56" s="2125"/>
      <c r="AB56" s="2125"/>
      <c r="AC56" s="2125"/>
    </row>
    <row r="57" spans="1:29" ht="15.75" thickTop="1">
      <c r="A57" s="649"/>
      <c r="B57" s="914">
        <f>B11</f>
        <v>0</v>
      </c>
      <c r="C57" s="521">
        <v>111</v>
      </c>
      <c r="D57" s="521">
        <v>222</v>
      </c>
      <c r="E57" s="521">
        <v>333</v>
      </c>
      <c r="F57" s="521">
        <v>444</v>
      </c>
      <c r="G57" s="521"/>
      <c r="H57" s="521"/>
      <c r="I57" s="521"/>
      <c r="J57" s="521"/>
      <c r="K57" s="664"/>
      <c r="L57" s="665"/>
      <c r="M57" s="666"/>
      <c r="N57" s="2144"/>
      <c r="O57" s="2144"/>
      <c r="P57" s="2145"/>
      <c r="Q57" s="2138"/>
      <c r="R57" s="2125"/>
      <c r="S57" s="2125"/>
      <c r="T57" s="2125"/>
      <c r="U57" s="2125"/>
      <c r="V57" s="2125"/>
      <c r="W57" s="2125"/>
      <c r="X57" s="2125"/>
      <c r="Y57" s="2125"/>
      <c r="Z57" s="2125"/>
      <c r="AA57" s="2125"/>
      <c r="AB57" s="2125"/>
      <c r="AC57" s="2125"/>
    </row>
    <row r="58" spans="1:29" ht="15.75" thickBot="1">
      <c r="A58" s="649"/>
      <c r="B58" s="650"/>
      <c r="C58" s="672">
        <v>100</v>
      </c>
      <c r="D58" s="651">
        <v>99</v>
      </c>
      <c r="E58" s="651">
        <v>98</v>
      </c>
      <c r="F58" s="651">
        <v>97</v>
      </c>
      <c r="G58" s="651"/>
      <c r="H58" s="651"/>
      <c r="I58" s="651"/>
      <c r="J58" s="651"/>
      <c r="K58" s="651"/>
      <c r="L58" s="651"/>
      <c r="M58" s="652"/>
      <c r="N58" s="2146"/>
      <c r="O58" s="2146"/>
      <c r="P58" s="2145"/>
      <c r="Q58" s="2138"/>
      <c r="R58" s="2125"/>
      <c r="S58" s="2125"/>
      <c r="T58" s="2125"/>
      <c r="U58" s="2125"/>
      <c r="V58" s="2125"/>
      <c r="W58" s="2125"/>
      <c r="X58" s="2125"/>
      <c r="Y58" s="2125"/>
      <c r="Z58" s="2125"/>
      <c r="AA58" s="2125"/>
      <c r="AB58" s="2125"/>
      <c r="AC58" s="2125"/>
    </row>
    <row r="59" spans="1:29" s="1324" customFormat="1" ht="15.75" thickTop="1">
      <c r="A59" s="667"/>
      <c r="B59" s="653">
        <f>B12</f>
        <v>0</v>
      </c>
      <c r="C59" s="521">
        <v>111</v>
      </c>
      <c r="D59" s="521">
        <v>222</v>
      </c>
      <c r="E59" s="521">
        <v>333</v>
      </c>
      <c r="F59" s="521">
        <v>444</v>
      </c>
      <c r="G59" s="668"/>
      <c r="H59" s="669"/>
      <c r="I59" s="669"/>
      <c r="J59" s="669"/>
      <c r="K59" s="669"/>
      <c r="L59" s="670"/>
      <c r="M59" s="671"/>
      <c r="N59" s="2147"/>
      <c r="O59" s="2147"/>
      <c r="P59" s="2148"/>
      <c r="Q59" s="2149"/>
      <c r="R59" s="2150"/>
      <c r="S59" s="2150"/>
      <c r="T59" s="2150"/>
      <c r="U59" s="2150"/>
      <c r="V59" s="2150"/>
      <c r="W59" s="2150"/>
      <c r="X59" s="2150"/>
      <c r="Y59" s="2150"/>
      <c r="Z59" s="2150"/>
      <c r="AA59" s="2150"/>
      <c r="AB59" s="2150"/>
      <c r="AC59" s="2150"/>
    </row>
    <row r="60" spans="1:29" s="1324" customFormat="1" ht="15.75" thickBot="1">
      <c r="A60" s="667"/>
      <c r="B60" s="658"/>
      <c r="C60" s="672">
        <v>100</v>
      </c>
      <c r="D60" s="651">
        <v>98</v>
      </c>
      <c r="E60" s="651">
        <v>96</v>
      </c>
      <c r="F60" s="651">
        <v>94</v>
      </c>
      <c r="G60" s="651"/>
      <c r="H60" s="651"/>
      <c r="I60" s="651"/>
      <c r="J60" s="651"/>
      <c r="K60" s="651"/>
      <c r="L60" s="651"/>
      <c r="M60" s="652"/>
      <c r="N60" s="2146"/>
      <c r="O60" s="2146"/>
      <c r="P60" s="2148"/>
      <c r="Q60" s="2149"/>
      <c r="R60" s="2150"/>
      <c r="S60" s="2150"/>
      <c r="T60" s="2150"/>
      <c r="U60" s="2150"/>
      <c r="V60" s="2150"/>
      <c r="W60" s="2150"/>
      <c r="X60" s="2150"/>
      <c r="Y60" s="2150"/>
      <c r="Z60" s="2150"/>
      <c r="AA60" s="2150"/>
      <c r="AB60" s="2150"/>
      <c r="AC60" s="2150"/>
    </row>
    <row r="61" spans="1:29" s="1324" customFormat="1" ht="15.75" thickTop="1">
      <c r="A61" s="667"/>
      <c r="B61" s="653">
        <f>B13</f>
        <v>0</v>
      </c>
      <c r="C61" s="668">
        <v>111</v>
      </c>
      <c r="D61" s="668">
        <v>222</v>
      </c>
      <c r="E61" s="668">
        <v>333</v>
      </c>
      <c r="F61" s="668">
        <v>444</v>
      </c>
      <c r="G61" s="668"/>
      <c r="H61" s="669"/>
      <c r="I61" s="669"/>
      <c r="J61" s="669"/>
      <c r="K61" s="669"/>
      <c r="L61" s="670"/>
      <c r="M61" s="671"/>
      <c r="N61" s="2147"/>
      <c r="O61" s="2147"/>
      <c r="P61" s="2151"/>
      <c r="Q61" s="2152"/>
      <c r="R61" s="2150"/>
      <c r="S61" s="2150"/>
      <c r="T61" s="2150"/>
      <c r="U61" s="2150"/>
      <c r="V61" s="2150"/>
      <c r="W61" s="2150"/>
      <c r="X61" s="2150"/>
      <c r="Y61" s="2150"/>
      <c r="Z61" s="2150"/>
      <c r="AA61" s="2150"/>
      <c r="AB61" s="2150"/>
      <c r="AC61" s="2150"/>
    </row>
    <row r="62" spans="1:29" s="1324" customFormat="1" ht="15.75" thickBot="1">
      <c r="A62" s="667"/>
      <c r="B62" s="658"/>
      <c r="C62" s="672">
        <v>100</v>
      </c>
      <c r="D62" s="672">
        <v>97</v>
      </c>
      <c r="E62" s="672">
        <v>94</v>
      </c>
      <c r="F62" s="672">
        <v>91</v>
      </c>
      <c r="G62" s="672"/>
      <c r="H62" s="673"/>
      <c r="I62" s="673"/>
      <c r="J62" s="673"/>
      <c r="K62" s="673"/>
      <c r="L62" s="673"/>
      <c r="M62" s="674"/>
      <c r="N62" s="2147"/>
      <c r="O62" s="2147"/>
      <c r="P62" s="2148"/>
      <c r="Q62" s="2149"/>
      <c r="R62" s="2150"/>
      <c r="S62" s="2150"/>
      <c r="T62" s="2150"/>
      <c r="U62" s="2150"/>
      <c r="V62" s="2150"/>
      <c r="W62" s="2150"/>
      <c r="X62" s="2150"/>
      <c r="Y62" s="2150"/>
      <c r="Z62" s="2150"/>
      <c r="AA62" s="2150"/>
      <c r="AB62" s="2150"/>
      <c r="AC62" s="2150"/>
    </row>
    <row r="63" spans="1:29" ht="15" thickTop="1">
      <c r="A63" s="644" t="s">
        <v>528</v>
      </c>
      <c r="B63" s="645" t="s">
        <v>583</v>
      </c>
      <c r="C63" s="683" t="s">
        <v>576</v>
      </c>
      <c r="D63" s="683" t="s">
        <v>577</v>
      </c>
      <c r="E63" s="683" t="s">
        <v>578</v>
      </c>
      <c r="F63" s="683" t="s">
        <v>579</v>
      </c>
      <c r="G63" s="683" t="s">
        <v>580</v>
      </c>
      <c r="H63" s="684"/>
      <c r="I63" s="684"/>
      <c r="J63" s="684"/>
      <c r="K63" s="685"/>
      <c r="L63" s="686"/>
      <c r="M63" s="687"/>
      <c r="N63" s="2144"/>
      <c r="O63" s="2144"/>
      <c r="P63" s="2154"/>
      <c r="Q63" s="2138"/>
      <c r="R63" s="2125"/>
      <c r="S63" s="2125"/>
      <c r="T63" s="2125"/>
      <c r="U63" s="2125"/>
      <c r="V63" s="2125"/>
      <c r="W63" s="2125"/>
      <c r="X63" s="2125"/>
      <c r="Y63" s="2125"/>
      <c r="Z63" s="2125"/>
      <c r="AA63" s="2125"/>
      <c r="AB63" s="2125"/>
      <c r="AC63" s="2125"/>
    </row>
    <row r="64" spans="1:29" ht="15.75" thickBot="1">
      <c r="A64" s="649"/>
      <c r="B64" s="658"/>
      <c r="C64" s="659">
        <v>100</v>
      </c>
      <c r="D64" s="659">
        <f>C64-$K14</f>
        <v>98</v>
      </c>
      <c r="E64" s="659">
        <f>D64-$K14</f>
        <v>96</v>
      </c>
      <c r="F64" s="659">
        <f>E64-$K14</f>
        <v>94</v>
      </c>
      <c r="G64" s="659">
        <f>F64-$K14</f>
        <v>92</v>
      </c>
      <c r="H64" s="659"/>
      <c r="I64" s="659"/>
      <c r="J64" s="659"/>
      <c r="K64" s="659"/>
      <c r="L64" s="659"/>
      <c r="M64" s="660"/>
      <c r="N64" s="2146"/>
      <c r="O64" s="2146"/>
      <c r="P64" s="2145"/>
      <c r="Q64" s="2138"/>
      <c r="R64" s="2125"/>
      <c r="S64" s="2125"/>
      <c r="T64" s="2125"/>
      <c r="U64" s="2125"/>
      <c r="V64" s="2125"/>
      <c r="W64" s="2125"/>
      <c r="X64" s="2125"/>
      <c r="Y64" s="2125"/>
      <c r="Z64" s="2125"/>
      <c r="AA64" s="2125"/>
      <c r="AB64" s="2125"/>
      <c r="AC64" s="2125"/>
    </row>
    <row r="65" spans="1:29" ht="15.75" thickTop="1">
      <c r="A65" s="649"/>
      <c r="B65" s="1871" t="s">
        <v>2826</v>
      </c>
      <c r="C65" s="688" t="s">
        <v>576</v>
      </c>
      <c r="D65" s="688" t="s">
        <v>577</v>
      </c>
      <c r="E65" s="688" t="s">
        <v>578</v>
      </c>
      <c r="F65" s="688" t="s">
        <v>579</v>
      </c>
      <c r="G65" s="688" t="s">
        <v>580</v>
      </c>
      <c r="H65" s="654"/>
      <c r="I65" s="654"/>
      <c r="J65" s="654"/>
      <c r="K65" s="655"/>
      <c r="L65" s="656"/>
      <c r="M65" s="657"/>
      <c r="N65" s="2144"/>
      <c r="O65" s="2144"/>
      <c r="P65" s="2145"/>
      <c r="Q65" s="2138"/>
      <c r="R65" s="2125"/>
      <c r="S65" s="2125"/>
      <c r="T65" s="2125"/>
      <c r="U65" s="2125"/>
      <c r="V65" s="2125"/>
      <c r="W65" s="2125"/>
      <c r="X65" s="2125"/>
      <c r="Y65" s="2125"/>
      <c r="Z65" s="2125"/>
      <c r="AA65" s="2125"/>
      <c r="AB65" s="2125"/>
      <c r="AC65" s="2125"/>
    </row>
    <row r="66" spans="1:29" ht="15.75" thickBot="1">
      <c r="A66" s="649"/>
      <c r="B66" s="658"/>
      <c r="C66" s="659">
        <v>100</v>
      </c>
      <c r="D66" s="659">
        <f>C66-$K16</f>
        <v>98</v>
      </c>
      <c r="E66" s="659">
        <f>D66-$K16</f>
        <v>96</v>
      </c>
      <c r="F66" s="659">
        <f>E66-$K16</f>
        <v>94</v>
      </c>
      <c r="G66" s="659">
        <f>F66-$K16</f>
        <v>92</v>
      </c>
      <c r="H66" s="659"/>
      <c r="I66" s="659"/>
      <c r="J66" s="659"/>
      <c r="K66" s="659"/>
      <c r="L66" s="659"/>
      <c r="M66" s="660"/>
      <c r="N66" s="2146"/>
      <c r="O66" s="2146"/>
      <c r="P66" s="2145"/>
      <c r="Q66" s="2138"/>
      <c r="R66" s="2125"/>
      <c r="S66" s="2125"/>
      <c r="T66" s="2125"/>
      <c r="U66" s="2125"/>
      <c r="V66" s="2125"/>
      <c r="W66" s="2125"/>
      <c r="X66" s="2125"/>
      <c r="Y66" s="2125"/>
      <c r="Z66" s="2125"/>
      <c r="AA66" s="2125"/>
      <c r="AB66" s="2125"/>
      <c r="AC66" s="2125"/>
    </row>
    <row r="67" spans="1:29" ht="15.75" thickTop="1">
      <c r="A67" s="649"/>
      <c r="B67" s="2610" t="s">
        <v>2827</v>
      </c>
      <c r="C67" s="2611" t="s">
        <v>2828</v>
      </c>
      <c r="D67" s="2611" t="s">
        <v>2829</v>
      </c>
      <c r="E67" s="2611" t="s">
        <v>2830</v>
      </c>
      <c r="F67" s="2611" t="s">
        <v>2831</v>
      </c>
      <c r="G67" s="2611" t="s">
        <v>2832</v>
      </c>
      <c r="H67" s="654"/>
      <c r="I67" s="654"/>
      <c r="J67" s="654"/>
      <c r="K67" s="654"/>
      <c r="L67" s="654"/>
      <c r="M67" s="2614"/>
      <c r="N67" s="2146"/>
      <c r="O67" s="2146"/>
      <c r="P67" s="2145"/>
      <c r="Q67" s="2138"/>
      <c r="R67" s="2125"/>
      <c r="S67" s="2125"/>
      <c r="T67" s="2125"/>
      <c r="U67" s="2125"/>
      <c r="V67" s="2125"/>
      <c r="W67" s="2125"/>
      <c r="X67" s="2125"/>
      <c r="Y67" s="2125"/>
      <c r="Z67" s="2125"/>
      <c r="AA67" s="2125"/>
      <c r="AB67" s="2125"/>
      <c r="AC67" s="2125"/>
    </row>
    <row r="68" spans="1:29" ht="15.75" thickBot="1">
      <c r="A68" s="649"/>
      <c r="B68" s="661"/>
      <c r="C68" s="659">
        <v>100</v>
      </c>
      <c r="D68" s="659">
        <f>C68-$K18</f>
        <v>99</v>
      </c>
      <c r="E68" s="659">
        <f>D68-$K18</f>
        <v>98</v>
      </c>
      <c r="F68" s="659">
        <f>E68-$K18</f>
        <v>97</v>
      </c>
      <c r="G68" s="659">
        <f>F68-$K18</f>
        <v>96</v>
      </c>
      <c r="H68" s="914"/>
      <c r="I68" s="914"/>
      <c r="J68" s="914"/>
      <c r="K68" s="914"/>
      <c r="L68" s="914"/>
      <c r="M68" s="539"/>
      <c r="N68" s="2146"/>
      <c r="O68" s="2146"/>
      <c r="P68" s="2145"/>
      <c r="Q68" s="2138"/>
      <c r="R68" s="2125"/>
      <c r="S68" s="2125"/>
      <c r="T68" s="2125"/>
      <c r="U68" s="2125"/>
      <c r="V68" s="2125"/>
      <c r="W68" s="2125"/>
      <c r="X68" s="2125"/>
      <c r="Y68" s="2125"/>
      <c r="Z68" s="2125"/>
      <c r="AA68" s="2125"/>
      <c r="AB68" s="2125"/>
      <c r="AC68" s="2125"/>
    </row>
    <row r="69" spans="1:29" ht="15.75" thickTop="1">
      <c r="A69" s="649"/>
      <c r="B69" s="653" t="s">
        <v>799</v>
      </c>
      <c r="C69" s="688" t="s">
        <v>576</v>
      </c>
      <c r="D69" s="688" t="s">
        <v>577</v>
      </c>
      <c r="E69" s="688" t="s">
        <v>578</v>
      </c>
      <c r="F69" s="688" t="s">
        <v>579</v>
      </c>
      <c r="G69" s="688" t="s">
        <v>580</v>
      </c>
      <c r="H69" s="654"/>
      <c r="I69" s="654"/>
      <c r="J69" s="654"/>
      <c r="K69" s="655"/>
      <c r="L69" s="656"/>
      <c r="M69" s="657"/>
      <c r="N69" s="2144"/>
      <c r="O69" s="2144"/>
      <c r="P69" s="2145"/>
      <c r="Q69" s="2138"/>
      <c r="R69" s="2125"/>
      <c r="S69" s="2125"/>
      <c r="T69" s="2125"/>
      <c r="U69" s="2125"/>
      <c r="V69" s="2125"/>
      <c r="W69" s="2125"/>
      <c r="X69" s="2125"/>
      <c r="Y69" s="2125"/>
      <c r="Z69" s="2125"/>
      <c r="AA69" s="2125"/>
      <c r="AB69" s="2125"/>
      <c r="AC69" s="2125"/>
    </row>
    <row r="70" spans="1:29" ht="15.75" thickBot="1">
      <c r="A70" s="649"/>
      <c r="B70" s="658"/>
      <c r="C70" s="659">
        <v>100</v>
      </c>
      <c r="D70" s="659">
        <f>C70-$K20</f>
        <v>98</v>
      </c>
      <c r="E70" s="659">
        <f>D70-$K20</f>
        <v>96</v>
      </c>
      <c r="F70" s="659">
        <f>E70-$K20</f>
        <v>94</v>
      </c>
      <c r="G70" s="659">
        <f>F70-$K20</f>
        <v>92</v>
      </c>
      <c r="H70" s="659"/>
      <c r="I70" s="659"/>
      <c r="J70" s="659"/>
      <c r="K70" s="659"/>
      <c r="L70" s="659"/>
      <c r="M70" s="660"/>
      <c r="N70" s="2146"/>
      <c r="O70" s="2146"/>
      <c r="P70" s="2145"/>
      <c r="Q70" s="2138"/>
      <c r="R70" s="2125"/>
      <c r="S70" s="2125"/>
      <c r="T70" s="2125"/>
      <c r="U70" s="2125"/>
      <c r="V70" s="2125"/>
      <c r="W70" s="2125"/>
      <c r="X70" s="2125"/>
      <c r="Y70" s="2125"/>
      <c r="Z70" s="2125"/>
      <c r="AA70" s="2125"/>
      <c r="AB70" s="2125"/>
      <c r="AC70" s="2125"/>
    </row>
    <row r="71" spans="1:29" ht="15.75" thickTop="1">
      <c r="A71" s="649"/>
      <c r="B71" s="653" t="s">
        <v>800</v>
      </c>
      <c r="C71" s="668" t="s">
        <v>981</v>
      </c>
      <c r="D71" s="668" t="s">
        <v>982</v>
      </c>
      <c r="E71" s="668"/>
      <c r="F71" s="668"/>
      <c r="G71" s="668"/>
      <c r="H71" s="698"/>
      <c r="I71" s="698"/>
      <c r="J71" s="698"/>
      <c r="K71" s="699"/>
      <c r="L71" s="700"/>
      <c r="M71" s="701"/>
      <c r="N71" s="2144"/>
      <c r="O71" s="2144"/>
      <c r="P71" s="2145"/>
      <c r="Q71" s="2138"/>
      <c r="R71" s="2125"/>
      <c r="S71" s="2125"/>
      <c r="T71" s="2125"/>
      <c r="U71" s="2125"/>
      <c r="V71" s="2125"/>
      <c r="W71" s="2125"/>
      <c r="X71" s="2125"/>
      <c r="Y71" s="2125"/>
      <c r="Z71" s="2125"/>
      <c r="AA71" s="2125"/>
      <c r="AB71" s="2125"/>
      <c r="AC71" s="2125"/>
    </row>
    <row r="72" spans="1:29" ht="15.75" thickBot="1">
      <c r="A72" s="649"/>
      <c r="B72" s="658"/>
      <c r="C72" s="659">
        <v>100</v>
      </c>
      <c r="D72" s="659">
        <f>C72-$K22</f>
        <v>100</v>
      </c>
      <c r="E72" s="659">
        <f>D72-$K22</f>
        <v>100</v>
      </c>
      <c r="F72" s="659">
        <f>E72-$K22</f>
        <v>100</v>
      </c>
      <c r="G72" s="659">
        <f>F72-$K22</f>
        <v>100</v>
      </c>
      <c r="H72" s="659"/>
      <c r="I72" s="659"/>
      <c r="J72" s="659"/>
      <c r="K72" s="659"/>
      <c r="L72" s="659"/>
      <c r="M72" s="660"/>
      <c r="N72" s="2146"/>
      <c r="O72" s="2146"/>
      <c r="P72" s="2145"/>
      <c r="Q72" s="2138"/>
      <c r="R72" s="2125"/>
      <c r="S72" s="2125"/>
      <c r="T72" s="2125"/>
      <c r="U72" s="2125"/>
      <c r="V72" s="2125"/>
      <c r="W72" s="2125"/>
      <c r="X72" s="2125"/>
      <c r="Y72" s="2125"/>
      <c r="Z72" s="2125"/>
      <c r="AA72" s="2125"/>
      <c r="AB72" s="2125"/>
      <c r="AC72" s="2125"/>
    </row>
    <row r="73" spans="1:29" s="1199" customFormat="1" ht="15.75" thickTop="1">
      <c r="A73" s="689"/>
      <c r="B73" s="653">
        <f>B23</f>
        <v>0</v>
      </c>
      <c r="C73" s="521">
        <v>111</v>
      </c>
      <c r="D73" s="521">
        <v>222</v>
      </c>
      <c r="E73" s="521">
        <v>333</v>
      </c>
      <c r="F73" s="521">
        <v>444</v>
      </c>
      <c r="G73" s="668"/>
      <c r="H73" s="668"/>
      <c r="I73" s="668"/>
      <c r="J73" s="668"/>
      <c r="K73" s="668"/>
      <c r="L73" s="870"/>
      <c r="M73" s="871"/>
      <c r="N73" s="2142"/>
      <c r="O73" s="2142"/>
      <c r="P73" s="2145"/>
      <c r="Q73" s="2138"/>
      <c r="R73" s="1969"/>
      <c r="S73" s="1969"/>
      <c r="T73" s="1969"/>
      <c r="U73" s="1969"/>
      <c r="V73" s="1969"/>
      <c r="W73" s="1969"/>
      <c r="X73" s="1969"/>
      <c r="Y73" s="1969"/>
      <c r="Z73" s="1969"/>
      <c r="AA73" s="1969"/>
      <c r="AB73" s="1969"/>
      <c r="AC73" s="1969"/>
    </row>
    <row r="74" spans="1:29" s="1199" customFormat="1" ht="15.75" thickBot="1">
      <c r="A74" s="689"/>
      <c r="B74" s="658"/>
      <c r="C74" s="672">
        <v>100</v>
      </c>
      <c r="D74" s="651">
        <v>99</v>
      </c>
      <c r="E74" s="651">
        <v>98</v>
      </c>
      <c r="F74" s="651">
        <v>97</v>
      </c>
      <c r="G74" s="651"/>
      <c r="H74" s="651"/>
      <c r="I74" s="651"/>
      <c r="J74" s="651"/>
      <c r="K74" s="651"/>
      <c r="L74" s="651"/>
      <c r="M74" s="652"/>
      <c r="N74" s="2146"/>
      <c r="O74" s="2146"/>
      <c r="P74" s="2145"/>
      <c r="Q74" s="2138"/>
      <c r="R74" s="1969"/>
      <c r="S74" s="1969"/>
      <c r="T74" s="1969"/>
      <c r="U74" s="1969"/>
      <c r="V74" s="1969"/>
      <c r="W74" s="1969"/>
      <c r="X74" s="1969"/>
      <c r="Y74" s="1969"/>
      <c r="Z74" s="1969"/>
      <c r="AA74" s="1969"/>
      <c r="AB74" s="1969"/>
      <c r="AC74" s="1969"/>
    </row>
    <row r="75" spans="1:29" s="1199" customFormat="1" ht="15.75" thickTop="1">
      <c r="A75" s="689"/>
      <c r="B75" s="653">
        <f>B24</f>
        <v>0</v>
      </c>
      <c r="C75" s="521">
        <v>111</v>
      </c>
      <c r="D75" s="521">
        <v>222</v>
      </c>
      <c r="E75" s="521">
        <v>333</v>
      </c>
      <c r="F75" s="521">
        <v>444</v>
      </c>
      <c r="G75" s="668"/>
      <c r="H75" s="668"/>
      <c r="I75" s="668"/>
      <c r="J75" s="668"/>
      <c r="K75" s="668"/>
      <c r="L75" s="668"/>
      <c r="M75" s="871"/>
      <c r="N75" s="2142"/>
      <c r="O75" s="2142"/>
      <c r="P75" s="2145"/>
      <c r="Q75" s="2138"/>
      <c r="R75" s="1969"/>
      <c r="S75" s="1969"/>
      <c r="T75" s="1969"/>
      <c r="U75" s="1969"/>
      <c r="V75" s="1969"/>
      <c r="W75" s="1969"/>
      <c r="X75" s="1969"/>
      <c r="Y75" s="1969"/>
      <c r="Z75" s="1969"/>
      <c r="AA75" s="1969"/>
      <c r="AB75" s="1969"/>
      <c r="AC75" s="1969"/>
    </row>
    <row r="76" spans="1:29" s="1199" customFormat="1" ht="15.75" thickBot="1">
      <c r="A76" s="689"/>
      <c r="B76" s="658"/>
      <c r="C76" s="672">
        <v>100</v>
      </c>
      <c r="D76" s="651">
        <v>98</v>
      </c>
      <c r="E76" s="651">
        <v>96</v>
      </c>
      <c r="F76" s="651">
        <v>94</v>
      </c>
      <c r="G76" s="651"/>
      <c r="H76" s="651"/>
      <c r="I76" s="651"/>
      <c r="J76" s="651"/>
      <c r="K76" s="651"/>
      <c r="L76" s="651"/>
      <c r="M76" s="652"/>
      <c r="N76" s="2146"/>
      <c r="O76" s="2146"/>
      <c r="P76" s="2145"/>
      <c r="Q76" s="2138"/>
      <c r="R76" s="1969"/>
      <c r="S76" s="1969"/>
      <c r="T76" s="1969"/>
      <c r="U76" s="1969"/>
      <c r="V76" s="1969"/>
      <c r="W76" s="1969"/>
      <c r="X76" s="1969"/>
      <c r="Y76" s="1969"/>
      <c r="Z76" s="1969"/>
      <c r="AA76" s="1969"/>
      <c r="AB76" s="1969"/>
      <c r="AC76" s="1969"/>
    </row>
    <row r="77" spans="1:29" s="1324" customFormat="1" ht="15.75" thickTop="1">
      <c r="A77" s="667"/>
      <c r="B77" s="653">
        <f>B25</f>
        <v>0</v>
      </c>
      <c r="C77" s="668">
        <v>111</v>
      </c>
      <c r="D77" s="668">
        <v>222</v>
      </c>
      <c r="E77" s="668">
        <v>333</v>
      </c>
      <c r="F77" s="668">
        <v>444</v>
      </c>
      <c r="G77" s="668"/>
      <c r="H77" s="669"/>
      <c r="I77" s="669"/>
      <c r="J77" s="669"/>
      <c r="K77" s="669"/>
      <c r="L77" s="670"/>
      <c r="M77" s="671"/>
      <c r="N77" s="2147"/>
      <c r="O77" s="2147"/>
      <c r="P77" s="2148"/>
      <c r="Q77" s="2149"/>
      <c r="R77" s="2150"/>
      <c r="S77" s="2150"/>
      <c r="T77" s="2150"/>
      <c r="U77" s="2150"/>
      <c r="V77" s="2150"/>
      <c r="W77" s="2150"/>
      <c r="X77" s="2150"/>
      <c r="Y77" s="2150"/>
      <c r="Z77" s="2150"/>
      <c r="AA77" s="2150"/>
      <c r="AB77" s="2150"/>
      <c r="AC77" s="2150"/>
    </row>
    <row r="78" spans="1:29" s="1324" customFormat="1" ht="15.75" thickBot="1">
      <c r="A78" s="667"/>
      <c r="B78" s="658"/>
      <c r="C78" s="672">
        <v>100</v>
      </c>
      <c r="D78" s="672">
        <v>97</v>
      </c>
      <c r="E78" s="672">
        <v>94</v>
      </c>
      <c r="F78" s="672">
        <v>91</v>
      </c>
      <c r="G78" s="651"/>
      <c r="H78" s="651"/>
      <c r="I78" s="651"/>
      <c r="J78" s="651"/>
      <c r="K78" s="651"/>
      <c r="L78" s="651"/>
      <c r="M78" s="652"/>
      <c r="N78" s="2147"/>
      <c r="O78" s="2147"/>
      <c r="P78" s="2148"/>
      <c r="Q78" s="2149"/>
      <c r="R78" s="2150"/>
      <c r="S78" s="2150"/>
      <c r="T78" s="2150"/>
      <c r="U78" s="2150"/>
      <c r="V78" s="2150"/>
      <c r="W78" s="2150"/>
      <c r="X78" s="2150"/>
      <c r="Y78" s="2150"/>
      <c r="Z78" s="2150"/>
      <c r="AA78" s="2150"/>
      <c r="AB78" s="2150"/>
      <c r="AC78" s="2150"/>
    </row>
    <row r="79" spans="1:29" ht="27.75" thickTop="1">
      <c r="A79" s="644" t="s">
        <v>544</v>
      </c>
      <c r="B79" s="645" t="s">
        <v>983</v>
      </c>
      <c r="C79" s="684" t="str">
        <f>C26</f>
        <v>住宅</v>
      </c>
      <c r="D79" s="578" t="s">
        <v>984</v>
      </c>
      <c r="E79" s="578" t="s">
        <v>985</v>
      </c>
      <c r="F79" s="578"/>
      <c r="G79" s="578"/>
      <c r="H79" s="578"/>
      <c r="I79" s="578"/>
      <c r="J79" s="578"/>
      <c r="K79" s="646"/>
      <c r="L79" s="647"/>
      <c r="M79" s="648"/>
      <c r="N79" s="2144"/>
      <c r="O79" s="2144"/>
      <c r="P79" s="2145"/>
      <c r="Q79" s="2138"/>
      <c r="R79" s="2125"/>
      <c r="S79" s="2125"/>
      <c r="T79" s="2125"/>
      <c r="U79" s="2125"/>
      <c r="V79" s="2125"/>
      <c r="W79" s="2125"/>
      <c r="X79" s="2125"/>
      <c r="Y79" s="2125"/>
      <c r="Z79" s="2125"/>
      <c r="AA79" s="2125"/>
      <c r="AB79" s="2125"/>
      <c r="AC79" s="2125"/>
    </row>
    <row r="80" spans="1:29" ht="15.75" thickBot="1">
      <c r="A80" s="649"/>
      <c r="B80" s="658"/>
      <c r="C80" s="659">
        <v>100</v>
      </c>
      <c r="D80" s="659">
        <f t="shared" ref="D80:M80" si="17">C80-$K26</f>
        <v>95</v>
      </c>
      <c r="E80" s="659">
        <f t="shared" si="17"/>
        <v>90</v>
      </c>
      <c r="F80" s="659">
        <f t="shared" si="17"/>
        <v>85</v>
      </c>
      <c r="G80" s="659">
        <f t="shared" si="17"/>
        <v>80</v>
      </c>
      <c r="H80" s="659">
        <f t="shared" si="17"/>
        <v>75</v>
      </c>
      <c r="I80" s="659">
        <f t="shared" si="17"/>
        <v>70</v>
      </c>
      <c r="J80" s="659">
        <f t="shared" si="17"/>
        <v>65</v>
      </c>
      <c r="K80" s="659">
        <f t="shared" si="17"/>
        <v>60</v>
      </c>
      <c r="L80" s="659">
        <f t="shared" si="17"/>
        <v>55</v>
      </c>
      <c r="M80" s="660">
        <f t="shared" si="17"/>
        <v>50</v>
      </c>
      <c r="N80" s="2146"/>
      <c r="O80" s="2146"/>
      <c r="P80" s="2145"/>
      <c r="Q80" s="2138"/>
      <c r="R80" s="2125"/>
      <c r="S80" s="2125"/>
      <c r="T80" s="2125"/>
      <c r="U80" s="2125"/>
      <c r="V80" s="2125"/>
      <c r="W80" s="2125"/>
      <c r="X80" s="2125"/>
      <c r="Y80" s="2125"/>
      <c r="Z80" s="2125"/>
      <c r="AA80" s="2125"/>
      <c r="AB80" s="2125"/>
      <c r="AC80" s="2125"/>
    </row>
    <row r="81" spans="1:29" ht="15.75" thickTop="1">
      <c r="A81" s="649"/>
      <c r="B81" s="653" t="s">
        <v>986</v>
      </c>
      <c r="C81" s="915" t="s">
        <v>27</v>
      </c>
      <c r="D81" s="915" t="s">
        <v>30</v>
      </c>
      <c r="E81" s="915" t="s">
        <v>29</v>
      </c>
      <c r="F81" s="915" t="s">
        <v>28</v>
      </c>
      <c r="G81" s="915"/>
      <c r="H81" s="915"/>
      <c r="I81" s="915"/>
      <c r="J81" s="915"/>
      <c r="K81" s="916"/>
      <c r="L81" s="917"/>
      <c r="M81" s="918"/>
      <c r="N81" s="2142"/>
      <c r="O81" s="2142"/>
      <c r="P81" s="2145"/>
      <c r="Q81" s="2138"/>
      <c r="R81" s="2125"/>
      <c r="S81" s="2125"/>
      <c r="T81" s="2125"/>
      <c r="U81" s="2125"/>
      <c r="V81" s="2125"/>
      <c r="W81" s="2125"/>
      <c r="X81" s="2125"/>
      <c r="Y81" s="2125"/>
      <c r="Z81" s="2125"/>
      <c r="AA81" s="2125"/>
      <c r="AB81" s="2125"/>
      <c r="AC81" s="2125"/>
    </row>
    <row r="82" spans="1:29" s="1324" customFormat="1" ht="15.75" thickBot="1">
      <c r="A82" s="667"/>
      <c r="B82" s="658"/>
      <c r="C82" s="672">
        <v>100</v>
      </c>
      <c r="D82" s="651">
        <v>102</v>
      </c>
      <c r="E82" s="651">
        <v>104</v>
      </c>
      <c r="F82" s="651">
        <v>106</v>
      </c>
      <c r="G82" s="651">
        <v>108</v>
      </c>
      <c r="H82" s="651">
        <v>110</v>
      </c>
      <c r="I82" s="651"/>
      <c r="J82" s="651"/>
      <c r="K82" s="651"/>
      <c r="L82" s="651"/>
      <c r="M82" s="652"/>
      <c r="N82" s="2146"/>
      <c r="O82" s="2146"/>
      <c r="P82" s="2148"/>
      <c r="Q82" s="2149"/>
      <c r="R82" s="2150"/>
      <c r="S82" s="2150"/>
      <c r="T82" s="2150"/>
      <c r="U82" s="2150"/>
      <c r="V82" s="2150"/>
      <c r="W82" s="2150"/>
      <c r="X82" s="2150"/>
      <c r="Y82" s="2150"/>
      <c r="Z82" s="2150"/>
      <c r="AA82" s="2150"/>
      <c r="AB82" s="2150"/>
      <c r="AC82" s="2150"/>
    </row>
    <row r="83" spans="1:29" ht="15" thickTop="1">
      <c r="A83" s="715"/>
      <c r="B83" s="653" t="s">
        <v>826</v>
      </c>
      <c r="C83" s="668" t="s">
        <v>828</v>
      </c>
      <c r="D83" s="668" t="s">
        <v>950</v>
      </c>
      <c r="E83" s="698"/>
      <c r="F83" s="698"/>
      <c r="G83" s="698"/>
      <c r="H83" s="698"/>
      <c r="I83" s="698"/>
      <c r="J83" s="698"/>
      <c r="K83" s="699"/>
      <c r="L83" s="700"/>
      <c r="M83" s="701"/>
      <c r="N83" s="2144"/>
      <c r="O83" s="2144"/>
      <c r="P83" s="2145"/>
      <c r="Q83" s="2138"/>
      <c r="R83" s="2125"/>
      <c r="S83" s="2125"/>
      <c r="T83" s="2125"/>
      <c r="U83" s="2125"/>
      <c r="V83" s="2125"/>
      <c r="W83" s="2125"/>
      <c r="X83" s="2125"/>
      <c r="Y83" s="2125"/>
      <c r="Z83" s="2125"/>
      <c r="AA83" s="2125"/>
      <c r="AB83" s="2125"/>
      <c r="AC83" s="2125"/>
    </row>
    <row r="84" spans="1:29" ht="15.75" thickBot="1">
      <c r="A84" s="649"/>
      <c r="B84" s="658"/>
      <c r="C84" s="659">
        <v>100</v>
      </c>
      <c r="D84" s="659">
        <f t="shared" ref="D84:M84" si="18">C84-$K28</f>
        <v>98</v>
      </c>
      <c r="E84" s="659">
        <f t="shared" si="18"/>
        <v>96</v>
      </c>
      <c r="F84" s="659">
        <f t="shared" si="18"/>
        <v>94</v>
      </c>
      <c r="G84" s="659">
        <f t="shared" si="18"/>
        <v>92</v>
      </c>
      <c r="H84" s="659">
        <f t="shared" si="18"/>
        <v>90</v>
      </c>
      <c r="I84" s="659">
        <f t="shared" si="18"/>
        <v>88</v>
      </c>
      <c r="J84" s="659">
        <f t="shared" si="18"/>
        <v>86</v>
      </c>
      <c r="K84" s="659">
        <f t="shared" si="18"/>
        <v>84</v>
      </c>
      <c r="L84" s="659">
        <f t="shared" si="18"/>
        <v>82</v>
      </c>
      <c r="M84" s="660">
        <f t="shared" si="18"/>
        <v>80</v>
      </c>
      <c r="N84" s="2146"/>
      <c r="O84" s="2146"/>
      <c r="P84" s="2145"/>
      <c r="Q84" s="2138"/>
      <c r="R84" s="2125"/>
      <c r="S84" s="2125"/>
      <c r="T84" s="2125"/>
      <c r="U84" s="2125"/>
      <c r="V84" s="2125"/>
      <c r="W84" s="2125"/>
      <c r="X84" s="2125"/>
      <c r="Y84" s="2125"/>
      <c r="Z84" s="2125"/>
      <c r="AA84" s="2125"/>
      <c r="AB84" s="2125"/>
      <c r="AC84" s="2125"/>
    </row>
    <row r="85" spans="1:29" ht="15" thickTop="1">
      <c r="A85" s="715"/>
      <c r="B85" s="653" t="s">
        <v>987</v>
      </c>
      <c r="C85" s="688" t="str">
        <f>C86&amp;"(含)"&amp;"-"&amp;D86</f>
        <v>0.5(含)-0.6</v>
      </c>
      <c r="D85" s="688" t="str">
        <f>D86&amp;"(含)"&amp;"-"&amp;E86</f>
        <v>0.6(含)-0.7</v>
      </c>
      <c r="E85" s="688" t="str">
        <f>E86&amp;"(含)"&amp;"-"&amp;F86</f>
        <v>0.7(含)-0.8</v>
      </c>
      <c r="F85" s="688" t="str">
        <f>F86&amp;"(含)"&amp;"-"&amp;G86</f>
        <v>0.8(含)-0.9</v>
      </c>
      <c r="G85" s="688" t="str">
        <f>G86&amp;"(含)"&amp;"-"&amp;ROUND(H86,0)</f>
        <v>0.9(含)-1</v>
      </c>
      <c r="H85" s="688"/>
      <c r="I85" s="698"/>
      <c r="J85" s="698"/>
      <c r="K85" s="699"/>
      <c r="L85" s="700"/>
      <c r="M85" s="701"/>
      <c r="N85" s="2144"/>
      <c r="O85" s="2144"/>
      <c r="P85" s="2145"/>
      <c r="Q85" s="2138"/>
      <c r="R85" s="2125"/>
      <c r="S85" s="2125"/>
      <c r="T85" s="2125"/>
      <c r="U85" s="2125"/>
      <c r="V85" s="2125"/>
      <c r="W85" s="2125"/>
      <c r="X85" s="2125"/>
      <c r="Y85" s="2125"/>
      <c r="Z85" s="2125"/>
      <c r="AA85" s="2125"/>
      <c r="AB85" s="2125"/>
      <c r="AC85" s="2125"/>
    </row>
    <row r="86" spans="1:29">
      <c r="A86" s="715"/>
      <c r="B86" s="661"/>
      <c r="C86" s="874">
        <v>0.5</v>
      </c>
      <c r="D86" s="874">
        <v>0.6</v>
      </c>
      <c r="E86" s="874">
        <v>0.7</v>
      </c>
      <c r="F86" s="874">
        <v>0.8</v>
      </c>
      <c r="G86" s="874">
        <v>0.9</v>
      </c>
      <c r="H86" s="874">
        <v>1.0001</v>
      </c>
      <c r="I86" s="884"/>
      <c r="J86" s="884"/>
      <c r="K86" s="885"/>
      <c r="L86" s="886"/>
      <c r="M86" s="887"/>
      <c r="N86" s="2144"/>
      <c r="O86" s="2144"/>
      <c r="P86" s="2145"/>
      <c r="Q86" s="2138"/>
      <c r="R86" s="2125"/>
      <c r="S86" s="2125"/>
      <c r="T86" s="2125"/>
      <c r="U86" s="2125"/>
      <c r="V86" s="2125"/>
      <c r="W86" s="2125"/>
      <c r="X86" s="2125"/>
      <c r="Y86" s="2125"/>
      <c r="Z86" s="2125"/>
      <c r="AA86" s="2125"/>
      <c r="AB86" s="2125"/>
      <c r="AC86" s="2125"/>
    </row>
    <row r="87" spans="1:29" ht="15.75" thickBot="1">
      <c r="A87" s="649"/>
      <c r="B87" s="658"/>
      <c r="C87" s="692">
        <v>100</v>
      </c>
      <c r="D87" s="659">
        <f>C87+$K$29</f>
        <v>102</v>
      </c>
      <c r="E87" s="659">
        <f t="shared" ref="E87:M87" si="19">D87+$K$29</f>
        <v>104</v>
      </c>
      <c r="F87" s="659">
        <f t="shared" si="19"/>
        <v>106</v>
      </c>
      <c r="G87" s="659">
        <f t="shared" si="19"/>
        <v>108</v>
      </c>
      <c r="H87" s="659">
        <f t="shared" si="19"/>
        <v>110</v>
      </c>
      <c r="I87" s="659">
        <f t="shared" si="19"/>
        <v>112</v>
      </c>
      <c r="J87" s="659">
        <f t="shared" si="19"/>
        <v>114</v>
      </c>
      <c r="K87" s="659">
        <f t="shared" si="19"/>
        <v>116</v>
      </c>
      <c r="L87" s="659">
        <f t="shared" si="19"/>
        <v>118</v>
      </c>
      <c r="M87" s="659">
        <f t="shared" si="19"/>
        <v>120</v>
      </c>
      <c r="N87" s="2146"/>
      <c r="O87" s="2146"/>
      <c r="P87" s="2145"/>
      <c r="Q87" s="2138"/>
      <c r="R87" s="2125"/>
      <c r="S87" s="2125"/>
      <c r="T87" s="2125"/>
      <c r="U87" s="2125"/>
      <c r="V87" s="2125"/>
      <c r="W87" s="2125"/>
      <c r="X87" s="2125"/>
      <c r="Y87" s="2125"/>
      <c r="Z87" s="2125"/>
      <c r="AA87" s="2125"/>
      <c r="AB87" s="2125"/>
      <c r="AC87" s="2125"/>
    </row>
    <row r="88" spans="1:29" ht="15" thickTop="1">
      <c r="A88" s="715"/>
      <c r="B88" s="661" t="s">
        <v>988</v>
      </c>
      <c r="C88" s="578" t="s">
        <v>989</v>
      </c>
      <c r="D88" s="578" t="s">
        <v>990</v>
      </c>
      <c r="E88" s="578" t="s">
        <v>991</v>
      </c>
      <c r="F88" s="578"/>
      <c r="G88" s="578"/>
      <c r="H88" s="578"/>
      <c r="I88" s="578"/>
      <c r="J88" s="578"/>
      <c r="K88" s="646"/>
      <c r="L88" s="647"/>
      <c r="M88" s="648"/>
      <c r="N88" s="2144"/>
      <c r="O88" s="2144"/>
      <c r="P88" s="2145"/>
      <c r="Q88" s="2138"/>
      <c r="R88" s="2125"/>
      <c r="S88" s="2125"/>
      <c r="T88" s="2125"/>
      <c r="U88" s="2125"/>
      <c r="V88" s="2125"/>
      <c r="W88" s="2125"/>
      <c r="X88" s="2125"/>
      <c r="Y88" s="2125"/>
      <c r="Z88" s="2125"/>
      <c r="AA88" s="2125"/>
      <c r="AB88" s="2125"/>
      <c r="AC88" s="2125"/>
    </row>
    <row r="89" spans="1:29" ht="15.75" thickBot="1">
      <c r="A89" s="649"/>
      <c r="B89" s="658"/>
      <c r="C89" s="692">
        <v>100</v>
      </c>
      <c r="D89" s="659">
        <f t="shared" ref="D89:M89" si="20">C89+$K30</f>
        <v>102</v>
      </c>
      <c r="E89" s="659">
        <f t="shared" si="20"/>
        <v>104</v>
      </c>
      <c r="F89" s="659">
        <f t="shared" si="20"/>
        <v>106</v>
      </c>
      <c r="G89" s="659">
        <f t="shared" si="20"/>
        <v>108</v>
      </c>
      <c r="H89" s="659">
        <f t="shared" si="20"/>
        <v>110</v>
      </c>
      <c r="I89" s="659">
        <f t="shared" si="20"/>
        <v>112</v>
      </c>
      <c r="J89" s="659">
        <f t="shared" si="20"/>
        <v>114</v>
      </c>
      <c r="K89" s="659">
        <f t="shared" si="20"/>
        <v>116</v>
      </c>
      <c r="L89" s="659">
        <f t="shared" si="20"/>
        <v>118</v>
      </c>
      <c r="M89" s="659">
        <f t="shared" si="20"/>
        <v>120</v>
      </c>
      <c r="N89" s="2146"/>
      <c r="O89" s="2146"/>
      <c r="P89" s="2145"/>
      <c r="Q89" s="2138"/>
      <c r="R89" s="2125"/>
      <c r="S89" s="2125"/>
      <c r="T89" s="2125"/>
      <c r="U89" s="2125"/>
      <c r="V89" s="2125"/>
      <c r="W89" s="2125"/>
      <c r="X89" s="2125"/>
      <c r="Y89" s="2125"/>
      <c r="Z89" s="2125"/>
      <c r="AA89" s="2125"/>
      <c r="AB89" s="2125"/>
      <c r="AC89" s="2125"/>
    </row>
    <row r="90" spans="1:29" s="1324" customFormat="1" ht="15" thickTop="1">
      <c r="A90" s="708"/>
      <c r="B90" s="653" t="s">
        <v>992</v>
      </c>
      <c r="C90" s="688" t="str">
        <f>C91&amp;"(含)"&amp;"-"&amp;D91</f>
        <v>0(含)-40</v>
      </c>
      <c r="D90" s="688" t="str">
        <f t="shared" ref="D90:L90" si="21">D91&amp;"(含)"&amp;"-"&amp;E91</f>
        <v>40(含)-70</v>
      </c>
      <c r="E90" s="688" t="str">
        <f t="shared" si="21"/>
        <v>70(含)-</v>
      </c>
      <c r="F90" s="688" t="str">
        <f t="shared" si="21"/>
        <v>(含)-</v>
      </c>
      <c r="G90" s="688" t="str">
        <f t="shared" si="21"/>
        <v>(含)-</v>
      </c>
      <c r="H90" s="688" t="str">
        <f t="shared" si="21"/>
        <v>(含)-</v>
      </c>
      <c r="I90" s="688" t="str">
        <f t="shared" si="21"/>
        <v>(含)-</v>
      </c>
      <c r="J90" s="688" t="str">
        <f t="shared" si="21"/>
        <v>(含)-</v>
      </c>
      <c r="K90" s="688" t="str">
        <f t="shared" si="21"/>
        <v>(含)-</v>
      </c>
      <c r="L90" s="688" t="str">
        <f t="shared" si="21"/>
        <v>(含)-</v>
      </c>
      <c r="M90" s="691" t="str">
        <f>M91&amp;"(含)"&amp;"-"&amp;P91</f>
        <v>(含)-</v>
      </c>
      <c r="N90" s="2147"/>
      <c r="O90" s="2147"/>
      <c r="P90" s="2148"/>
      <c r="Q90" s="2149"/>
      <c r="R90" s="2150"/>
      <c r="S90" s="2150"/>
      <c r="T90" s="2150"/>
      <c r="U90" s="2150"/>
      <c r="V90" s="2150"/>
      <c r="W90" s="2150"/>
      <c r="X90" s="2150"/>
      <c r="Y90" s="2150"/>
      <c r="Z90" s="2150"/>
      <c r="AA90" s="2150"/>
      <c r="AB90" s="2150"/>
      <c r="AC90" s="2150"/>
    </row>
    <row r="91" spans="1:29" s="1324" customFormat="1">
      <c r="A91" s="708"/>
      <c r="B91" s="661"/>
      <c r="C91" s="710">
        <v>0</v>
      </c>
      <c r="D91" s="710">
        <v>40</v>
      </c>
      <c r="E91" s="710">
        <v>70</v>
      </c>
      <c r="F91" s="710"/>
      <c r="G91" s="710"/>
      <c r="H91" s="710"/>
      <c r="I91" s="710"/>
      <c r="J91" s="711"/>
      <c r="K91" s="711"/>
      <c r="L91" s="712"/>
      <c r="M91" s="713"/>
      <c r="N91" s="2147"/>
      <c r="O91" s="2147"/>
      <c r="P91" s="2148"/>
      <c r="Q91" s="2149"/>
      <c r="R91" s="2150"/>
      <c r="S91" s="2150"/>
      <c r="T91" s="2150"/>
      <c r="U91" s="2150"/>
      <c r="V91" s="2150"/>
      <c r="W91" s="2150"/>
      <c r="X91" s="2150"/>
      <c r="Y91" s="2150"/>
      <c r="Z91" s="2150"/>
      <c r="AA91" s="2150"/>
      <c r="AB91" s="2150"/>
      <c r="AC91" s="2150"/>
    </row>
    <row r="92" spans="1:29" s="1324" customFormat="1" ht="15.75" thickBot="1">
      <c r="A92" s="667"/>
      <c r="B92" s="658"/>
      <c r="C92" s="672">
        <v>100</v>
      </c>
      <c r="D92" s="651">
        <v>102</v>
      </c>
      <c r="E92" s="651">
        <v>104</v>
      </c>
      <c r="F92" s="651"/>
      <c r="G92" s="651"/>
      <c r="H92" s="651"/>
      <c r="I92" s="651"/>
      <c r="J92" s="651"/>
      <c r="K92" s="651"/>
      <c r="L92" s="651"/>
      <c r="M92" s="652"/>
      <c r="N92" s="2147"/>
      <c r="O92" s="2147"/>
      <c r="P92" s="2148"/>
      <c r="Q92" s="2149"/>
      <c r="R92" s="2150"/>
      <c r="S92" s="2150"/>
      <c r="T92" s="2150"/>
      <c r="U92" s="2150"/>
      <c r="V92" s="2150"/>
      <c r="W92" s="2150"/>
      <c r="X92" s="2150"/>
      <c r="Y92" s="2150"/>
      <c r="Z92" s="2150"/>
      <c r="AA92" s="2150"/>
      <c r="AB92" s="2150"/>
      <c r="AC92" s="2150"/>
    </row>
    <row r="93" spans="1:29" ht="15" thickTop="1">
      <c r="A93" s="715"/>
      <c r="B93" s="653" t="s">
        <v>993</v>
      </c>
      <c r="C93" s="668" t="s">
        <v>994</v>
      </c>
      <c r="D93" s="668" t="s">
        <v>995</v>
      </c>
      <c r="E93" s="698"/>
      <c r="F93" s="698"/>
      <c r="G93" s="698"/>
      <c r="H93" s="698"/>
      <c r="I93" s="698"/>
      <c r="J93" s="698"/>
      <c r="K93" s="699"/>
      <c r="L93" s="700"/>
      <c r="M93" s="701"/>
      <c r="N93" s="2144"/>
      <c r="O93" s="2144"/>
      <c r="P93" s="2145"/>
      <c r="Q93" s="2138"/>
      <c r="R93" s="2125"/>
      <c r="S93" s="2125"/>
      <c r="T93" s="2125"/>
      <c r="U93" s="2125"/>
      <c r="V93" s="2125"/>
      <c r="W93" s="2125"/>
      <c r="X93" s="2125"/>
      <c r="Y93" s="2125"/>
      <c r="Z93" s="2125"/>
      <c r="AA93" s="2125"/>
      <c r="AB93" s="2125"/>
      <c r="AC93" s="2125"/>
    </row>
    <row r="94" spans="1:29" ht="15.75" thickBot="1">
      <c r="A94" s="649"/>
      <c r="B94" s="658"/>
      <c r="C94" s="659">
        <v>100</v>
      </c>
      <c r="D94" s="659">
        <f t="shared" ref="D94:M94" si="22">C94-$K32</f>
        <v>98</v>
      </c>
      <c r="E94" s="659">
        <f t="shared" si="22"/>
        <v>96</v>
      </c>
      <c r="F94" s="659">
        <f t="shared" si="22"/>
        <v>94</v>
      </c>
      <c r="G94" s="659">
        <f t="shared" si="22"/>
        <v>92</v>
      </c>
      <c r="H94" s="659">
        <f t="shared" si="22"/>
        <v>90</v>
      </c>
      <c r="I94" s="659">
        <f t="shared" si="22"/>
        <v>88</v>
      </c>
      <c r="J94" s="659">
        <f t="shared" si="22"/>
        <v>86</v>
      </c>
      <c r="K94" s="659">
        <f t="shared" si="22"/>
        <v>84</v>
      </c>
      <c r="L94" s="659">
        <f t="shared" si="22"/>
        <v>82</v>
      </c>
      <c r="M94" s="660">
        <f t="shared" si="22"/>
        <v>80</v>
      </c>
      <c r="N94" s="2146"/>
      <c r="O94" s="2146"/>
      <c r="P94" s="2145"/>
      <c r="Q94" s="2138"/>
      <c r="R94" s="2125"/>
      <c r="S94" s="2125"/>
      <c r="T94" s="2125"/>
      <c r="U94" s="2125"/>
      <c r="V94" s="2125"/>
      <c r="W94" s="2125"/>
      <c r="X94" s="2125"/>
      <c r="Y94" s="2125"/>
      <c r="Z94" s="2125"/>
      <c r="AA94" s="2125"/>
      <c r="AB94" s="2125"/>
      <c r="AC94" s="2125"/>
    </row>
    <row r="95" spans="1:29" ht="15" thickTop="1">
      <c r="A95" s="715"/>
      <c r="B95" s="653" t="s">
        <v>996</v>
      </c>
      <c r="C95" s="578" t="s">
        <v>997</v>
      </c>
      <c r="D95" s="578" t="s">
        <v>998</v>
      </c>
      <c r="E95" s="578"/>
      <c r="F95" s="578"/>
      <c r="G95" s="578"/>
      <c r="H95" s="578"/>
      <c r="I95" s="578"/>
      <c r="J95" s="578"/>
      <c r="K95" s="646"/>
      <c r="L95" s="647"/>
      <c r="M95" s="648"/>
      <c r="N95" s="2144"/>
      <c r="O95" s="2144"/>
      <c r="P95" s="2145"/>
      <c r="Q95" s="2138"/>
      <c r="R95" s="2125"/>
      <c r="S95" s="2125"/>
      <c r="T95" s="2125"/>
      <c r="U95" s="2125"/>
      <c r="V95" s="2125"/>
      <c r="W95" s="2125"/>
      <c r="X95" s="2125"/>
      <c r="Y95" s="2125"/>
      <c r="Z95" s="2125"/>
      <c r="AA95" s="2125"/>
      <c r="AB95" s="2125"/>
      <c r="AC95" s="2125"/>
    </row>
    <row r="96" spans="1:29" ht="15.75" thickBot="1">
      <c r="A96" s="649"/>
      <c r="B96" s="658"/>
      <c r="C96" s="659">
        <v>100</v>
      </c>
      <c r="D96" s="659">
        <f>C96-$K33</f>
        <v>98</v>
      </c>
      <c r="E96" s="659">
        <f>D96-$K33</f>
        <v>96</v>
      </c>
      <c r="F96" s="659">
        <f>E96-$K33</f>
        <v>94</v>
      </c>
      <c r="G96" s="659">
        <f>F96-$K33</f>
        <v>92</v>
      </c>
      <c r="H96" s="659"/>
      <c r="I96" s="659"/>
      <c r="J96" s="659"/>
      <c r="K96" s="659"/>
      <c r="L96" s="659"/>
      <c r="M96" s="660"/>
      <c r="N96" s="2146"/>
      <c r="O96" s="2146"/>
      <c r="P96" s="2145"/>
      <c r="Q96" s="2138"/>
      <c r="R96" s="2125"/>
      <c r="S96" s="2125"/>
      <c r="T96" s="2125"/>
      <c r="U96" s="2125"/>
      <c r="V96" s="2125"/>
      <c r="W96" s="2125"/>
      <c r="X96" s="2125"/>
      <c r="Y96" s="2125"/>
      <c r="Z96" s="2125"/>
      <c r="AA96" s="2125"/>
      <c r="AB96" s="2125"/>
      <c r="AC96" s="2125"/>
    </row>
    <row r="97" spans="1:29" ht="15" thickTop="1">
      <c r="A97" s="715"/>
      <c r="B97" s="896">
        <f>B34</f>
        <v>0</v>
      </c>
      <c r="C97" s="521">
        <v>111</v>
      </c>
      <c r="D97" s="521">
        <v>222</v>
      </c>
      <c r="E97" s="521">
        <v>333</v>
      </c>
      <c r="F97" s="521">
        <v>444</v>
      </c>
      <c r="G97" s="668"/>
      <c r="H97" s="669"/>
      <c r="I97" s="669"/>
      <c r="J97" s="669"/>
      <c r="K97" s="669"/>
      <c r="L97" s="670"/>
      <c r="M97" s="671"/>
      <c r="N97" s="2146"/>
      <c r="O97" s="2146"/>
      <c r="P97" s="2185"/>
      <c r="Q97" s="2186"/>
      <c r="R97" s="2125"/>
      <c r="S97" s="2125"/>
      <c r="T97" s="2125"/>
      <c r="U97" s="2125"/>
      <c r="V97" s="2125"/>
      <c r="W97" s="2125"/>
      <c r="X97" s="2125"/>
      <c r="Y97" s="2125"/>
      <c r="Z97" s="2125"/>
      <c r="AA97" s="2125"/>
      <c r="AB97" s="2125"/>
      <c r="AC97" s="2125"/>
    </row>
    <row r="98" spans="1:29" ht="15.75" thickBot="1">
      <c r="A98" s="649"/>
      <c r="B98" s="658"/>
      <c r="C98" s="672">
        <v>100</v>
      </c>
      <c r="D98" s="651">
        <v>99</v>
      </c>
      <c r="E98" s="651">
        <v>98</v>
      </c>
      <c r="F98" s="651">
        <v>97</v>
      </c>
      <c r="G98" s="672"/>
      <c r="H98" s="673"/>
      <c r="I98" s="673"/>
      <c r="J98" s="673"/>
      <c r="K98" s="673"/>
      <c r="L98" s="673"/>
      <c r="M98" s="674"/>
      <c r="N98" s="2146"/>
      <c r="O98" s="2146"/>
      <c r="P98" s="2145"/>
      <c r="Q98" s="2138"/>
      <c r="R98" s="2125"/>
      <c r="S98" s="2125"/>
      <c r="T98" s="2125"/>
      <c r="U98" s="2125"/>
      <c r="V98" s="2125"/>
      <c r="W98" s="2125"/>
      <c r="X98" s="2125"/>
      <c r="Y98" s="2125"/>
      <c r="Z98" s="2125"/>
      <c r="AA98" s="2125"/>
      <c r="AB98" s="2125"/>
      <c r="AC98" s="2125"/>
    </row>
    <row r="99" spans="1:29" s="1324" customFormat="1" ht="15" thickTop="1">
      <c r="A99" s="708"/>
      <c r="B99" s="653">
        <f>B35</f>
        <v>0</v>
      </c>
      <c r="C99" s="521">
        <v>111</v>
      </c>
      <c r="D99" s="521">
        <v>222</v>
      </c>
      <c r="E99" s="521">
        <v>333</v>
      </c>
      <c r="F99" s="521">
        <v>444</v>
      </c>
      <c r="G99" s="668"/>
      <c r="H99" s="669"/>
      <c r="I99" s="669"/>
      <c r="J99" s="669"/>
      <c r="K99" s="669"/>
      <c r="L99" s="670"/>
      <c r="M99" s="671"/>
      <c r="N99" s="2147"/>
      <c r="O99" s="2147"/>
      <c r="P99" s="2148"/>
      <c r="Q99" s="2149"/>
      <c r="R99" s="2150"/>
      <c r="S99" s="2150"/>
      <c r="T99" s="2150"/>
      <c r="U99" s="2150"/>
      <c r="V99" s="2150"/>
      <c r="W99" s="2150"/>
      <c r="X99" s="2150"/>
      <c r="Y99" s="2150"/>
      <c r="Z99" s="2150"/>
      <c r="AA99" s="2150"/>
      <c r="AB99" s="2150"/>
      <c r="AC99" s="2150"/>
    </row>
    <row r="100" spans="1:29" s="1324" customFormat="1" ht="15.75" thickBot="1">
      <c r="A100" s="667"/>
      <c r="B100" s="650"/>
      <c r="C100" s="672">
        <v>100</v>
      </c>
      <c r="D100" s="651">
        <v>98</v>
      </c>
      <c r="E100" s="651">
        <v>96</v>
      </c>
      <c r="F100" s="651">
        <v>94</v>
      </c>
      <c r="G100" s="672"/>
      <c r="H100" s="673"/>
      <c r="I100" s="673"/>
      <c r="J100" s="673"/>
      <c r="K100" s="673"/>
      <c r="L100" s="673"/>
      <c r="M100" s="674"/>
      <c r="N100" s="2147"/>
      <c r="O100" s="2147"/>
      <c r="P100" s="2148"/>
      <c r="Q100" s="2149"/>
      <c r="R100" s="2150"/>
      <c r="S100" s="2150"/>
      <c r="T100" s="2150"/>
      <c r="U100" s="2150"/>
      <c r="V100" s="2150"/>
      <c r="W100" s="2150"/>
      <c r="X100" s="2150"/>
      <c r="Y100" s="2150"/>
      <c r="Z100" s="2150"/>
      <c r="AA100" s="2150"/>
      <c r="AB100" s="2150"/>
      <c r="AC100" s="2150"/>
    </row>
    <row r="101" spans="1:29" ht="15" thickTop="1">
      <c r="A101" s="715"/>
      <c r="B101" s="653">
        <f>B36</f>
        <v>0</v>
      </c>
      <c r="C101" s="668">
        <v>111</v>
      </c>
      <c r="D101" s="668">
        <v>222</v>
      </c>
      <c r="E101" s="668">
        <v>333</v>
      </c>
      <c r="F101" s="668">
        <v>444</v>
      </c>
      <c r="G101" s="668"/>
      <c r="H101" s="669"/>
      <c r="I101" s="669"/>
      <c r="J101" s="669"/>
      <c r="K101" s="669"/>
      <c r="L101" s="670"/>
      <c r="M101" s="671"/>
      <c r="N101" s="2144"/>
      <c r="O101" s="2144"/>
      <c r="P101" s="2145"/>
      <c r="Q101" s="2138"/>
      <c r="R101" s="2125"/>
      <c r="S101" s="2125"/>
      <c r="T101" s="2125"/>
      <c r="U101" s="2125"/>
      <c r="V101" s="2125"/>
      <c r="W101" s="2125"/>
      <c r="X101" s="2125"/>
      <c r="Y101" s="2125"/>
      <c r="Z101" s="2125"/>
      <c r="AA101" s="2125"/>
      <c r="AB101" s="2125"/>
      <c r="AC101" s="2125"/>
    </row>
    <row r="102" spans="1:29" ht="15.75" thickBot="1">
      <c r="A102" s="649"/>
      <c r="B102" s="658"/>
      <c r="C102" s="672">
        <v>100</v>
      </c>
      <c r="D102" s="672">
        <v>97</v>
      </c>
      <c r="E102" s="672">
        <v>94</v>
      </c>
      <c r="F102" s="672">
        <v>91</v>
      </c>
      <c r="G102" s="672"/>
      <c r="H102" s="673"/>
      <c r="I102" s="673"/>
      <c r="J102" s="673"/>
      <c r="K102" s="673"/>
      <c r="L102" s="673"/>
      <c r="M102" s="674"/>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82" t="s">
        <v>755</v>
      </c>
      <c r="B1" s="902" t="s">
        <v>953</v>
      </c>
      <c r="C1" s="484" t="s">
        <v>954</v>
      </c>
      <c r="D1" s="829" t="s">
        <v>2549</v>
      </c>
      <c r="E1" s="486"/>
      <c r="F1" s="2825" t="s">
        <v>2843</v>
      </c>
      <c r="G1" s="1582" t="s">
        <v>955</v>
      </c>
      <c r="H1" s="486"/>
      <c r="I1" s="486"/>
      <c r="J1" s="486"/>
      <c r="K1" s="487"/>
      <c r="L1" s="1543"/>
      <c r="M1" s="1544"/>
      <c r="N1" s="1544"/>
      <c r="O1" s="1544"/>
      <c r="P1" s="1545"/>
      <c r="Q1" s="1545"/>
      <c r="R1" s="1545"/>
      <c r="S1" s="1545"/>
      <c r="T1" s="1545"/>
      <c r="U1" s="1545"/>
      <c r="V1" s="1545"/>
      <c r="W1" s="1545"/>
      <c r="X1" s="1545"/>
      <c r="Y1" s="1545"/>
      <c r="Z1" s="1545"/>
      <c r="AA1" s="1545"/>
      <c r="AB1" s="1545"/>
      <c r="AC1" s="1546"/>
    </row>
    <row r="2" spans="1:29" s="1321" customFormat="1" ht="28.5" customHeight="1">
      <c r="A2" s="403" t="s">
        <v>956</v>
      </c>
      <c r="B2" s="830" t="e">
        <f>ROUND(B3*D3/10000,0)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1" customFormat="1" ht="28.5" customHeight="1" thickBot="1">
      <c r="A3" s="489" t="s">
        <v>957</v>
      </c>
      <c r="B3" s="490" t="e">
        <f>C37</f>
        <v>#DIV/0!</v>
      </c>
      <c r="C3" s="832" t="s">
        <v>958</v>
      </c>
      <c r="D3" s="831">
        <f>SUMIF('数据-汇总表'!$C19:$C36,D1,'数据-汇总表'!$E19:$E36)</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08"/>
    </row>
    <row r="4" spans="1:29" ht="15">
      <c r="A4" s="492" t="s">
        <v>959</v>
      </c>
      <c r="B4" s="493"/>
      <c r="C4" s="3402" t="s">
        <v>960</v>
      </c>
      <c r="D4" s="3403"/>
      <c r="E4" s="3444" t="s">
        <v>961</v>
      </c>
      <c r="F4" s="3445"/>
      <c r="G4" s="3402" t="s">
        <v>962</v>
      </c>
      <c r="H4" s="3403"/>
      <c r="I4" s="3402" t="s">
        <v>963</v>
      </c>
      <c r="J4" s="3403"/>
      <c r="K4" s="494" t="s">
        <v>964</v>
      </c>
      <c r="L4" s="2113"/>
      <c r="M4" s="2114"/>
      <c r="N4" s="2114"/>
      <c r="O4" s="2114"/>
      <c r="P4" s="3404" t="s">
        <v>965</v>
      </c>
      <c r="Q4" s="3405"/>
      <c r="R4" s="3410" t="s">
        <v>961</v>
      </c>
      <c r="S4" s="3411"/>
      <c r="T4" s="3410" t="s">
        <v>962</v>
      </c>
      <c r="U4" s="3411"/>
      <c r="V4" s="3397" t="s">
        <v>963</v>
      </c>
      <c r="W4" s="3397"/>
      <c r="X4" s="1548"/>
      <c r="Y4" s="3410" t="s">
        <v>965</v>
      </c>
      <c r="Z4" s="3411"/>
      <c r="AA4" s="3399" t="s">
        <v>961</v>
      </c>
      <c r="AB4" s="3400" t="s">
        <v>962</v>
      </c>
      <c r="AC4" s="3399" t="s">
        <v>963</v>
      </c>
    </row>
    <row r="5" spans="1:29" ht="15">
      <c r="A5" s="495"/>
      <c r="B5" s="496"/>
      <c r="C5" s="3438" t="s">
        <v>512</v>
      </c>
      <c r="D5" s="3439"/>
      <c r="E5" s="3446" t="s">
        <v>513</v>
      </c>
      <c r="F5" s="3447"/>
      <c r="G5" s="3438" t="s">
        <v>514</v>
      </c>
      <c r="H5" s="3439"/>
      <c r="I5" s="3438" t="s">
        <v>515</v>
      </c>
      <c r="J5" s="3439"/>
      <c r="K5" s="494"/>
      <c r="L5" s="2113"/>
      <c r="M5" s="2114"/>
      <c r="N5" s="2114"/>
      <c r="O5" s="2114"/>
      <c r="P5" s="3406"/>
      <c r="Q5" s="3407"/>
      <c r="R5" s="3412"/>
      <c r="S5" s="3413"/>
      <c r="T5" s="3412"/>
      <c r="U5" s="3413"/>
      <c r="V5" s="3397"/>
      <c r="W5" s="3397"/>
      <c r="X5" s="1548"/>
      <c r="Y5" s="3412"/>
      <c r="Z5" s="3413"/>
      <c r="AA5" s="3400"/>
      <c r="AB5" s="3400"/>
      <c r="AC5" s="3400"/>
    </row>
    <row r="6" spans="1:29" ht="15.75" thickBot="1">
      <c r="A6" s="497"/>
      <c r="B6" s="498"/>
      <c r="C6" s="3440" t="s">
        <v>516</v>
      </c>
      <c r="D6" s="3441"/>
      <c r="E6" s="3442" t="s">
        <v>516</v>
      </c>
      <c r="F6" s="3443"/>
      <c r="G6" s="3440" t="s">
        <v>516</v>
      </c>
      <c r="H6" s="3441"/>
      <c r="I6" s="3440" t="s">
        <v>516</v>
      </c>
      <c r="J6" s="3441"/>
      <c r="K6" s="494" t="s">
        <v>517</v>
      </c>
      <c r="L6" s="2113"/>
      <c r="M6" s="2114"/>
      <c r="N6" s="2114"/>
      <c r="O6" s="2114"/>
      <c r="P6" s="3408"/>
      <c r="Q6" s="3409"/>
      <c r="R6" s="3412"/>
      <c r="S6" s="3413"/>
      <c r="T6" s="3414"/>
      <c r="U6" s="3415"/>
      <c r="V6" s="3397"/>
      <c r="W6" s="3397"/>
      <c r="X6" s="1548"/>
      <c r="Y6" s="3414"/>
      <c r="Z6" s="3415"/>
      <c r="AA6" s="3401"/>
      <c r="AB6" s="3401"/>
      <c r="AC6" s="3401"/>
    </row>
    <row r="7" spans="1:29" s="1199" customFormat="1" ht="15.75" thickBot="1">
      <c r="A7" s="2929"/>
      <c r="B7" s="2936" t="s">
        <v>518</v>
      </c>
      <c r="C7" s="499">
        <f>'数据-取费表'!B2</f>
        <v>42898</v>
      </c>
      <c r="D7" s="500">
        <v>100</v>
      </c>
      <c r="E7" s="501">
        <v>42156</v>
      </c>
      <c r="F7" s="502">
        <f>SUMIF(46:46,YEAR(E7)&amp;"-"&amp;MONTH(E7),47:47)</f>
        <v>0</v>
      </c>
      <c r="G7" s="503">
        <v>42221</v>
      </c>
      <c r="H7" s="500">
        <f>SUMIF(46:46,YEAR(G7)&amp;"-"&amp;MONTH(G7),47:47)</f>
        <v>0</v>
      </c>
      <c r="I7" s="503">
        <v>42444</v>
      </c>
      <c r="J7" s="500">
        <f>SUMIF(46:46,YEAR(I7)&amp;"-"&amp;MONTH(I7),47:47)</f>
        <v>0</v>
      </c>
      <c r="K7" s="504"/>
      <c r="L7" s="2115"/>
      <c r="M7" s="2116"/>
      <c r="N7" s="2116"/>
      <c r="O7" s="2116"/>
      <c r="P7" s="3431" t="s">
        <v>519</v>
      </c>
      <c r="Q7" s="3433"/>
      <c r="R7" s="1549" t="s">
        <v>8</v>
      </c>
      <c r="S7" s="1550">
        <f t="shared" ref="S7:S14" si="0">F7</f>
        <v>0</v>
      </c>
      <c r="T7" s="1549" t="s">
        <v>8</v>
      </c>
      <c r="U7" s="1550">
        <f t="shared" ref="U7:U14" si="1">H7</f>
        <v>0</v>
      </c>
      <c r="V7" s="1549" t="s">
        <v>8</v>
      </c>
      <c r="W7" s="1550">
        <f t="shared" ref="W7:W14" si="2">J7</f>
        <v>0</v>
      </c>
      <c r="X7" s="1551"/>
      <c r="Y7" s="3431" t="s">
        <v>519</v>
      </c>
      <c r="Z7" s="3432"/>
      <c r="AA7" s="1552" t="e">
        <f>D7/F7</f>
        <v>#DIV/0!</v>
      </c>
      <c r="AB7" s="1552" t="e">
        <f>D7/H7</f>
        <v>#DIV/0!</v>
      </c>
      <c r="AC7" s="1552" t="e">
        <f>D7/J7</f>
        <v>#DIV/0!</v>
      </c>
    </row>
    <row r="8" spans="1:29" s="1199" customFormat="1" ht="15.75" thickBot="1">
      <c r="A8" s="2930"/>
      <c r="B8" s="2937" t="s">
        <v>520</v>
      </c>
      <c r="C8" s="505" t="s">
        <v>572</v>
      </c>
      <c r="D8" s="500">
        <v>100</v>
      </c>
      <c r="E8" s="505" t="s">
        <v>618</v>
      </c>
      <c r="F8" s="502">
        <f>SUMIF(49:49,E8,50:50)-SUMIF(49:49,C8,50:50)+100</f>
        <v>95</v>
      </c>
      <c r="G8" s="505" t="s">
        <v>572</v>
      </c>
      <c r="H8" s="500">
        <f>SUMIF(49:49,G8,50:50)-SUMIF(49:49,C8,50:50)+100</f>
        <v>100</v>
      </c>
      <c r="I8" s="505" t="s">
        <v>572</v>
      </c>
      <c r="J8" s="500">
        <f>SUMIF(49:49,I8,50:50)-SUMIF(49:49,C8,50:50)+100</f>
        <v>100</v>
      </c>
      <c r="K8" s="504"/>
      <c r="L8" s="2115"/>
      <c r="M8" s="2116"/>
      <c r="N8" s="2116"/>
      <c r="O8" s="2116"/>
      <c r="P8" s="3431" t="s">
        <v>522</v>
      </c>
      <c r="Q8" s="3432"/>
      <c r="R8" s="1549" t="s">
        <v>8</v>
      </c>
      <c r="S8" s="1550">
        <f t="shared" si="0"/>
        <v>95</v>
      </c>
      <c r="T8" s="1549" t="s">
        <v>8</v>
      </c>
      <c r="U8" s="1550">
        <f t="shared" si="1"/>
        <v>100</v>
      </c>
      <c r="V8" s="1549" t="s">
        <v>8</v>
      </c>
      <c r="W8" s="1550">
        <f t="shared" si="2"/>
        <v>100</v>
      </c>
      <c r="X8" s="1551"/>
      <c r="Y8" s="3431" t="s">
        <v>522</v>
      </c>
      <c r="Z8" s="3432"/>
      <c r="AA8" s="1552">
        <f t="shared" ref="AA8:AA34" si="3">D8/F8</f>
        <v>1.0526315789473684</v>
      </c>
      <c r="AB8" s="1552">
        <f t="shared" ref="AB8:AB34" si="4">D8/H8</f>
        <v>1</v>
      </c>
      <c r="AC8" s="1552">
        <f t="shared" ref="AC8:AC34" si="5">D8/J8</f>
        <v>1</v>
      </c>
    </row>
    <row r="9" spans="1:29" s="1199" customFormat="1" ht="15">
      <c r="A9" s="2931"/>
      <c r="B9" s="2938" t="s">
        <v>3039</v>
      </c>
      <c r="C9" s="837" t="s">
        <v>999</v>
      </c>
      <c r="D9" s="231">
        <v>100</v>
      </c>
      <c r="E9" s="840" t="s">
        <v>1000</v>
      </c>
      <c r="F9" s="231">
        <f>SUMIF(51:51,E9,52:52)-SUMIF(51:51,C9,52:52)+100</f>
        <v>100</v>
      </c>
      <c r="G9" s="840" t="s">
        <v>1000</v>
      </c>
      <c r="H9" s="231">
        <f>SUMIF(51:51,G9,52:52)-SUMIF(51:51,C9,52:52)+100</f>
        <v>100</v>
      </c>
      <c r="I9" s="840" t="s">
        <v>1000</v>
      </c>
      <c r="J9" s="231">
        <f>SUMIF(51:51,I9,52:52)-SUMIF(51:51,C9,52:52)+100</f>
        <v>100</v>
      </c>
      <c r="K9" s="504"/>
      <c r="L9" s="2115"/>
      <c r="M9" s="2116"/>
      <c r="N9" s="2116"/>
      <c r="O9" s="2117"/>
      <c r="P9" s="3396" t="s">
        <v>524</v>
      </c>
      <c r="Q9" s="1130" t="str">
        <f t="shared" ref="Q9:Q14" si="6">B9</f>
        <v>用途</v>
      </c>
      <c r="R9" s="1549" t="s">
        <v>8</v>
      </c>
      <c r="S9" s="1550">
        <f t="shared" si="0"/>
        <v>100</v>
      </c>
      <c r="T9" s="1549" t="s">
        <v>8</v>
      </c>
      <c r="U9" s="1550">
        <f t="shared" si="1"/>
        <v>100</v>
      </c>
      <c r="V9" s="1549" t="s">
        <v>8</v>
      </c>
      <c r="W9" s="1550">
        <f t="shared" si="2"/>
        <v>100</v>
      </c>
      <c r="X9" s="1551"/>
      <c r="Y9" s="3343" t="s">
        <v>525</v>
      </c>
      <c r="Z9" s="1129" t="str">
        <f t="shared" ref="Z9:Z14" si="7">Q9</f>
        <v>用途</v>
      </c>
      <c r="AA9" s="1552">
        <f t="shared" si="3"/>
        <v>1</v>
      </c>
      <c r="AB9" s="1552">
        <f t="shared" si="4"/>
        <v>1</v>
      </c>
      <c r="AC9" s="1552">
        <f t="shared" si="5"/>
        <v>1</v>
      </c>
    </row>
    <row r="10" spans="1:29" s="1323" customFormat="1" ht="27">
      <c r="A10" s="2932"/>
      <c r="B10" s="2937" t="s">
        <v>3040</v>
      </c>
      <c r="C10" s="841" t="s">
        <v>905</v>
      </c>
      <c r="D10" s="232">
        <v>100</v>
      </c>
      <c r="E10" s="841" t="s">
        <v>846</v>
      </c>
      <c r="F10" s="232">
        <f>SUMIF(53:53,E10,54:54)-SUMIF(53:53,C10,54:54)+100</f>
        <v>97</v>
      </c>
      <c r="G10" s="842" t="s">
        <v>847</v>
      </c>
      <c r="H10" s="232">
        <f>SUMIF(53:53,G10,54:54)-SUMIF(53:53,C10,54:54)+100</f>
        <v>94</v>
      </c>
      <c r="I10" s="841" t="s">
        <v>848</v>
      </c>
      <c r="J10" s="232">
        <f>SUMIF(53:53,I10,54:54)-SUMIF(53:53,C10,54:54)+100</f>
        <v>91</v>
      </c>
      <c r="K10" s="564">
        <v>3</v>
      </c>
      <c r="L10" s="2118"/>
      <c r="M10" s="2158"/>
      <c r="N10" s="2158"/>
      <c r="O10" s="2119"/>
      <c r="P10" s="3396"/>
      <c r="Q10" s="1130" t="str">
        <f t="shared" si="6"/>
        <v>土地使用年限（年）</v>
      </c>
      <c r="R10" s="1549" t="s">
        <v>8</v>
      </c>
      <c r="S10" s="1550">
        <f t="shared" si="0"/>
        <v>97</v>
      </c>
      <c r="T10" s="1549" t="s">
        <v>8</v>
      </c>
      <c r="U10" s="1550">
        <f t="shared" si="1"/>
        <v>94</v>
      </c>
      <c r="V10" s="1549" t="s">
        <v>8</v>
      </c>
      <c r="W10" s="1550">
        <f t="shared" si="2"/>
        <v>91</v>
      </c>
      <c r="X10" s="1551"/>
      <c r="Y10" s="3343"/>
      <c r="Z10" s="1129" t="str">
        <f t="shared" si="7"/>
        <v>土地使用年限（年）</v>
      </c>
      <c r="AA10" s="1552">
        <f t="shared" si="3"/>
        <v>1.0309278350515463</v>
      </c>
      <c r="AB10" s="1552">
        <f t="shared" si="4"/>
        <v>1.0638297872340425</v>
      </c>
      <c r="AC10" s="1552">
        <f t="shared" si="5"/>
        <v>1.098901098901099</v>
      </c>
    </row>
    <row r="11" spans="1:29" ht="15">
      <c r="A11" s="2934"/>
      <c r="B11" s="2940">
        <v>111</v>
      </c>
      <c r="C11" s="508">
        <v>111</v>
      </c>
      <c r="D11" s="232">
        <v>100</v>
      </c>
      <c r="E11" s="860">
        <v>222</v>
      </c>
      <c r="F11" s="232">
        <f>SUMIF(55:55,E11,56:56)-SUMIF(55:55,C11,56:56)+100</f>
        <v>99</v>
      </c>
      <c r="G11" s="860">
        <v>333</v>
      </c>
      <c r="H11" s="232">
        <f>SUMIF(55:55,G11,56:56)-SUMIF(55:55,C11,56:56)+100</f>
        <v>98</v>
      </c>
      <c r="I11" s="860">
        <v>444</v>
      </c>
      <c r="J11" s="232">
        <f>SUMIF(55:55,I11,56:56)-SUMIF(55:55,C11,56:56)+100</f>
        <v>97</v>
      </c>
      <c r="K11" s="561"/>
      <c r="L11" s="2120"/>
      <c r="M11" s="2114"/>
      <c r="N11" s="2114"/>
      <c r="O11" s="2121"/>
      <c r="P11" s="3396"/>
      <c r="Q11" s="1130">
        <f t="shared" si="6"/>
        <v>111</v>
      </c>
      <c r="R11" s="1549" t="s">
        <v>8</v>
      </c>
      <c r="S11" s="1550">
        <f t="shared" si="0"/>
        <v>99</v>
      </c>
      <c r="T11" s="1549" t="s">
        <v>8</v>
      </c>
      <c r="U11" s="1550">
        <f t="shared" si="1"/>
        <v>98</v>
      </c>
      <c r="V11" s="1549" t="s">
        <v>8</v>
      </c>
      <c r="W11" s="1550">
        <f t="shared" si="2"/>
        <v>97</v>
      </c>
      <c r="X11" s="1551"/>
      <c r="Y11" s="3343"/>
      <c r="Z11" s="1129">
        <f t="shared" si="7"/>
        <v>111</v>
      </c>
      <c r="AA11" s="1552">
        <f t="shared" si="3"/>
        <v>1.0101010101010102</v>
      </c>
      <c r="AB11" s="1552">
        <f t="shared" si="4"/>
        <v>1.0204081632653061</v>
      </c>
      <c r="AC11" s="1552">
        <f t="shared" si="5"/>
        <v>1.0309278350515463</v>
      </c>
    </row>
    <row r="12" spans="1:29" s="1199" customFormat="1" ht="15">
      <c r="A12" s="2934"/>
      <c r="B12" s="2940">
        <v>111</v>
      </c>
      <c r="C12" s="508">
        <v>111</v>
      </c>
      <c r="D12" s="518">
        <v>100</v>
      </c>
      <c r="E12" s="860">
        <v>222</v>
      </c>
      <c r="F12" s="232">
        <f>SUMIF(57:57,E12,58:58)-SUMIF(57:57,C12,58:58)+100</f>
        <v>98</v>
      </c>
      <c r="G12" s="860">
        <v>333</v>
      </c>
      <c r="H12" s="232">
        <f>SUMIF(57:57,G12,58:58)-SUMIF(57:57,C12,58:58)+100</f>
        <v>96</v>
      </c>
      <c r="I12" s="860">
        <v>444</v>
      </c>
      <c r="J12" s="232">
        <f>SUMIF(57:57,I12,58:58)-SUMIF(57:57,C12,58:58)+100</f>
        <v>94</v>
      </c>
      <c r="K12" s="561"/>
      <c r="L12" s="2115"/>
      <c r="M12" s="2116"/>
      <c r="N12" s="2116"/>
      <c r="O12" s="2117"/>
      <c r="P12" s="3396"/>
      <c r="Q12" s="1130">
        <f t="shared" si="6"/>
        <v>111</v>
      </c>
      <c r="R12" s="1549" t="s">
        <v>8</v>
      </c>
      <c r="S12" s="1550">
        <f t="shared" si="0"/>
        <v>98</v>
      </c>
      <c r="T12" s="1549" t="s">
        <v>8</v>
      </c>
      <c r="U12" s="1550">
        <f t="shared" si="1"/>
        <v>96</v>
      </c>
      <c r="V12" s="1549" t="s">
        <v>8</v>
      </c>
      <c r="W12" s="1550">
        <f t="shared" si="2"/>
        <v>94</v>
      </c>
      <c r="X12" s="1551"/>
      <c r="Y12" s="3343"/>
      <c r="Z12" s="1129">
        <f t="shared" si="7"/>
        <v>111</v>
      </c>
      <c r="AA12" s="1552">
        <f>D12/F12</f>
        <v>1.0204081632653061</v>
      </c>
      <c r="AB12" s="1552">
        <f>D12/H12</f>
        <v>1.0416666666666667</v>
      </c>
      <c r="AC12" s="1552">
        <f>D12/J12</f>
        <v>1.0638297872340425</v>
      </c>
    </row>
    <row r="13" spans="1:29" ht="15.75" thickBot="1">
      <c r="A13" s="2935"/>
      <c r="B13" s="2941">
        <v>111</v>
      </c>
      <c r="C13" s="519">
        <v>111</v>
      </c>
      <c r="D13" s="520">
        <v>100</v>
      </c>
      <c r="E13" s="860">
        <v>222</v>
      </c>
      <c r="F13" s="232">
        <f>SUMIF(59:59,E13,60:60)-SUMIF(59:59,C13,60:60)+100</f>
        <v>97</v>
      </c>
      <c r="G13" s="860">
        <v>333</v>
      </c>
      <c r="H13" s="520">
        <f>SUMIF(59:59,G13,60:60)-SUMIF(59:59,C13,60:60)+100</f>
        <v>94</v>
      </c>
      <c r="I13" s="860">
        <v>444</v>
      </c>
      <c r="J13" s="520">
        <f>SUMIF(59:59,I13,60:60)-SUMIF(59:59,C13,60:60)+100</f>
        <v>91</v>
      </c>
      <c r="K13" s="561"/>
      <c r="L13" s="2122"/>
      <c r="M13" s="2114"/>
      <c r="N13" s="2114"/>
      <c r="O13" s="2121"/>
      <c r="P13" s="3396"/>
      <c r="Q13" s="1130">
        <f t="shared" si="6"/>
        <v>111</v>
      </c>
      <c r="R13" s="1549" t="s">
        <v>8</v>
      </c>
      <c r="S13" s="1550">
        <f t="shared" si="0"/>
        <v>97</v>
      </c>
      <c r="T13" s="1549" t="s">
        <v>8</v>
      </c>
      <c r="U13" s="1550">
        <f t="shared" si="1"/>
        <v>94</v>
      </c>
      <c r="V13" s="1549" t="s">
        <v>8</v>
      </c>
      <c r="W13" s="1550">
        <f t="shared" si="2"/>
        <v>91</v>
      </c>
      <c r="X13" s="1551"/>
      <c r="Y13" s="3343"/>
      <c r="Z13" s="1129">
        <f t="shared" si="7"/>
        <v>111</v>
      </c>
      <c r="AA13" s="1552">
        <f t="shared" si="3"/>
        <v>1.0309278350515463</v>
      </c>
      <c r="AB13" s="1552">
        <f t="shared" si="4"/>
        <v>1.0638297872340425</v>
      </c>
      <c r="AC13" s="1552">
        <f t="shared" si="5"/>
        <v>1.098901098901099</v>
      </c>
    </row>
    <row r="14" spans="1:29" ht="128.25">
      <c r="A14" s="2927" t="s">
        <v>3037</v>
      </c>
      <c r="B14" s="157" t="s">
        <v>534</v>
      </c>
      <c r="C14" s="900" t="str">
        <f>IF(B1="工业",估价对象房地状况!G4,估价对象房地状况!C6)</f>
        <v>估价对象周边有326、643等公交线路、紧邻昌平线，公共交通通达情况；项目自身有停车位、停车便捷程度较好，综合评价交通便捷度较好</v>
      </c>
      <c r="D14" s="529">
        <v>100</v>
      </c>
      <c r="E14" s="530"/>
      <c r="F14" s="531">
        <f>SUMIF(61:61,E15,62:62)-SUMIF(61:61,C15,62:62)+100</f>
        <v>102</v>
      </c>
      <c r="G14" s="532"/>
      <c r="H14" s="529">
        <f>SUMIF(61:61,G15,62:62)-SUMIF(61:61,C15,62:62)+100</f>
        <v>98</v>
      </c>
      <c r="I14" s="530"/>
      <c r="J14" s="529">
        <f>SUMIF(61:61,I15,62:62)-SUMIF(61:61,C15,62:62)+100</f>
        <v>96</v>
      </c>
      <c r="K14" s="878">
        <v>2</v>
      </c>
      <c r="L14" s="2122"/>
      <c r="M14" s="2114"/>
      <c r="N14" s="2114"/>
      <c r="O14" s="2121"/>
      <c r="P14" s="3434" t="s">
        <v>529</v>
      </c>
      <c r="Q14" s="1553" t="str">
        <f t="shared" si="6"/>
        <v>交通便捷度</v>
      </c>
      <c r="R14" s="1554" t="s">
        <v>8</v>
      </c>
      <c r="S14" s="1555">
        <f t="shared" si="0"/>
        <v>102</v>
      </c>
      <c r="T14" s="1554" t="s">
        <v>8</v>
      </c>
      <c r="U14" s="1555">
        <f t="shared" si="1"/>
        <v>98</v>
      </c>
      <c r="V14" s="1554" t="s">
        <v>8</v>
      </c>
      <c r="W14" s="1555">
        <f t="shared" si="2"/>
        <v>96</v>
      </c>
      <c r="X14" s="1548"/>
      <c r="Y14" s="3434" t="s">
        <v>529</v>
      </c>
      <c r="Z14" s="1556" t="str">
        <f t="shared" si="7"/>
        <v>交通便捷度</v>
      </c>
      <c r="AA14" s="1557">
        <f t="shared" si="3"/>
        <v>0.98039215686274506</v>
      </c>
      <c r="AB14" s="1557">
        <f t="shared" si="4"/>
        <v>1.0204081632653061</v>
      </c>
      <c r="AC14" s="1557">
        <f t="shared" si="5"/>
        <v>1.0416666666666667</v>
      </c>
    </row>
    <row r="15" spans="1:29" ht="15">
      <c r="A15" s="512"/>
      <c r="B15" s="849"/>
      <c r="C15" s="556" t="s">
        <v>530</v>
      </c>
      <c r="D15" s="535"/>
      <c r="E15" s="556" t="s">
        <v>531</v>
      </c>
      <c r="F15" s="537"/>
      <c r="G15" s="556" t="s">
        <v>535</v>
      </c>
      <c r="H15" s="539"/>
      <c r="I15" s="556" t="s">
        <v>622</v>
      </c>
      <c r="J15" s="535"/>
      <c r="K15" s="879"/>
      <c r="L15" s="2122"/>
      <c r="M15" s="2114"/>
      <c r="N15" s="2114"/>
      <c r="O15" s="2121"/>
      <c r="P15" s="3435"/>
      <c r="Q15" s="1553"/>
      <c r="R15" s="1554"/>
      <c r="S15" s="1555"/>
      <c r="T15" s="1554"/>
      <c r="U15" s="1555"/>
      <c r="V15" s="1554"/>
      <c r="W15" s="1555"/>
      <c r="X15" s="1548"/>
      <c r="Y15" s="3435"/>
      <c r="Z15" s="1556"/>
      <c r="AA15" s="1557">
        <v>1</v>
      </c>
      <c r="AB15" s="1557">
        <v>1</v>
      </c>
      <c r="AC15" s="1557">
        <v>1</v>
      </c>
    </row>
    <row r="16" spans="1:29" ht="42.75">
      <c r="A16" s="512"/>
      <c r="B16" s="2616" t="s">
        <v>2813</v>
      </c>
      <c r="C16" s="852" t="str">
        <f>IF(B1="工业",估价对象房地状况!G5,估价对象房地状况!C7)</f>
        <v>估价对象所在区域公共配套设施较齐备；</v>
      </c>
      <c r="D16" s="545">
        <v>100</v>
      </c>
      <c r="E16" s="550"/>
      <c r="F16" s="551">
        <f>SUMIF(63:63,E17,64:64)-SUMIF(63:63,C17,64:64)+100</f>
        <v>98</v>
      </c>
      <c r="G16" s="552"/>
      <c r="H16" s="545">
        <f>SUMIF(63:63,G17,64:64)-SUMIF(63:63,C17,64:64)+100</f>
        <v>96</v>
      </c>
      <c r="I16" s="550"/>
      <c r="J16" s="545">
        <f>SUMIF(63:63,I17,64:64)-SUMIF(63:63,C17,64:64)+100</f>
        <v>102</v>
      </c>
      <c r="K16" s="878">
        <v>2</v>
      </c>
      <c r="L16" s="2122"/>
      <c r="M16" s="2114"/>
      <c r="N16" s="2114"/>
      <c r="O16" s="2121"/>
      <c r="P16" s="3435"/>
      <c r="Q16" s="1553" t="str">
        <f>B16</f>
        <v>公共配套设施</v>
      </c>
      <c r="R16" s="1554" t="s">
        <v>8</v>
      </c>
      <c r="S16" s="1555">
        <f>F16</f>
        <v>98</v>
      </c>
      <c r="T16" s="1554" t="s">
        <v>8</v>
      </c>
      <c r="U16" s="1555">
        <f>H16</f>
        <v>96</v>
      </c>
      <c r="V16" s="1554" t="s">
        <v>8</v>
      </c>
      <c r="W16" s="1555">
        <f>J16</f>
        <v>102</v>
      </c>
      <c r="X16" s="1548"/>
      <c r="Y16" s="3435"/>
      <c r="Z16" s="1556" t="str">
        <f>Q16</f>
        <v>公共配套设施</v>
      </c>
      <c r="AA16" s="1557">
        <f t="shared" si="3"/>
        <v>1.0204081632653061</v>
      </c>
      <c r="AB16" s="1557">
        <f t="shared" si="4"/>
        <v>1.0416666666666667</v>
      </c>
      <c r="AC16" s="1557">
        <f t="shared" si="5"/>
        <v>0.98039215686274506</v>
      </c>
    </row>
    <row r="17" spans="1:29" ht="15">
      <c r="A17" s="512"/>
      <c r="B17" s="546"/>
      <c r="C17" s="853" t="s">
        <v>531</v>
      </c>
      <c r="D17" s="535"/>
      <c r="E17" s="556" t="s">
        <v>530</v>
      </c>
      <c r="F17" s="537"/>
      <c r="G17" s="556" t="s">
        <v>535</v>
      </c>
      <c r="H17" s="535"/>
      <c r="I17" s="556" t="s">
        <v>623</v>
      </c>
      <c r="J17" s="535"/>
      <c r="K17" s="879"/>
      <c r="L17" s="2122"/>
      <c r="M17" s="2114"/>
      <c r="N17" s="2114"/>
      <c r="O17" s="2121"/>
      <c r="P17" s="3435"/>
      <c r="Q17" s="1553"/>
      <c r="R17" s="1554"/>
      <c r="S17" s="1555"/>
      <c r="T17" s="1554"/>
      <c r="U17" s="1555"/>
      <c r="V17" s="1554"/>
      <c r="W17" s="1555"/>
      <c r="X17" s="1548"/>
      <c r="Y17" s="3435"/>
      <c r="Z17" s="1556"/>
      <c r="AA17" s="1557">
        <v>1</v>
      </c>
      <c r="AB17" s="1557">
        <v>1</v>
      </c>
      <c r="AC17" s="1557">
        <v>1</v>
      </c>
    </row>
    <row r="18" spans="1:29" ht="28.5">
      <c r="A18" s="512"/>
      <c r="B18" s="2604" t="s">
        <v>2827</v>
      </c>
      <c r="C18" s="852" t="str">
        <f>IF(B1="工业",估价对象房地状况!G6,估价对象房地状况!C8)</f>
        <v>基础设施水平七通一平</v>
      </c>
      <c r="D18" s="539">
        <v>100</v>
      </c>
      <c r="E18" s="542"/>
      <c r="F18" s="543">
        <f>SUMIF(65:65,E19,66:66)-SUMIF(65:65,C19,66:66)+100</f>
        <v>99</v>
      </c>
      <c r="G18" s="544"/>
      <c r="H18" s="545">
        <f>SUMIF(65:65,G19,66:66)-SUMIF(65:65,C19,66:66)+100</f>
        <v>98</v>
      </c>
      <c r="I18" s="550"/>
      <c r="J18" s="545">
        <f>SUMIF(65:65,I19,66:66)-SUMIF(65:65,C19,66:66)+100</f>
        <v>97</v>
      </c>
      <c r="K18" s="878">
        <v>1</v>
      </c>
      <c r="L18" s="2122"/>
      <c r="M18" s="2114"/>
      <c r="N18" s="2114"/>
      <c r="O18" s="2121"/>
      <c r="P18" s="3435"/>
      <c r="Q18" s="2591" t="str">
        <f>B18</f>
        <v>基础设施水平</v>
      </c>
      <c r="R18" s="1554" t="s">
        <v>8</v>
      </c>
      <c r="S18" s="1555">
        <f>F18</f>
        <v>99</v>
      </c>
      <c r="T18" s="1554" t="s">
        <v>8</v>
      </c>
      <c r="U18" s="1555">
        <f>H18</f>
        <v>98</v>
      </c>
      <c r="V18" s="1554" t="s">
        <v>8</v>
      </c>
      <c r="W18" s="1555">
        <f>J18</f>
        <v>97</v>
      </c>
      <c r="X18" s="2593"/>
      <c r="Y18" s="3435"/>
      <c r="Z18" s="2592" t="str">
        <f>Q18</f>
        <v>基础设施水平</v>
      </c>
      <c r="AA18" s="1557">
        <f t="shared" ref="AA18" si="8">D18/F18</f>
        <v>1.0101010101010102</v>
      </c>
      <c r="AB18" s="1557">
        <f t="shared" ref="AB18" si="9">D18/H18</f>
        <v>1.0204081632653061</v>
      </c>
      <c r="AC18" s="1557">
        <f t="shared" ref="AC18" si="10">D18/J18</f>
        <v>1.0309278350515463</v>
      </c>
    </row>
    <row r="19" spans="1:29" ht="15">
      <c r="A19" s="512"/>
      <c r="B19" s="558"/>
      <c r="C19" s="853" t="s">
        <v>2805</v>
      </c>
      <c r="D19" s="539"/>
      <c r="E19" s="853" t="s">
        <v>2586</v>
      </c>
      <c r="F19" s="543"/>
      <c r="G19" s="853" t="s">
        <v>2587</v>
      </c>
      <c r="H19" s="535"/>
      <c r="I19" s="556" t="s">
        <v>2809</v>
      </c>
      <c r="J19" s="535"/>
      <c r="K19" s="2615"/>
      <c r="L19" s="2122"/>
      <c r="M19" s="2114"/>
      <c r="N19" s="2114"/>
      <c r="O19" s="2121"/>
      <c r="P19" s="3435"/>
      <c r="Q19" s="2591"/>
      <c r="R19" s="1554"/>
      <c r="S19" s="1555"/>
      <c r="T19" s="1554"/>
      <c r="U19" s="1555"/>
      <c r="V19" s="1554"/>
      <c r="W19" s="1555"/>
      <c r="X19" s="2593"/>
      <c r="Y19" s="3435"/>
      <c r="Z19" s="2592"/>
      <c r="AA19" s="1557">
        <v>1</v>
      </c>
      <c r="AB19" s="1557">
        <v>1</v>
      </c>
      <c r="AC19" s="1557">
        <v>1</v>
      </c>
    </row>
    <row r="20" spans="1:29" ht="71.25">
      <c r="A20" s="512"/>
      <c r="B20" s="851" t="s">
        <v>968</v>
      </c>
      <c r="C20" s="852" t="str">
        <f>IF(B1="工业",估价对象房地状况!G7,估价对象房地状况!C9)</f>
        <v>区域自然环境：白浮泉公园等；人文环境：无；综合评价环境状况一般</v>
      </c>
      <c r="D20" s="545">
        <v>100</v>
      </c>
      <c r="E20" s="550"/>
      <c r="F20" s="551">
        <f>SUMIF(67:67,E21,68:68)-SUMIF(67:67,C21,68:68)+100</f>
        <v>97</v>
      </c>
      <c r="G20" s="552"/>
      <c r="H20" s="539">
        <f>SUMIF(67:67,G21,68:68)-SUMIF(67:67,C21,68:68)+100</f>
        <v>103</v>
      </c>
      <c r="I20" s="542"/>
      <c r="J20" s="539">
        <f>SUMIF(67:67,I21,68:68)-SUMIF(67:67,C21,68:68)+100</f>
        <v>106</v>
      </c>
      <c r="K20" s="878">
        <v>3</v>
      </c>
      <c r="L20" s="2122"/>
      <c r="M20" s="2114"/>
      <c r="N20" s="2114"/>
      <c r="O20" s="2121"/>
      <c r="P20" s="3435"/>
      <c r="Q20" s="1553" t="str">
        <f>B20</f>
        <v>自然及人文环境</v>
      </c>
      <c r="R20" s="1554" t="s">
        <v>8</v>
      </c>
      <c r="S20" s="1555">
        <f>F20</f>
        <v>97</v>
      </c>
      <c r="T20" s="1554" t="s">
        <v>8</v>
      </c>
      <c r="U20" s="1555">
        <f>H20</f>
        <v>103</v>
      </c>
      <c r="V20" s="1554" t="s">
        <v>8</v>
      </c>
      <c r="W20" s="1555">
        <f>J20</f>
        <v>106</v>
      </c>
      <c r="X20" s="1548"/>
      <c r="Y20" s="3435"/>
      <c r="Z20" s="1556" t="str">
        <f>Q20</f>
        <v>自然及人文环境</v>
      </c>
      <c r="AA20" s="1557">
        <f t="shared" si="3"/>
        <v>1.0309278350515463</v>
      </c>
      <c r="AB20" s="1557">
        <f t="shared" si="4"/>
        <v>0.970873786407767</v>
      </c>
      <c r="AC20" s="1557">
        <f t="shared" si="5"/>
        <v>0.94339622641509435</v>
      </c>
    </row>
    <row r="21" spans="1:29" ht="15">
      <c r="A21" s="512"/>
      <c r="B21" s="575"/>
      <c r="C21" s="556" t="s">
        <v>530</v>
      </c>
      <c r="D21" s="535"/>
      <c r="E21" s="556" t="s">
        <v>535</v>
      </c>
      <c r="F21" s="537"/>
      <c r="G21" s="556" t="s">
        <v>531</v>
      </c>
      <c r="H21" s="535"/>
      <c r="I21" s="556" t="s">
        <v>623</v>
      </c>
      <c r="J21" s="535"/>
      <c r="K21" s="879"/>
      <c r="L21" s="2122"/>
      <c r="M21" s="2114"/>
      <c r="N21" s="2114"/>
      <c r="O21" s="2121"/>
      <c r="P21" s="3435"/>
      <c r="Q21" s="1553"/>
      <c r="R21" s="1554"/>
      <c r="S21" s="1555"/>
      <c r="T21" s="1554"/>
      <c r="U21" s="1555"/>
      <c r="V21" s="1554"/>
      <c r="W21" s="1555"/>
      <c r="X21" s="1548"/>
      <c r="Y21" s="3435"/>
      <c r="Z21" s="1556"/>
      <c r="AA21" s="1557">
        <v>1</v>
      </c>
      <c r="AB21" s="1557">
        <v>1</v>
      </c>
      <c r="AC21" s="1557">
        <v>1</v>
      </c>
    </row>
    <row r="22" spans="1:29" ht="15">
      <c r="A22" s="512"/>
      <c r="B22" s="851" t="s">
        <v>969</v>
      </c>
      <c r="C22" s="563" t="s">
        <v>854</v>
      </c>
      <c r="D22" s="539">
        <v>100</v>
      </c>
      <c r="E22" s="563" t="s">
        <v>970</v>
      </c>
      <c r="F22" s="555">
        <f>SUMIF(69:69,E22,70:70)-SUMIF(69:69,C22,70:70)+100</f>
        <v>98</v>
      </c>
      <c r="G22" s="563" t="s">
        <v>970</v>
      </c>
      <c r="H22" s="520">
        <f>SUMIF(69:69,G22,70:70)-SUMIF(69:69,C22,70:70)+100</f>
        <v>98</v>
      </c>
      <c r="I22" s="563" t="s">
        <v>854</v>
      </c>
      <c r="J22" s="520">
        <f>SUMIF(69:69,I22,70:70)-SUMIF(69:69,C22,70:70)+100</f>
        <v>100</v>
      </c>
      <c r="K22" s="564">
        <v>2</v>
      </c>
      <c r="L22" s="2122"/>
      <c r="M22" s="2114"/>
      <c r="N22" s="2114"/>
      <c r="O22" s="2121"/>
      <c r="P22" s="3435"/>
      <c r="Q22" s="1553" t="str">
        <f>B22</f>
        <v>楼层</v>
      </c>
      <c r="R22" s="1554" t="s">
        <v>8</v>
      </c>
      <c r="S22" s="1555">
        <f>F22</f>
        <v>98</v>
      </c>
      <c r="T22" s="1554" t="s">
        <v>8</v>
      </c>
      <c r="U22" s="1555">
        <f>H22</f>
        <v>98</v>
      </c>
      <c r="V22" s="1554" t="s">
        <v>8</v>
      </c>
      <c r="W22" s="1555">
        <f>J22</f>
        <v>100</v>
      </c>
      <c r="X22" s="1548"/>
      <c r="Y22" s="3435"/>
      <c r="Z22" s="1556" t="str">
        <f>Q22</f>
        <v>楼层</v>
      </c>
      <c r="AA22" s="1557">
        <f t="shared" si="3"/>
        <v>1.0204081632653061</v>
      </c>
      <c r="AB22" s="1557">
        <f t="shared" si="4"/>
        <v>1.0204081632653061</v>
      </c>
      <c r="AC22" s="1557">
        <f t="shared" si="5"/>
        <v>1</v>
      </c>
    </row>
    <row r="23" spans="1:29" ht="15">
      <c r="A23" s="495"/>
      <c r="B23" s="517">
        <v>111</v>
      </c>
      <c r="C23" s="508">
        <v>111</v>
      </c>
      <c r="D23" s="520">
        <v>100</v>
      </c>
      <c r="E23" s="519">
        <v>222</v>
      </c>
      <c r="F23" s="555">
        <f>SUMIF(71:71,E23,72:72)-SUMIF(71:71,C23,72:72)+100</f>
        <v>99</v>
      </c>
      <c r="G23" s="519">
        <v>333</v>
      </c>
      <c r="H23" s="520">
        <f>SUMIF(71:71,G23,72:72)-SUMIF(71:71,C23,72:72)+100</f>
        <v>98</v>
      </c>
      <c r="I23" s="519">
        <v>444</v>
      </c>
      <c r="J23" s="520">
        <f>SUMIF(71:71,I23,72:72)-SUMIF(71:71,C23,72:72)+100</f>
        <v>97</v>
      </c>
      <c r="K23" s="561"/>
      <c r="L23" s="2122"/>
      <c r="M23" s="2114"/>
      <c r="N23" s="2114"/>
      <c r="O23" s="2121"/>
      <c r="P23" s="3435"/>
      <c r="Q23" s="1553">
        <f>B23</f>
        <v>111</v>
      </c>
      <c r="R23" s="1554" t="s">
        <v>8</v>
      </c>
      <c r="S23" s="1555">
        <f>F23</f>
        <v>99</v>
      </c>
      <c r="T23" s="1554" t="s">
        <v>8</v>
      </c>
      <c r="U23" s="1555">
        <f>H23</f>
        <v>98</v>
      </c>
      <c r="V23" s="1554" t="s">
        <v>8</v>
      </c>
      <c r="W23" s="1555">
        <f>J23</f>
        <v>97</v>
      </c>
      <c r="X23" s="1548"/>
      <c r="Y23" s="3435"/>
      <c r="Z23" s="1556">
        <f>Q23</f>
        <v>111</v>
      </c>
      <c r="AA23" s="1557">
        <f t="shared" si="3"/>
        <v>1.0101010101010102</v>
      </c>
      <c r="AB23" s="1557">
        <f t="shared" si="4"/>
        <v>1.0204081632653061</v>
      </c>
      <c r="AC23" s="1557">
        <f t="shared" si="5"/>
        <v>1.0309278350515463</v>
      </c>
    </row>
    <row r="24" spans="1:29" ht="15">
      <c r="A24" s="512"/>
      <c r="B24" s="517">
        <v>111</v>
      </c>
      <c r="C24" s="508">
        <v>111</v>
      </c>
      <c r="D24" s="520">
        <v>100</v>
      </c>
      <c r="E24" s="519">
        <v>222</v>
      </c>
      <c r="F24" s="555">
        <f>SUMIF(73:73,E24,74:74)-SUMIF(73:73,C24,74:74)+100</f>
        <v>98</v>
      </c>
      <c r="G24" s="519">
        <v>333</v>
      </c>
      <c r="H24" s="520">
        <f>SUMIF(73:73,G24,74:74)-SUMIF(73:73,C24,74:74)+100</f>
        <v>96</v>
      </c>
      <c r="I24" s="519">
        <v>444</v>
      </c>
      <c r="J24" s="520">
        <f>SUMIF(73:73,I24,74:74)-SUMIF(73:73,C24,74:74)+100</f>
        <v>94</v>
      </c>
      <c r="K24" s="561"/>
      <c r="L24" s="2122"/>
      <c r="M24" s="2114"/>
      <c r="N24" s="2114"/>
      <c r="O24" s="2121"/>
      <c r="P24" s="3435"/>
      <c r="Q24" s="1553">
        <f t="shared" ref="Q24:Q34" si="11">B24</f>
        <v>111</v>
      </c>
      <c r="R24" s="1554" t="s">
        <v>8</v>
      </c>
      <c r="S24" s="1555">
        <f>F24</f>
        <v>98</v>
      </c>
      <c r="T24" s="1554" t="s">
        <v>8</v>
      </c>
      <c r="U24" s="1555">
        <f>H24</f>
        <v>96</v>
      </c>
      <c r="V24" s="1554" t="s">
        <v>8</v>
      </c>
      <c r="W24" s="1555">
        <f>J24</f>
        <v>94</v>
      </c>
      <c r="X24" s="1548"/>
      <c r="Y24" s="3435"/>
      <c r="Z24" s="1556">
        <f>Q24</f>
        <v>111</v>
      </c>
      <c r="AA24" s="1557">
        <f t="shared" si="3"/>
        <v>1.0204081632653061</v>
      </c>
      <c r="AB24" s="1557">
        <f t="shared" si="4"/>
        <v>1.0416666666666667</v>
      </c>
      <c r="AC24" s="1557">
        <f t="shared" si="5"/>
        <v>1.0638297872340425</v>
      </c>
    </row>
    <row r="25" spans="1:29" s="1199" customFormat="1" ht="15.75" thickBot="1">
      <c r="A25" s="516"/>
      <c r="B25" s="517">
        <v>111</v>
      </c>
      <c r="C25" s="919">
        <v>111</v>
      </c>
      <c r="D25" s="920">
        <v>100</v>
      </c>
      <c r="E25" s="919">
        <v>222</v>
      </c>
      <c r="F25" s="921">
        <f>SUMIF(75:75,E25,76:76)-SUMIF(75:75,C25,76:76)+100</f>
        <v>97</v>
      </c>
      <c r="G25" s="919">
        <v>333</v>
      </c>
      <c r="H25" s="920">
        <f>SUMIF(75:75,G25,76:76)-SUMIF(75:75,C25,76:76)+100</f>
        <v>94</v>
      </c>
      <c r="I25" s="919">
        <v>444</v>
      </c>
      <c r="J25" s="920">
        <f>SUMIF(75:75,I25,76:76)-SUMIF(75:75,C25,76:76)+100</f>
        <v>91</v>
      </c>
      <c r="K25" s="561"/>
      <c r="L25" s="2115"/>
      <c r="M25" s="2116"/>
      <c r="N25" s="2116"/>
      <c r="O25" s="2117"/>
      <c r="P25" s="3435"/>
      <c r="Q25" s="1130">
        <f t="shared" si="11"/>
        <v>111</v>
      </c>
      <c r="R25" s="1549" t="s">
        <v>8</v>
      </c>
      <c r="S25" s="1550">
        <f>F25</f>
        <v>97</v>
      </c>
      <c r="T25" s="1549" t="s">
        <v>8</v>
      </c>
      <c r="U25" s="1550">
        <f>H25</f>
        <v>94</v>
      </c>
      <c r="V25" s="1549" t="s">
        <v>8</v>
      </c>
      <c r="W25" s="1550">
        <f>J25</f>
        <v>91</v>
      </c>
      <c r="X25" s="1551"/>
      <c r="Y25" s="3435"/>
      <c r="Z25" s="1129">
        <f>Q25</f>
        <v>111</v>
      </c>
      <c r="AA25" s="1557">
        <f>D25/F25</f>
        <v>1.0309278350515463</v>
      </c>
      <c r="AB25" s="1557">
        <f>D25/H25</f>
        <v>1.0638297872340425</v>
      </c>
      <c r="AC25" s="1557">
        <f>D25/J25</f>
        <v>1.098901098901099</v>
      </c>
    </row>
    <row r="26" spans="1:29" ht="15">
      <c r="A26" s="2925" t="s">
        <v>3038</v>
      </c>
      <c r="B26" s="163" t="s">
        <v>973</v>
      </c>
      <c r="C26" s="895" t="s">
        <v>861</v>
      </c>
      <c r="D26" s="577">
        <v>100</v>
      </c>
      <c r="E26" s="895" t="s">
        <v>945</v>
      </c>
      <c r="F26" s="922">
        <f>SUMIF(77:77,E26,78:78)-SUMIF(77:77,C26,78:78)+100</f>
        <v>97</v>
      </c>
      <c r="G26" s="895" t="s">
        <v>861</v>
      </c>
      <c r="H26" s="577">
        <f>SUMIF(77:77,G26,78:78)-SUMIF(77:77,C26,78:78)+100</f>
        <v>100</v>
      </c>
      <c r="I26" s="895" t="s">
        <v>945</v>
      </c>
      <c r="J26" s="577">
        <f>SUMIF(77:77,I26,78:78)-SUMIF(77:77,C26,78:78)+100</f>
        <v>97</v>
      </c>
      <c r="K26" s="564">
        <v>3</v>
      </c>
      <c r="L26" s="2122"/>
      <c r="M26" s="2114"/>
      <c r="N26" s="2114"/>
      <c r="O26" s="2121"/>
      <c r="P26" s="3436" t="s">
        <v>1001</v>
      </c>
      <c r="Q26" s="1553" t="str">
        <f t="shared" si="11"/>
        <v>公共部分装修</v>
      </c>
      <c r="R26" s="1554" t="s">
        <v>8</v>
      </c>
      <c r="S26" s="1555">
        <f t="shared" ref="S26:S34" si="12">F26</f>
        <v>97</v>
      </c>
      <c r="T26" s="1554" t="s">
        <v>8</v>
      </c>
      <c r="U26" s="1555">
        <f t="shared" ref="U26:U34" si="13">H26</f>
        <v>100</v>
      </c>
      <c r="V26" s="1554" t="s">
        <v>8</v>
      </c>
      <c r="W26" s="1555">
        <f t="shared" ref="W26:W34" si="14">J26</f>
        <v>97</v>
      </c>
      <c r="X26" s="1548"/>
      <c r="Y26" s="3437" t="s">
        <v>1001</v>
      </c>
      <c r="Z26" s="1556" t="str">
        <f t="shared" ref="Z26:Z34" si="15">Q26</f>
        <v>公共部分装修</v>
      </c>
      <c r="AA26" s="1557">
        <f t="shared" si="3"/>
        <v>1.0309278350515463</v>
      </c>
      <c r="AB26" s="1557">
        <f t="shared" si="4"/>
        <v>1</v>
      </c>
      <c r="AC26" s="1557">
        <f t="shared" si="5"/>
        <v>1.0309278350515463</v>
      </c>
    </row>
    <row r="27" spans="1:29" s="1324" customFormat="1" ht="15">
      <c r="A27" s="583"/>
      <c r="B27" s="507" t="s">
        <v>974</v>
      </c>
      <c r="C27" s="863">
        <v>0.85</v>
      </c>
      <c r="D27" s="232">
        <v>100</v>
      </c>
      <c r="E27" s="864">
        <v>0.9</v>
      </c>
      <c r="F27" s="555">
        <f>LOOKUP(E27,80:80,81:81)-LOOKUP(C27,80:80,81:81)+100</f>
        <v>102</v>
      </c>
      <c r="G27" s="865">
        <v>0.95</v>
      </c>
      <c r="H27" s="520">
        <f>LOOKUP(G27,80:80,81:81)-LOOKUP(C27,80:80,81:81)+100</f>
        <v>102</v>
      </c>
      <c r="I27" s="865">
        <v>0.8</v>
      </c>
      <c r="J27" s="520">
        <f>LOOKUP(I27,80:80,81:81)-LOOKUP(C27,80:80,81:81)+100</f>
        <v>100</v>
      </c>
      <c r="K27" s="564">
        <v>2</v>
      </c>
      <c r="L27" s="2120"/>
      <c r="M27" s="2151"/>
      <c r="N27" s="2151"/>
      <c r="O27" s="2123"/>
      <c r="P27" s="3437"/>
      <c r="Q27" s="1586" t="str">
        <f t="shared" si="11"/>
        <v>成新率</v>
      </c>
      <c r="R27" s="1558" t="s">
        <v>8</v>
      </c>
      <c r="S27" s="1559">
        <f t="shared" si="12"/>
        <v>102</v>
      </c>
      <c r="T27" s="1558" t="s">
        <v>8</v>
      </c>
      <c r="U27" s="1559">
        <f t="shared" si="13"/>
        <v>102</v>
      </c>
      <c r="V27" s="1558" t="s">
        <v>8</v>
      </c>
      <c r="W27" s="1559">
        <f t="shared" si="14"/>
        <v>100</v>
      </c>
      <c r="X27" s="1560"/>
      <c r="Y27" s="3437"/>
      <c r="Z27" s="1561" t="str">
        <f t="shared" si="15"/>
        <v>成新率</v>
      </c>
      <c r="AA27" s="1557">
        <f t="shared" si="3"/>
        <v>0.98039215686274506</v>
      </c>
      <c r="AB27" s="1557">
        <f t="shared" si="4"/>
        <v>0.98039215686274506</v>
      </c>
      <c r="AC27" s="1557">
        <f t="shared" si="5"/>
        <v>1</v>
      </c>
    </row>
    <row r="28" spans="1:29" ht="15">
      <c r="A28" s="574"/>
      <c r="B28" s="507" t="s">
        <v>975</v>
      </c>
      <c r="C28" s="554" t="s">
        <v>911</v>
      </c>
      <c r="D28" s="520">
        <v>100</v>
      </c>
      <c r="E28" s="554" t="s">
        <v>913</v>
      </c>
      <c r="F28" s="555">
        <f>SUMIF(82:82,E28,83:83)-SUMIF(82:82,C28,83:83)+100</f>
        <v>94</v>
      </c>
      <c r="G28" s="554" t="s">
        <v>912</v>
      </c>
      <c r="H28" s="520">
        <f>SUMIF(82:82,G28,83:83)-SUMIF(82:82,C28,83:83)+100</f>
        <v>97</v>
      </c>
      <c r="I28" s="554" t="s">
        <v>911</v>
      </c>
      <c r="J28" s="520">
        <f>SUMIF(82:82,I28,83:83)-SUMIF(82:82,C28,83:83)+100</f>
        <v>100</v>
      </c>
      <c r="K28" s="564">
        <v>3</v>
      </c>
      <c r="L28" s="2122"/>
      <c r="M28" s="2114"/>
      <c r="N28" s="2114"/>
      <c r="O28" s="2121"/>
      <c r="P28" s="3437"/>
      <c r="Q28" s="1553" t="str">
        <f t="shared" si="11"/>
        <v>物业等级</v>
      </c>
      <c r="R28" s="1554" t="s">
        <v>8</v>
      </c>
      <c r="S28" s="1555">
        <f t="shared" si="12"/>
        <v>94</v>
      </c>
      <c r="T28" s="1554" t="s">
        <v>8</v>
      </c>
      <c r="U28" s="1555">
        <f t="shared" si="13"/>
        <v>97</v>
      </c>
      <c r="V28" s="1554" t="s">
        <v>8</v>
      </c>
      <c r="W28" s="1555">
        <f t="shared" si="14"/>
        <v>100</v>
      </c>
      <c r="X28" s="1548"/>
      <c r="Y28" s="3437"/>
      <c r="Z28" s="1556" t="str">
        <f t="shared" si="15"/>
        <v>物业等级</v>
      </c>
      <c r="AA28" s="1557">
        <f t="shared" si="3"/>
        <v>1.0638297872340425</v>
      </c>
      <c r="AB28" s="1557">
        <f t="shared" si="4"/>
        <v>1.0309278350515463</v>
      </c>
      <c r="AC28" s="1557">
        <f t="shared" si="5"/>
        <v>1</v>
      </c>
    </row>
    <row r="29" spans="1:29" ht="15">
      <c r="A29" s="574"/>
      <c r="B29" s="507" t="s">
        <v>1002</v>
      </c>
      <c r="C29" s="911" t="s">
        <v>1003</v>
      </c>
      <c r="D29" s="520">
        <v>100</v>
      </c>
      <c r="E29" s="911" t="s">
        <v>138</v>
      </c>
      <c r="F29" s="555">
        <f>SUMIF(84:84,E29,85:85)-SUMIF(84:84,C29,85:85)+100</f>
        <v>98</v>
      </c>
      <c r="G29" s="911" t="s">
        <v>1003</v>
      </c>
      <c r="H29" s="520">
        <f>SUMIF(84:84,G29,85:85)-SUMIF(84:84,C29,85:85)+100</f>
        <v>100</v>
      </c>
      <c r="I29" s="911" t="s">
        <v>138</v>
      </c>
      <c r="J29" s="520">
        <f>SUMIF(84:84,I29,85:85)-SUMIF(84:84,C29,85:85)+100</f>
        <v>98</v>
      </c>
      <c r="K29" s="564">
        <v>2</v>
      </c>
      <c r="L29" s="2122"/>
      <c r="M29" s="2114"/>
      <c r="N29" s="2114"/>
      <c r="O29" s="2121"/>
      <c r="P29" s="3437"/>
      <c r="Q29" s="1553" t="str">
        <f t="shared" si="11"/>
        <v>有无电梯</v>
      </c>
      <c r="R29" s="1554" t="s">
        <v>8</v>
      </c>
      <c r="S29" s="1555">
        <f t="shared" si="12"/>
        <v>98</v>
      </c>
      <c r="T29" s="1554" t="s">
        <v>8</v>
      </c>
      <c r="U29" s="1555">
        <f t="shared" si="13"/>
        <v>100</v>
      </c>
      <c r="V29" s="1554" t="s">
        <v>8</v>
      </c>
      <c r="W29" s="1555">
        <f t="shared" si="14"/>
        <v>98</v>
      </c>
      <c r="X29" s="1548"/>
      <c r="Y29" s="3437"/>
      <c r="Z29" s="1556" t="str">
        <f t="shared" si="15"/>
        <v>有无电梯</v>
      </c>
      <c r="AA29" s="1557">
        <f t="shared" si="3"/>
        <v>1.0204081632653061</v>
      </c>
      <c r="AB29" s="1557">
        <f t="shared" si="4"/>
        <v>1</v>
      </c>
      <c r="AC29" s="1557">
        <f t="shared" si="5"/>
        <v>1.0204081632653061</v>
      </c>
    </row>
    <row r="30" spans="1:29" ht="15">
      <c r="A30" s="574"/>
      <c r="B30" s="507" t="s">
        <v>1004</v>
      </c>
      <c r="C30" s="860">
        <v>50</v>
      </c>
      <c r="D30" s="520">
        <v>100</v>
      </c>
      <c r="E30" s="860">
        <v>20</v>
      </c>
      <c r="F30" s="555">
        <f>LOOKUP(E30,87:87,88:88)-LOOKUP(C30,87:87,88:88)+100</f>
        <v>96</v>
      </c>
      <c r="G30" s="860">
        <v>35</v>
      </c>
      <c r="H30" s="520">
        <f>LOOKUP(G30,87:87,88:88)-LOOKUP(C30,87:87,88:88)+100</f>
        <v>98</v>
      </c>
      <c r="I30" s="860">
        <v>80</v>
      </c>
      <c r="J30" s="520">
        <f>LOOKUP(I30,87:87,88:88)-LOOKUP(C30,87:87,88:88)+100</f>
        <v>102</v>
      </c>
      <c r="K30" s="561"/>
      <c r="L30" s="2122"/>
      <c r="M30" s="2114"/>
      <c r="N30" s="2114"/>
      <c r="O30" s="2121"/>
      <c r="P30" s="3437"/>
      <c r="Q30" s="1553" t="str">
        <f t="shared" si="11"/>
        <v>建筑面积</v>
      </c>
      <c r="R30" s="1554" t="s">
        <v>8</v>
      </c>
      <c r="S30" s="1555">
        <f t="shared" si="12"/>
        <v>96</v>
      </c>
      <c r="T30" s="1554" t="s">
        <v>8</v>
      </c>
      <c r="U30" s="1555">
        <f t="shared" si="13"/>
        <v>98</v>
      </c>
      <c r="V30" s="1554" t="s">
        <v>8</v>
      </c>
      <c r="W30" s="1555">
        <f t="shared" si="14"/>
        <v>102</v>
      </c>
      <c r="X30" s="1548"/>
      <c r="Y30" s="3437"/>
      <c r="Z30" s="1556" t="str">
        <f t="shared" si="15"/>
        <v>建筑面积</v>
      </c>
      <c r="AA30" s="1557">
        <f t="shared" si="3"/>
        <v>1.0416666666666667</v>
      </c>
      <c r="AB30" s="1557">
        <f t="shared" si="4"/>
        <v>1.0204081632653061</v>
      </c>
      <c r="AC30" s="1557">
        <f t="shared" si="5"/>
        <v>0.98039215686274506</v>
      </c>
    </row>
    <row r="31" spans="1:29" s="1199" customFormat="1" ht="15">
      <c r="A31" s="580"/>
      <c r="B31" s="507" t="s">
        <v>1005</v>
      </c>
      <c r="C31" s="911" t="s">
        <v>1006</v>
      </c>
      <c r="D31" s="232">
        <v>100</v>
      </c>
      <c r="E31" s="911" t="s">
        <v>1007</v>
      </c>
      <c r="F31" s="555">
        <f>SUMIF(89:89,E31,90:90)-SUMIF(89:89,C31,90:90)+100</f>
        <v>102</v>
      </c>
      <c r="G31" s="911" t="s">
        <v>1007</v>
      </c>
      <c r="H31" s="520">
        <f>SUMIF(89:89,G31,90:90)-SUMIF(89:89,C31,90:90)+100</f>
        <v>102</v>
      </c>
      <c r="I31" s="911" t="s">
        <v>1006</v>
      </c>
      <c r="J31" s="520">
        <f>SUMIF(89:89,I31,90:90)-SUMIF(89:89,C31,90:90)+100</f>
        <v>100</v>
      </c>
      <c r="K31" s="564">
        <v>2</v>
      </c>
      <c r="L31" s="2115"/>
      <c r="M31" s="2116"/>
      <c r="N31" s="2116"/>
      <c r="O31" s="2117"/>
      <c r="P31" s="3437"/>
      <c r="Q31" s="1130" t="str">
        <f t="shared" si="11"/>
        <v>是否封闭</v>
      </c>
      <c r="R31" s="1549" t="s">
        <v>8</v>
      </c>
      <c r="S31" s="1550">
        <f t="shared" si="12"/>
        <v>102</v>
      </c>
      <c r="T31" s="1549" t="s">
        <v>8</v>
      </c>
      <c r="U31" s="1550">
        <f t="shared" si="13"/>
        <v>102</v>
      </c>
      <c r="V31" s="1549" t="s">
        <v>8</v>
      </c>
      <c r="W31" s="1550">
        <f t="shared" si="14"/>
        <v>100</v>
      </c>
      <c r="X31" s="1551"/>
      <c r="Y31" s="3437"/>
      <c r="Z31" s="1129" t="str">
        <f t="shared" si="15"/>
        <v>是否封闭</v>
      </c>
      <c r="AA31" s="1552">
        <f t="shared" si="3"/>
        <v>0.98039215686274506</v>
      </c>
      <c r="AB31" s="1552">
        <f t="shared" si="4"/>
        <v>0.98039215686274506</v>
      </c>
      <c r="AC31" s="1552">
        <f t="shared" si="5"/>
        <v>1</v>
      </c>
    </row>
    <row r="32" spans="1:29" ht="15">
      <c r="A32" s="574"/>
      <c r="B32" s="517">
        <v>111</v>
      </c>
      <c r="C32" s="508">
        <v>111</v>
      </c>
      <c r="D32" s="520">
        <v>100</v>
      </c>
      <c r="E32" s="860">
        <v>222</v>
      </c>
      <c r="F32" s="555">
        <f>SUMIF(91:91,E32,92:92)-SUMIF(91:91,C32,92:92)+100</f>
        <v>99</v>
      </c>
      <c r="G32" s="860">
        <v>333</v>
      </c>
      <c r="H32" s="520">
        <f>SUMIF(91:91,G32,92:92)-SUMIF(91:91,C32,92:92)+100</f>
        <v>98</v>
      </c>
      <c r="I32" s="860">
        <v>444</v>
      </c>
      <c r="J32" s="520">
        <f>SUMIF(91:91,I32,92:92)-SUMIF(91:91,C32,92:92)+100</f>
        <v>97</v>
      </c>
      <c r="K32" s="561"/>
      <c r="L32" s="2122"/>
      <c r="M32" s="2114"/>
      <c r="N32" s="2114"/>
      <c r="O32" s="2121"/>
      <c r="P32" s="3437" t="s">
        <v>543</v>
      </c>
      <c r="Q32" s="1553">
        <f t="shared" si="11"/>
        <v>111</v>
      </c>
      <c r="R32" s="1554" t="s">
        <v>8</v>
      </c>
      <c r="S32" s="1555">
        <f t="shared" si="12"/>
        <v>99</v>
      </c>
      <c r="T32" s="1554" t="s">
        <v>8</v>
      </c>
      <c r="U32" s="1555">
        <f t="shared" si="13"/>
        <v>98</v>
      </c>
      <c r="V32" s="1554" t="s">
        <v>8</v>
      </c>
      <c r="W32" s="1555">
        <f t="shared" si="14"/>
        <v>97</v>
      </c>
      <c r="X32" s="1548"/>
      <c r="Y32" s="3437" t="s">
        <v>543</v>
      </c>
      <c r="Z32" s="1556">
        <f t="shared" si="15"/>
        <v>111</v>
      </c>
      <c r="AA32" s="1557">
        <f t="shared" si="3"/>
        <v>1.0101010101010102</v>
      </c>
      <c r="AB32" s="1557">
        <f t="shared" si="4"/>
        <v>1.0204081632653061</v>
      </c>
      <c r="AC32" s="1557">
        <f t="shared" si="5"/>
        <v>1.0309278350515463</v>
      </c>
    </row>
    <row r="33" spans="1:29" ht="15">
      <c r="A33" s="574"/>
      <c r="B33" s="517">
        <v>111</v>
      </c>
      <c r="C33" s="508">
        <v>111</v>
      </c>
      <c r="D33" s="520">
        <v>100</v>
      </c>
      <c r="E33" s="860">
        <v>222</v>
      </c>
      <c r="F33" s="555">
        <f>SUMIF(93:93,E33,94:94)-SUMIF(93:93,C33,94:94)+100</f>
        <v>98</v>
      </c>
      <c r="G33" s="860">
        <v>333</v>
      </c>
      <c r="H33" s="520">
        <f>SUMIF(93:93,G33,94:94)-SUMIF(93:93,C33,94:94)+100</f>
        <v>96</v>
      </c>
      <c r="I33" s="860">
        <v>444</v>
      </c>
      <c r="J33" s="520">
        <f>SUMIF(93:93,I33,94:94)-SUMIF(93:93,C33,94:94)+100</f>
        <v>94</v>
      </c>
      <c r="K33" s="561"/>
      <c r="L33" s="2122"/>
      <c r="M33" s="2114"/>
      <c r="N33" s="2114"/>
      <c r="O33" s="2121"/>
      <c r="P33" s="3437"/>
      <c r="Q33" s="1553">
        <f t="shared" si="11"/>
        <v>111</v>
      </c>
      <c r="R33" s="1554" t="s">
        <v>8</v>
      </c>
      <c r="S33" s="1555">
        <f t="shared" si="12"/>
        <v>98</v>
      </c>
      <c r="T33" s="1554" t="s">
        <v>8</v>
      </c>
      <c r="U33" s="1555">
        <f t="shared" si="13"/>
        <v>96</v>
      </c>
      <c r="V33" s="1554" t="s">
        <v>8</v>
      </c>
      <c r="W33" s="1555">
        <f t="shared" si="14"/>
        <v>94</v>
      </c>
      <c r="X33" s="1548"/>
      <c r="Y33" s="3437"/>
      <c r="Z33" s="1556">
        <f t="shared" si="15"/>
        <v>111</v>
      </c>
      <c r="AA33" s="1557">
        <f t="shared" si="3"/>
        <v>1.0204081632653061</v>
      </c>
      <c r="AB33" s="1557">
        <f t="shared" si="4"/>
        <v>1.0416666666666667</v>
      </c>
      <c r="AC33" s="1557">
        <f t="shared" si="5"/>
        <v>1.0638297872340425</v>
      </c>
    </row>
    <row r="34" spans="1:29" ht="15.75" thickBot="1">
      <c r="A34" s="866"/>
      <c r="B34" s="524">
        <v>111</v>
      </c>
      <c r="C34" s="525">
        <v>111</v>
      </c>
      <c r="D34" s="526">
        <v>100</v>
      </c>
      <c r="E34" s="923">
        <v>222</v>
      </c>
      <c r="F34" s="846">
        <f>SUMIF(95:95,E34,96:96)-SUMIF(95:95,C34,96:96)+100</f>
        <v>97</v>
      </c>
      <c r="G34" s="923">
        <v>333</v>
      </c>
      <c r="H34" s="526">
        <f>SUMIF(95:95,G34,96:96)-SUMIF(95:95,C34,96:96)+100</f>
        <v>94</v>
      </c>
      <c r="I34" s="923">
        <v>444</v>
      </c>
      <c r="J34" s="526">
        <f>SUMIF(95:95,I34,96:96)-SUMIF(95:95,C34,96:96)+100</f>
        <v>91</v>
      </c>
      <c r="K34" s="561"/>
      <c r="L34" s="2122"/>
      <c r="M34" s="2114"/>
      <c r="N34" s="2114"/>
      <c r="O34" s="2121"/>
      <c r="P34" s="3437"/>
      <c r="Q34" s="1553">
        <f t="shared" si="11"/>
        <v>111</v>
      </c>
      <c r="R34" s="1554" t="s">
        <v>8</v>
      </c>
      <c r="S34" s="1555">
        <f t="shared" si="12"/>
        <v>97</v>
      </c>
      <c r="T34" s="1554" t="s">
        <v>8</v>
      </c>
      <c r="U34" s="1555">
        <f t="shared" si="13"/>
        <v>94</v>
      </c>
      <c r="V34" s="1554" t="s">
        <v>8</v>
      </c>
      <c r="W34" s="1555">
        <f t="shared" si="14"/>
        <v>91</v>
      </c>
      <c r="X34" s="1548"/>
      <c r="Y34" s="3437"/>
      <c r="Z34" s="1556">
        <f t="shared" si="15"/>
        <v>111</v>
      </c>
      <c r="AA34" s="1557">
        <f t="shared" si="3"/>
        <v>1.0309278350515463</v>
      </c>
      <c r="AB34" s="1557">
        <f t="shared" si="4"/>
        <v>1.0638297872340425</v>
      </c>
      <c r="AC34" s="1557">
        <f t="shared" si="5"/>
        <v>1.098901098901099</v>
      </c>
    </row>
    <row r="35" spans="1:29" ht="15">
      <c r="A35" s="587" t="s">
        <v>790</v>
      </c>
      <c r="B35" s="867"/>
      <c r="C35" s="2640" t="s">
        <v>1</v>
      </c>
      <c r="D35" s="2641"/>
      <c r="E35" s="2642">
        <v>30000</v>
      </c>
      <c r="F35" s="2643"/>
      <c r="G35" s="2644">
        <v>35000</v>
      </c>
      <c r="H35" s="2645"/>
      <c r="I35" s="2642">
        <v>32000</v>
      </c>
      <c r="J35" s="2645"/>
      <c r="K35" s="1592"/>
      <c r="L35" s="2124"/>
      <c r="M35" s="2125"/>
      <c r="N35" s="2114"/>
      <c r="O35" s="2125"/>
      <c r="P35" s="3396" t="str">
        <f>A35</f>
        <v>成交单价（元/平方米）</v>
      </c>
      <c r="Q35" s="3396"/>
      <c r="R35" s="3512">
        <f>E35</f>
        <v>30000</v>
      </c>
      <c r="S35" s="3512"/>
      <c r="T35" s="3512">
        <f>G35</f>
        <v>35000</v>
      </c>
      <c r="U35" s="3512"/>
      <c r="V35" s="3512">
        <f>I35</f>
        <v>32000</v>
      </c>
      <c r="W35" s="3512"/>
      <c r="X35" s="1540"/>
      <c r="Y35" s="1562"/>
      <c r="Z35" s="1540"/>
      <c r="AA35" s="1540"/>
      <c r="AB35" s="1540"/>
      <c r="AC35" s="1540"/>
    </row>
    <row r="36" spans="1:29" ht="15.75" thickBot="1">
      <c r="A36" s="595" t="s">
        <v>3043</v>
      </c>
      <c r="B36" s="868"/>
      <c r="C36" s="2646" t="e">
        <f>R37</f>
        <v>#DIV/0!</v>
      </c>
      <c r="D36" s="2647"/>
      <c r="E36" s="2648" t="e">
        <f>R36</f>
        <v>#DIV/0!</v>
      </c>
      <c r="F36" s="2648"/>
      <c r="G36" s="2646" t="e">
        <f>T36</f>
        <v>#DIV/0!</v>
      </c>
      <c r="H36" s="2647"/>
      <c r="I36" s="2648" t="e">
        <f>V36</f>
        <v>#DIV/0!</v>
      </c>
      <c r="J36" s="2647"/>
      <c r="K36" s="1593"/>
      <c r="L36" s="2124"/>
      <c r="M36" s="2125"/>
      <c r="N36" s="2114"/>
      <c r="O36" s="2125"/>
      <c r="P36" s="3396" t="str">
        <f>A36</f>
        <v>比较价格（元/平方米）</v>
      </c>
      <c r="Q36" s="3396"/>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1540"/>
      <c r="Y36" s="1540"/>
      <c r="Z36" s="1540"/>
      <c r="AA36" s="1540"/>
      <c r="AB36" s="1540"/>
      <c r="AC36" s="1540"/>
    </row>
    <row r="37" spans="1:29" ht="15.75" thickBot="1">
      <c r="A37" s="601" t="s">
        <v>3044</v>
      </c>
      <c r="B37" s="602"/>
      <c r="C37" s="2649" t="e">
        <f>R37</f>
        <v>#DIV/0!</v>
      </c>
      <c r="D37" s="2649"/>
      <c r="E37" s="2649"/>
      <c r="F37" s="2649"/>
      <c r="G37" s="2649"/>
      <c r="H37" s="2649"/>
      <c r="I37" s="2649"/>
      <c r="J37" s="2649"/>
      <c r="K37" s="1594"/>
      <c r="L37" s="2124"/>
      <c r="M37" s="2125"/>
      <c r="N37" s="2125"/>
      <c r="O37" s="2125"/>
      <c r="P37" s="3393" t="str">
        <f>A37</f>
        <v>估价对象XX用房的比较价格（楼面单价，元/平方米）</v>
      </c>
      <c r="Q37" s="3394"/>
      <c r="R37" s="3511" t="e">
        <f>IF(F1="售价",ROUND(AVERAGE(R36:V36),0),ROUND(AVERAGE(R36:V36),1))</f>
        <v>#DIV/0!</v>
      </c>
      <c r="S37" s="3511"/>
      <c r="T37" s="3511"/>
      <c r="U37" s="3511"/>
      <c r="V37" s="3511"/>
      <c r="W37" s="3511"/>
      <c r="X37" s="1540"/>
      <c r="Y37" s="1540"/>
      <c r="Z37" s="1540"/>
      <c r="AA37" s="1540"/>
      <c r="AB37" s="1540"/>
      <c r="AC37" s="1540"/>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04" t="s">
        <v>553</v>
      </c>
      <c r="D40" s="605"/>
      <c r="E40" s="606" t="e">
        <f>IF(E35&lt;E36,E36/E35-1,E35/E36-1)</f>
        <v>#DIV/0!</v>
      </c>
      <c r="F40" s="607" t="e">
        <f>IF(OR(E40&gt;=0.3,E40&lt;=-0.3),"超过30%","")</f>
        <v>#DIV/0!</v>
      </c>
      <c r="G40" s="606" t="e">
        <f>IF(G35&lt;G36,G36/G35-1,G35/G36-1)</f>
        <v>#DIV/0!</v>
      </c>
      <c r="H40" s="607" t="e">
        <f>IF(OR(G40&gt;=0.3,G40&lt;=-0.3),"超过30%","")</f>
        <v>#DIV/0!</v>
      </c>
      <c r="I40" s="606" t="e">
        <f>IF(I35&lt;I36,I36/I35-1,I35/I36-1)</f>
        <v>#DIV/0!</v>
      </c>
      <c r="J40" s="607"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04" t="s">
        <v>554</v>
      </c>
      <c r="D41" s="608"/>
      <c r="E41" s="606" t="e">
        <f>IF(E36&lt;G36,G36/E36-1,E36/G36-1)</f>
        <v>#DIV/0!</v>
      </c>
      <c r="F41" s="607" t="e">
        <f>IF(OR(E41&gt;=0.2,E41&lt;=-0.2),"超过20%","")</f>
        <v>#DIV/0!</v>
      </c>
      <c r="G41" s="606" t="e">
        <f>IF(G36&lt;I36,I36/G36-1,G36/I36-1)</f>
        <v>#DIV/0!</v>
      </c>
      <c r="H41" s="607" t="e">
        <f>IF(OR(G41&gt;=0.2,G41&lt;=-0.2),"超过20%","")</f>
        <v>#DIV/0!</v>
      </c>
      <c r="I41" s="606" t="e">
        <f>IF(I36&lt;E36,E36/I36-1,I36/E36-1)</f>
        <v>#DIV/0!</v>
      </c>
      <c r="J41" s="607"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0" customFormat="1" ht="13.5" customHeight="1">
      <c r="A42" s="2126"/>
      <c r="B42" s="2126"/>
      <c r="C42" s="604" t="s">
        <v>555</v>
      </c>
      <c r="D42" s="608"/>
      <c r="E42" s="606">
        <f>IF(E35&lt;G35,G35/E35-1,E35/G35-1)</f>
        <v>0.16666666666666674</v>
      </c>
      <c r="F42" s="607" t="str">
        <f>IF(OR(E42&gt;=0.3,E42&lt;=-0.3),"超过30%","")</f>
        <v/>
      </c>
      <c r="G42" s="606">
        <f>IF(G35&lt;I35,I35/G35-1,G35/I35-1)</f>
        <v>9.375E-2</v>
      </c>
      <c r="H42" s="607" t="str">
        <f>IF(OR(G42&gt;=0.3,G42&lt;=-0.3),"超过30%","")</f>
        <v/>
      </c>
      <c r="I42" s="606">
        <f>IF(I35&lt;E35,E35/I35-1,I35/E35-1)</f>
        <v>6.6666666666666652E-2</v>
      </c>
      <c r="J42" s="607" t="str">
        <f>IF(OR(I42&gt;=0.3,I42&lt;=-0.3),"超过30%","")</f>
        <v/>
      </c>
      <c r="K42" s="2132"/>
      <c r="L42" s="2133"/>
      <c r="M42" s="2126"/>
      <c r="N42" s="2126"/>
      <c r="O42" s="2126"/>
      <c r="P42" s="2126"/>
      <c r="Q42" s="2126"/>
      <c r="R42" s="2126"/>
      <c r="S42" s="2126"/>
      <c r="T42" s="2126"/>
      <c r="U42" s="2126"/>
      <c r="V42" s="2126"/>
      <c r="W42" s="2126"/>
      <c r="X42" s="2126"/>
      <c r="Y42" s="2126"/>
      <c r="Z42" s="2126"/>
      <c r="AA42" s="2126"/>
      <c r="AB42" s="2126"/>
      <c r="AC42" s="2126"/>
    </row>
    <row r="43" spans="1:29" s="1330"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5" t="s">
        <v>570</v>
      </c>
      <c r="B45" s="1540"/>
      <c r="C45" s="1564"/>
      <c r="D45" s="1564"/>
      <c r="E45" s="1564"/>
      <c r="F45" s="1566"/>
      <c r="G45" s="1566"/>
      <c r="H45" s="1564"/>
      <c r="I45" s="1564"/>
      <c r="J45" s="1564"/>
      <c r="K45" s="1567"/>
      <c r="L45" s="1563"/>
      <c r="M45" s="1564"/>
      <c r="N45" s="1564"/>
      <c r="O45" s="1564"/>
      <c r="P45" s="2137"/>
      <c r="Q45" s="2138"/>
      <c r="R45" s="2125"/>
      <c r="S45" s="2125"/>
      <c r="T45" s="2125"/>
      <c r="U45" s="2125"/>
      <c r="V45" s="2125"/>
      <c r="W45" s="2125"/>
      <c r="X45" s="2125"/>
      <c r="Y45" s="2125"/>
      <c r="Z45" s="2125"/>
      <c r="AA45" s="2125"/>
      <c r="AB45" s="2125"/>
      <c r="AC45" s="2125"/>
    </row>
    <row r="46" spans="1:29" s="1332" customFormat="1" ht="15">
      <c r="A46" s="625" t="s">
        <v>518</v>
      </c>
      <c r="B46" s="626"/>
      <c r="C46" s="2820" t="str">
        <f>YEAR(C7)&amp;"-"&amp;MONTH(C7)</f>
        <v>2017-6</v>
      </c>
      <c r="D46" s="2822">
        <f>EDATE(C46,-1)</f>
        <v>42856</v>
      </c>
      <c r="E46" s="2822">
        <f t="shared" ref="E46:O46" si="16">EDATE(D46,-1)</f>
        <v>42826</v>
      </c>
      <c r="F46" s="2822">
        <f t="shared" si="16"/>
        <v>42795</v>
      </c>
      <c r="G46" s="2822">
        <f t="shared" si="16"/>
        <v>42767</v>
      </c>
      <c r="H46" s="2822">
        <f t="shared" si="16"/>
        <v>42736</v>
      </c>
      <c r="I46" s="2822">
        <f t="shared" si="16"/>
        <v>42705</v>
      </c>
      <c r="J46" s="2822">
        <f t="shared" si="16"/>
        <v>42675</v>
      </c>
      <c r="K46" s="2822">
        <f t="shared" si="16"/>
        <v>42644</v>
      </c>
      <c r="L46" s="2822">
        <f t="shared" si="16"/>
        <v>42614</v>
      </c>
      <c r="M46" s="2822">
        <f t="shared" si="16"/>
        <v>42583</v>
      </c>
      <c r="N46" s="2822">
        <f t="shared" si="16"/>
        <v>42552</v>
      </c>
      <c r="O46" s="2822">
        <f t="shared" si="16"/>
        <v>42522</v>
      </c>
      <c r="P46" s="2140"/>
      <c r="Q46" s="2141"/>
      <c r="R46" s="2141"/>
      <c r="S46" s="2141"/>
      <c r="T46" s="2141"/>
      <c r="U46" s="2141"/>
      <c r="V46" s="2141"/>
      <c r="W46" s="2141"/>
      <c r="X46" s="2141"/>
      <c r="Y46" s="2141"/>
      <c r="Z46" s="2141"/>
      <c r="AA46" s="2141"/>
      <c r="AB46" s="2141"/>
      <c r="AC46" s="2141"/>
    </row>
    <row r="47" spans="1:29" s="1199" customFormat="1" ht="15">
      <c r="A47" s="627"/>
      <c r="B47" s="628"/>
      <c r="C47" s="629">
        <v>100</v>
      </c>
      <c r="D47" s="630">
        <v>99.5</v>
      </c>
      <c r="E47" s="630">
        <v>99</v>
      </c>
      <c r="F47" s="630">
        <v>98.5</v>
      </c>
      <c r="G47" s="630">
        <v>98</v>
      </c>
      <c r="H47" s="630">
        <v>97.5</v>
      </c>
      <c r="I47" s="630">
        <v>97</v>
      </c>
      <c r="J47" s="630">
        <v>96.5</v>
      </c>
      <c r="K47" s="630">
        <v>96</v>
      </c>
      <c r="L47" s="630">
        <v>95.5</v>
      </c>
      <c r="M47" s="631">
        <v>95</v>
      </c>
      <c r="N47" s="630">
        <v>94.5</v>
      </c>
      <c r="O47" s="632">
        <v>94</v>
      </c>
      <c r="P47" s="2138"/>
      <c r="Q47" s="1969"/>
      <c r="R47" s="1969"/>
      <c r="S47" s="1969"/>
      <c r="T47" s="1969"/>
      <c r="U47" s="1969"/>
      <c r="V47" s="1969"/>
      <c r="W47" s="1969"/>
      <c r="X47" s="1969"/>
      <c r="Y47" s="1969"/>
      <c r="Z47" s="1969"/>
      <c r="AA47" s="1969"/>
      <c r="AB47" s="1969"/>
      <c r="AC47" s="1969"/>
    </row>
    <row r="48" spans="1:29" s="1199" customFormat="1" ht="15.75" thickBot="1">
      <c r="A48" s="633" t="s">
        <v>571</v>
      </c>
      <c r="B48" s="634"/>
      <c r="C48" s="635"/>
      <c r="D48" s="636"/>
      <c r="E48" s="636"/>
      <c r="F48" s="636"/>
      <c r="G48" s="636"/>
      <c r="H48" s="636"/>
      <c r="I48" s="636"/>
      <c r="J48" s="636"/>
      <c r="K48" s="636"/>
      <c r="L48" s="636"/>
      <c r="M48" s="637"/>
      <c r="N48" s="636"/>
      <c r="O48" s="638"/>
      <c r="P48" s="2138"/>
      <c r="Q48" s="2138"/>
      <c r="R48" s="1969"/>
      <c r="S48" s="1969"/>
      <c r="T48" s="1969"/>
      <c r="U48" s="1969"/>
      <c r="V48" s="1969"/>
      <c r="W48" s="1969"/>
      <c r="X48" s="1969"/>
      <c r="Y48" s="1969"/>
      <c r="Z48" s="1969"/>
      <c r="AA48" s="1969"/>
      <c r="AB48" s="1969"/>
      <c r="AC48" s="1969"/>
    </row>
    <row r="49" spans="1:29" s="1199" customFormat="1" ht="15">
      <c r="A49" s="639" t="s">
        <v>520</v>
      </c>
      <c r="B49" s="628"/>
      <c r="C49" s="640" t="s">
        <v>572</v>
      </c>
      <c r="D49" s="641" t="s">
        <v>573</v>
      </c>
      <c r="E49" s="641"/>
      <c r="F49" s="641"/>
      <c r="G49" s="641"/>
      <c r="H49" s="641"/>
      <c r="I49" s="641"/>
      <c r="J49" s="641"/>
      <c r="K49" s="641"/>
      <c r="L49" s="642"/>
      <c r="M49" s="643"/>
      <c r="N49" s="2142"/>
      <c r="O49" s="2142"/>
      <c r="P49" s="2143"/>
      <c r="Q49" s="2138"/>
      <c r="R49" s="1969"/>
      <c r="S49" s="1969"/>
      <c r="T49" s="1969"/>
      <c r="U49" s="1969"/>
      <c r="V49" s="1969"/>
      <c r="W49" s="1969"/>
      <c r="X49" s="1969"/>
      <c r="Y49" s="1969"/>
      <c r="Z49" s="1969"/>
      <c r="AA49" s="1969"/>
      <c r="AB49" s="1969"/>
      <c r="AC49" s="1969"/>
    </row>
    <row r="50" spans="1:29" s="1199" customFormat="1" ht="15.75" thickBot="1">
      <c r="A50" s="639"/>
      <c r="B50" s="628"/>
      <c r="C50" s="629">
        <v>100</v>
      </c>
      <c r="D50" s="630">
        <v>95</v>
      </c>
      <c r="E50" s="630"/>
      <c r="F50" s="630"/>
      <c r="G50" s="630"/>
      <c r="H50" s="630"/>
      <c r="I50" s="630"/>
      <c r="J50" s="630"/>
      <c r="K50" s="630"/>
      <c r="L50" s="630"/>
      <c r="M50" s="632"/>
      <c r="N50" s="2142"/>
      <c r="O50" s="2142"/>
      <c r="P50" s="2138"/>
      <c r="Q50" s="2138"/>
      <c r="R50" s="1969"/>
      <c r="S50" s="1969"/>
      <c r="T50" s="1969"/>
      <c r="U50" s="1969"/>
      <c r="V50" s="1969"/>
      <c r="W50" s="1969"/>
      <c r="X50" s="1969"/>
      <c r="Y50" s="1969"/>
      <c r="Z50" s="1969"/>
      <c r="AA50" s="1969"/>
      <c r="AB50" s="1969"/>
      <c r="AC50" s="1969"/>
    </row>
    <row r="51" spans="1:29">
      <c r="A51" s="644" t="s">
        <v>574</v>
      </c>
      <c r="B51" s="645" t="s">
        <v>523</v>
      </c>
      <c r="C51" s="684" t="str">
        <f>C9</f>
        <v>仓储</v>
      </c>
      <c r="D51" s="578"/>
      <c r="E51" s="578"/>
      <c r="F51" s="578"/>
      <c r="G51" s="578"/>
      <c r="H51" s="578"/>
      <c r="I51" s="578"/>
      <c r="J51" s="578"/>
      <c r="K51" s="646"/>
      <c r="L51" s="647"/>
      <c r="M51" s="648"/>
      <c r="N51" s="2144"/>
      <c r="O51" s="2144"/>
      <c r="P51" s="2145"/>
      <c r="Q51" s="2138"/>
      <c r="R51" s="2125"/>
      <c r="S51" s="2125"/>
      <c r="T51" s="2125"/>
      <c r="U51" s="2125"/>
      <c r="V51" s="2125"/>
      <c r="W51" s="2125"/>
      <c r="X51" s="2125"/>
      <c r="Y51" s="2125"/>
      <c r="Z51" s="2125"/>
      <c r="AA51" s="2125"/>
      <c r="AB51" s="2125"/>
      <c r="AC51" s="2125"/>
    </row>
    <row r="52" spans="1:29" ht="15.75" thickBot="1">
      <c r="A52" s="649"/>
      <c r="B52" s="650"/>
      <c r="C52" s="651">
        <v>100</v>
      </c>
      <c r="D52" s="651"/>
      <c r="E52" s="651"/>
      <c r="F52" s="651"/>
      <c r="G52" s="651"/>
      <c r="H52" s="651"/>
      <c r="I52" s="651"/>
      <c r="J52" s="651"/>
      <c r="K52" s="651"/>
      <c r="L52" s="651"/>
      <c r="M52" s="652"/>
      <c r="N52" s="2146"/>
      <c r="O52" s="2146"/>
      <c r="P52" s="2145"/>
      <c r="Q52" s="2138"/>
      <c r="R52" s="2125"/>
      <c r="S52" s="2125"/>
      <c r="T52" s="2125"/>
      <c r="U52" s="2125"/>
      <c r="V52" s="2125"/>
      <c r="W52" s="2125"/>
      <c r="X52" s="2125"/>
      <c r="Y52" s="2125"/>
      <c r="Z52" s="2125"/>
      <c r="AA52" s="2125"/>
      <c r="AB52" s="2125"/>
      <c r="AC52" s="2125"/>
    </row>
    <row r="53" spans="1:29" ht="27.75" thickTop="1">
      <c r="A53" s="649"/>
      <c r="B53" s="653" t="s">
        <v>526</v>
      </c>
      <c r="C53" s="654" t="s">
        <v>792</v>
      </c>
      <c r="D53" s="654" t="s">
        <v>793</v>
      </c>
      <c r="E53" s="654" t="s">
        <v>794</v>
      </c>
      <c r="F53" s="654" t="s">
        <v>795</v>
      </c>
      <c r="G53" s="654" t="s">
        <v>796</v>
      </c>
      <c r="H53" s="654" t="s">
        <v>797</v>
      </c>
      <c r="I53" s="654" t="s">
        <v>798</v>
      </c>
      <c r="J53" s="654"/>
      <c r="K53" s="655"/>
      <c r="L53" s="656"/>
      <c r="M53" s="657"/>
      <c r="N53" s="2144"/>
      <c r="O53" s="2144"/>
      <c r="P53" s="2145"/>
      <c r="Q53" s="2138"/>
      <c r="R53" s="2125"/>
      <c r="S53" s="2125"/>
      <c r="T53" s="2125"/>
      <c r="U53" s="2125"/>
      <c r="V53" s="2125"/>
      <c r="W53" s="2125"/>
      <c r="X53" s="2125"/>
      <c r="Y53" s="2125"/>
      <c r="Z53" s="2125"/>
      <c r="AA53" s="2125"/>
      <c r="AB53" s="2125"/>
      <c r="AC53" s="2125"/>
    </row>
    <row r="54" spans="1:29" ht="15.75" thickBot="1">
      <c r="A54" s="649"/>
      <c r="B54" s="658"/>
      <c r="C54" s="659" t="s">
        <v>14</v>
      </c>
      <c r="D54" s="659" t="s">
        <v>15</v>
      </c>
      <c r="E54" s="659">
        <v>100</v>
      </c>
      <c r="F54" s="659">
        <f>E54-$K10</f>
        <v>97</v>
      </c>
      <c r="G54" s="659">
        <f>F54-$K10</f>
        <v>94</v>
      </c>
      <c r="H54" s="659">
        <f>G54-$K10</f>
        <v>91</v>
      </c>
      <c r="I54" s="659">
        <f>H54-$K10</f>
        <v>88</v>
      </c>
      <c r="J54" s="659"/>
      <c r="K54" s="659"/>
      <c r="L54" s="659"/>
      <c r="M54" s="660"/>
      <c r="N54" s="2146"/>
      <c r="O54" s="2146"/>
      <c r="P54" s="2145"/>
      <c r="Q54" s="2138"/>
      <c r="R54" s="2125"/>
      <c r="S54" s="2125"/>
      <c r="T54" s="2125"/>
      <c r="U54" s="2125"/>
      <c r="V54" s="2125"/>
      <c r="W54" s="2125"/>
      <c r="X54" s="2125"/>
      <c r="Y54" s="2125"/>
      <c r="Z54" s="2125"/>
      <c r="AA54" s="2125"/>
      <c r="AB54" s="2125"/>
      <c r="AC54" s="2125"/>
    </row>
    <row r="55" spans="1:29" ht="15.75" thickTop="1">
      <c r="A55" s="649"/>
      <c r="B55" s="914">
        <f>B11</f>
        <v>111</v>
      </c>
      <c r="C55" s="521">
        <v>111</v>
      </c>
      <c r="D55" s="521">
        <v>222</v>
      </c>
      <c r="E55" s="521">
        <v>333</v>
      </c>
      <c r="F55" s="521">
        <v>444</v>
      </c>
      <c r="G55" s="521"/>
      <c r="H55" s="521"/>
      <c r="I55" s="521"/>
      <c r="J55" s="521"/>
      <c r="K55" s="664"/>
      <c r="L55" s="665"/>
      <c r="M55" s="666"/>
      <c r="N55" s="2144"/>
      <c r="O55" s="2144"/>
      <c r="P55" s="2145"/>
      <c r="Q55" s="2138"/>
      <c r="R55" s="2125"/>
      <c r="S55" s="2125"/>
      <c r="T55" s="2125"/>
      <c r="U55" s="2125"/>
      <c r="V55" s="2125"/>
      <c r="W55" s="2125"/>
      <c r="X55" s="2125"/>
      <c r="Y55" s="2125"/>
      <c r="Z55" s="2125"/>
      <c r="AA55" s="2125"/>
      <c r="AB55" s="2125"/>
      <c r="AC55" s="2125"/>
    </row>
    <row r="56" spans="1:29" ht="15.75" thickBot="1">
      <c r="A56" s="649"/>
      <c r="B56" s="650"/>
      <c r="C56" s="672">
        <v>100</v>
      </c>
      <c r="D56" s="651">
        <v>99</v>
      </c>
      <c r="E56" s="651">
        <v>98</v>
      </c>
      <c r="F56" s="651">
        <v>97</v>
      </c>
      <c r="G56" s="651"/>
      <c r="H56" s="651"/>
      <c r="I56" s="651"/>
      <c r="J56" s="651"/>
      <c r="K56" s="651"/>
      <c r="L56" s="651"/>
      <c r="M56" s="652"/>
      <c r="N56" s="2146"/>
      <c r="O56" s="2146"/>
      <c r="P56" s="2145"/>
      <c r="Q56" s="2138"/>
      <c r="R56" s="2125"/>
      <c r="S56" s="2125"/>
      <c r="T56" s="2125"/>
      <c r="U56" s="2125"/>
      <c r="V56" s="2125"/>
      <c r="W56" s="2125"/>
      <c r="X56" s="2125"/>
      <c r="Y56" s="2125"/>
      <c r="Z56" s="2125"/>
      <c r="AA56" s="2125"/>
      <c r="AB56" s="2125"/>
      <c r="AC56" s="2125"/>
    </row>
    <row r="57" spans="1:29" s="1324" customFormat="1" ht="15.75" thickTop="1">
      <c r="A57" s="667"/>
      <c r="B57" s="653">
        <f>B12</f>
        <v>111</v>
      </c>
      <c r="C57" s="521">
        <v>111</v>
      </c>
      <c r="D57" s="521">
        <v>222</v>
      </c>
      <c r="E57" s="521">
        <v>333</v>
      </c>
      <c r="F57" s="521">
        <v>444</v>
      </c>
      <c r="G57" s="668"/>
      <c r="H57" s="669"/>
      <c r="I57" s="669"/>
      <c r="J57" s="669"/>
      <c r="K57" s="669"/>
      <c r="L57" s="670"/>
      <c r="M57" s="671"/>
      <c r="N57" s="2147"/>
      <c r="O57" s="2147"/>
      <c r="P57" s="2148"/>
      <c r="Q57" s="2149"/>
      <c r="R57" s="2150"/>
      <c r="S57" s="2150"/>
      <c r="T57" s="2150"/>
      <c r="U57" s="2150"/>
      <c r="V57" s="2150"/>
      <c r="W57" s="2150"/>
      <c r="X57" s="2150"/>
      <c r="Y57" s="2150"/>
      <c r="Z57" s="2150"/>
      <c r="AA57" s="2150"/>
      <c r="AB57" s="2150"/>
      <c r="AC57" s="2150"/>
    </row>
    <row r="58" spans="1:29" s="1324" customFormat="1" ht="15.75" thickBot="1">
      <c r="A58" s="667"/>
      <c r="B58" s="658"/>
      <c r="C58" s="672">
        <v>100</v>
      </c>
      <c r="D58" s="651">
        <v>98</v>
      </c>
      <c r="E58" s="651">
        <v>96</v>
      </c>
      <c r="F58" s="651">
        <v>94</v>
      </c>
      <c r="G58" s="651"/>
      <c r="H58" s="651"/>
      <c r="I58" s="651"/>
      <c r="J58" s="651"/>
      <c r="K58" s="651"/>
      <c r="L58" s="651"/>
      <c r="M58" s="652"/>
      <c r="N58" s="2146"/>
      <c r="O58" s="2146"/>
      <c r="P58" s="2148"/>
      <c r="Q58" s="2149"/>
      <c r="R58" s="2150"/>
      <c r="S58" s="2150"/>
      <c r="T58" s="2150"/>
      <c r="U58" s="2150"/>
      <c r="V58" s="2150"/>
      <c r="W58" s="2150"/>
      <c r="X58" s="2150"/>
      <c r="Y58" s="2150"/>
      <c r="Z58" s="2150"/>
      <c r="AA58" s="2150"/>
      <c r="AB58" s="2150"/>
      <c r="AC58" s="2150"/>
    </row>
    <row r="59" spans="1:29" s="1324" customFormat="1" ht="15.75" thickTop="1">
      <c r="A59" s="667"/>
      <c r="B59" s="653">
        <f>B13</f>
        <v>111</v>
      </c>
      <c r="C59" s="521">
        <v>111</v>
      </c>
      <c r="D59" s="521">
        <v>222</v>
      </c>
      <c r="E59" s="521">
        <v>333</v>
      </c>
      <c r="F59" s="521">
        <v>444</v>
      </c>
      <c r="G59" s="668"/>
      <c r="H59" s="669"/>
      <c r="I59" s="669"/>
      <c r="J59" s="669"/>
      <c r="K59" s="669"/>
      <c r="L59" s="670"/>
      <c r="M59" s="671"/>
      <c r="N59" s="2147"/>
      <c r="O59" s="2147"/>
      <c r="P59" s="2151"/>
      <c r="Q59" s="2152"/>
      <c r="R59" s="2150"/>
      <c r="S59" s="2150"/>
      <c r="T59" s="2150"/>
      <c r="U59" s="2150"/>
      <c r="V59" s="2150"/>
      <c r="W59" s="2150"/>
      <c r="X59" s="2150"/>
      <c r="Y59" s="2150"/>
      <c r="Z59" s="2150"/>
      <c r="AA59" s="2150"/>
      <c r="AB59" s="2150"/>
      <c r="AC59" s="2150"/>
    </row>
    <row r="60" spans="1:29" s="1324" customFormat="1" ht="15.75" thickBot="1">
      <c r="A60" s="667"/>
      <c r="B60" s="658"/>
      <c r="C60" s="672">
        <v>100</v>
      </c>
      <c r="D60" s="672">
        <v>97</v>
      </c>
      <c r="E60" s="672">
        <v>94</v>
      </c>
      <c r="F60" s="672">
        <v>91</v>
      </c>
      <c r="G60" s="672"/>
      <c r="H60" s="673"/>
      <c r="I60" s="673"/>
      <c r="J60" s="673"/>
      <c r="K60" s="673"/>
      <c r="L60" s="673"/>
      <c r="M60" s="674"/>
      <c r="N60" s="2147"/>
      <c r="O60" s="2147"/>
      <c r="P60" s="2148"/>
      <c r="Q60" s="2149"/>
      <c r="R60" s="2150"/>
      <c r="S60" s="2150"/>
      <c r="T60" s="2150"/>
      <c r="U60" s="2150"/>
      <c r="V60" s="2150"/>
      <c r="W60" s="2150"/>
      <c r="X60" s="2150"/>
      <c r="Y60" s="2150"/>
      <c r="Z60" s="2150"/>
      <c r="AA60" s="2150"/>
      <c r="AB60" s="2150"/>
      <c r="AC60" s="2150"/>
    </row>
    <row r="61" spans="1:29" ht="15" thickTop="1">
      <c r="A61" s="644" t="s">
        <v>528</v>
      </c>
      <c r="B61" s="645" t="s">
        <v>583</v>
      </c>
      <c r="C61" s="683" t="s">
        <v>576</v>
      </c>
      <c r="D61" s="683" t="s">
        <v>577</v>
      </c>
      <c r="E61" s="683" t="s">
        <v>578</v>
      </c>
      <c r="F61" s="683" t="s">
        <v>579</v>
      </c>
      <c r="G61" s="683" t="s">
        <v>580</v>
      </c>
      <c r="H61" s="684"/>
      <c r="I61" s="684"/>
      <c r="J61" s="684"/>
      <c r="K61" s="685"/>
      <c r="L61" s="686"/>
      <c r="M61" s="687"/>
      <c r="N61" s="2144"/>
      <c r="O61" s="2144"/>
      <c r="P61" s="2154"/>
      <c r="Q61" s="2138"/>
      <c r="R61" s="2125"/>
      <c r="S61" s="2125"/>
      <c r="T61" s="2125"/>
      <c r="U61" s="2125"/>
      <c r="V61" s="2125"/>
      <c r="W61" s="2125"/>
      <c r="X61" s="2125"/>
      <c r="Y61" s="2125"/>
      <c r="Z61" s="2125"/>
      <c r="AA61" s="2125"/>
      <c r="AB61" s="2125"/>
      <c r="AC61" s="2125"/>
    </row>
    <row r="62" spans="1:29" ht="15.75" thickBot="1">
      <c r="A62" s="649"/>
      <c r="B62" s="658"/>
      <c r="C62" s="659">
        <v>100</v>
      </c>
      <c r="D62" s="659">
        <f>C62-$K14</f>
        <v>98</v>
      </c>
      <c r="E62" s="659">
        <f>D62-$K14</f>
        <v>96</v>
      </c>
      <c r="F62" s="659">
        <f>E62-$K14</f>
        <v>94</v>
      </c>
      <c r="G62" s="659">
        <f>F62-$K14</f>
        <v>92</v>
      </c>
      <c r="H62" s="659"/>
      <c r="I62" s="659"/>
      <c r="J62" s="659"/>
      <c r="K62" s="659"/>
      <c r="L62" s="659"/>
      <c r="M62" s="660"/>
      <c r="N62" s="2146"/>
      <c r="O62" s="2146"/>
      <c r="P62" s="2145"/>
      <c r="Q62" s="2138"/>
      <c r="R62" s="2125"/>
      <c r="S62" s="2125"/>
      <c r="T62" s="2125"/>
      <c r="U62" s="2125"/>
      <c r="V62" s="2125"/>
      <c r="W62" s="2125"/>
      <c r="X62" s="2125"/>
      <c r="Y62" s="2125"/>
      <c r="Z62" s="2125"/>
      <c r="AA62" s="2125"/>
      <c r="AB62" s="2125"/>
      <c r="AC62" s="2125"/>
    </row>
    <row r="63" spans="1:29" ht="15.75" thickTop="1">
      <c r="A63" s="649"/>
      <c r="B63" s="1871" t="s">
        <v>2826</v>
      </c>
      <c r="C63" s="688" t="s">
        <v>576</v>
      </c>
      <c r="D63" s="688" t="s">
        <v>577</v>
      </c>
      <c r="E63" s="688" t="s">
        <v>578</v>
      </c>
      <c r="F63" s="688" t="s">
        <v>579</v>
      </c>
      <c r="G63" s="688" t="s">
        <v>580</v>
      </c>
      <c r="H63" s="654"/>
      <c r="I63" s="654"/>
      <c r="J63" s="654"/>
      <c r="K63" s="655"/>
      <c r="L63" s="656"/>
      <c r="M63" s="657"/>
      <c r="N63" s="2144"/>
      <c r="O63" s="2144"/>
      <c r="P63" s="2145"/>
      <c r="Q63" s="2138"/>
      <c r="R63" s="2125"/>
      <c r="S63" s="2125"/>
      <c r="T63" s="2125"/>
      <c r="U63" s="2125"/>
      <c r="V63" s="2125"/>
      <c r="W63" s="2125"/>
      <c r="X63" s="2125"/>
      <c r="Y63" s="2125"/>
      <c r="Z63" s="2125"/>
      <c r="AA63" s="2125"/>
      <c r="AB63" s="2125"/>
      <c r="AC63" s="2125"/>
    </row>
    <row r="64" spans="1:29" ht="15.75" thickBot="1">
      <c r="A64" s="649"/>
      <c r="B64" s="658"/>
      <c r="C64" s="659">
        <v>100</v>
      </c>
      <c r="D64" s="659">
        <f>C64-$K16</f>
        <v>98</v>
      </c>
      <c r="E64" s="659">
        <f>D64-$K16</f>
        <v>96</v>
      </c>
      <c r="F64" s="659">
        <f>E64-$K16</f>
        <v>94</v>
      </c>
      <c r="G64" s="659">
        <f>F64-$K16</f>
        <v>92</v>
      </c>
      <c r="H64" s="659"/>
      <c r="I64" s="659"/>
      <c r="J64" s="659"/>
      <c r="K64" s="659"/>
      <c r="L64" s="659"/>
      <c r="M64" s="660"/>
      <c r="N64" s="2146"/>
      <c r="O64" s="2146"/>
      <c r="P64" s="2145"/>
      <c r="Q64" s="2138"/>
      <c r="R64" s="2125"/>
      <c r="S64" s="2125"/>
      <c r="T64" s="2125"/>
      <c r="U64" s="2125"/>
      <c r="V64" s="2125"/>
      <c r="W64" s="2125"/>
      <c r="X64" s="2125"/>
      <c r="Y64" s="2125"/>
      <c r="Z64" s="2125"/>
      <c r="AA64" s="2125"/>
      <c r="AB64" s="2125"/>
      <c r="AC64" s="2125"/>
    </row>
    <row r="65" spans="1:29" ht="15.75" thickTop="1">
      <c r="A65" s="649"/>
      <c r="B65" s="2610" t="s">
        <v>2827</v>
      </c>
      <c r="C65" s="2611" t="s">
        <v>2828</v>
      </c>
      <c r="D65" s="2611" t="s">
        <v>2829</v>
      </c>
      <c r="E65" s="2611" t="s">
        <v>2830</v>
      </c>
      <c r="F65" s="2611" t="s">
        <v>2831</v>
      </c>
      <c r="G65" s="2611" t="s">
        <v>2832</v>
      </c>
      <c r="H65" s="654"/>
      <c r="I65" s="654"/>
      <c r="J65" s="654"/>
      <c r="K65" s="654"/>
      <c r="L65" s="654"/>
      <c r="M65" s="2614"/>
      <c r="N65" s="2146"/>
      <c r="O65" s="2146"/>
      <c r="P65" s="2145"/>
      <c r="Q65" s="2138"/>
      <c r="R65" s="2125"/>
      <c r="S65" s="2125"/>
      <c r="T65" s="2125"/>
      <c r="U65" s="2125"/>
      <c r="V65" s="2125"/>
      <c r="W65" s="2125"/>
      <c r="X65" s="2125"/>
      <c r="Y65" s="2125"/>
      <c r="Z65" s="2125"/>
      <c r="AA65" s="2125"/>
      <c r="AB65" s="2125"/>
      <c r="AC65" s="2125"/>
    </row>
    <row r="66" spans="1:29" ht="15.75" thickBot="1">
      <c r="A66" s="649"/>
      <c r="B66" s="661"/>
      <c r="C66" s="659">
        <v>100</v>
      </c>
      <c r="D66" s="659">
        <f>C66-$K18</f>
        <v>99</v>
      </c>
      <c r="E66" s="659">
        <f>D66-$K18</f>
        <v>98</v>
      </c>
      <c r="F66" s="659">
        <f>E66-$K18</f>
        <v>97</v>
      </c>
      <c r="G66" s="659">
        <f>F66-$K18</f>
        <v>96</v>
      </c>
      <c r="H66" s="914"/>
      <c r="I66" s="914"/>
      <c r="J66" s="914"/>
      <c r="K66" s="914"/>
      <c r="L66" s="914"/>
      <c r="M66" s="539"/>
      <c r="N66" s="2146"/>
      <c r="O66" s="2146"/>
      <c r="P66" s="2145"/>
      <c r="Q66" s="2138"/>
      <c r="R66" s="2125"/>
      <c r="S66" s="2125"/>
      <c r="T66" s="2125"/>
      <c r="U66" s="2125"/>
      <c r="V66" s="2125"/>
      <c r="W66" s="2125"/>
      <c r="X66" s="2125"/>
      <c r="Y66" s="2125"/>
      <c r="Z66" s="2125"/>
      <c r="AA66" s="2125"/>
      <c r="AB66" s="2125"/>
      <c r="AC66" s="2125"/>
    </row>
    <row r="67" spans="1:29" ht="15.75" thickTop="1">
      <c r="A67" s="649"/>
      <c r="B67" s="653" t="s">
        <v>799</v>
      </c>
      <c r="C67" s="688" t="s">
        <v>576</v>
      </c>
      <c r="D67" s="688" t="s">
        <v>577</v>
      </c>
      <c r="E67" s="688" t="s">
        <v>578</v>
      </c>
      <c r="F67" s="688" t="s">
        <v>579</v>
      </c>
      <c r="G67" s="688" t="s">
        <v>580</v>
      </c>
      <c r="H67" s="654"/>
      <c r="I67" s="654"/>
      <c r="J67" s="654"/>
      <c r="K67" s="655"/>
      <c r="L67" s="656"/>
      <c r="M67" s="657"/>
      <c r="N67" s="2144"/>
      <c r="O67" s="2144"/>
      <c r="P67" s="2145"/>
      <c r="Q67" s="2138"/>
      <c r="R67" s="2125"/>
      <c r="S67" s="2125"/>
      <c r="T67" s="2125"/>
      <c r="U67" s="2125"/>
      <c r="V67" s="2125"/>
      <c r="W67" s="2125"/>
      <c r="X67" s="2125"/>
      <c r="Y67" s="2125"/>
      <c r="Z67" s="2125"/>
      <c r="AA67" s="2125"/>
      <c r="AB67" s="2125"/>
      <c r="AC67" s="2125"/>
    </row>
    <row r="68" spans="1:29" ht="15.75" thickBot="1">
      <c r="A68" s="649"/>
      <c r="B68" s="658"/>
      <c r="C68" s="659">
        <v>100</v>
      </c>
      <c r="D68" s="659">
        <f>C68-$K20</f>
        <v>97</v>
      </c>
      <c r="E68" s="659">
        <f>D68-$K20</f>
        <v>94</v>
      </c>
      <c r="F68" s="659">
        <f>E68-$K20</f>
        <v>91</v>
      </c>
      <c r="G68" s="659">
        <f>F68-$K20</f>
        <v>88</v>
      </c>
      <c r="H68" s="659"/>
      <c r="I68" s="659"/>
      <c r="J68" s="659"/>
      <c r="K68" s="659"/>
      <c r="L68" s="659"/>
      <c r="M68" s="660"/>
      <c r="N68" s="2146"/>
      <c r="O68" s="2146"/>
      <c r="P68" s="2145"/>
      <c r="Q68" s="2138"/>
      <c r="R68" s="2125"/>
      <c r="S68" s="2125"/>
      <c r="T68" s="2125"/>
      <c r="U68" s="2125"/>
      <c r="V68" s="2125"/>
      <c r="W68" s="2125"/>
      <c r="X68" s="2125"/>
      <c r="Y68" s="2125"/>
      <c r="Z68" s="2125"/>
      <c r="AA68" s="2125"/>
      <c r="AB68" s="2125"/>
      <c r="AC68" s="2125"/>
    </row>
    <row r="69" spans="1:29" ht="15.75" thickTop="1">
      <c r="A69" s="649"/>
      <c r="B69" s="653" t="s">
        <v>800</v>
      </c>
      <c r="C69" s="668" t="s">
        <v>981</v>
      </c>
      <c r="D69" s="668" t="s">
        <v>982</v>
      </c>
      <c r="E69" s="668"/>
      <c r="F69" s="668"/>
      <c r="G69" s="668"/>
      <c r="H69" s="698"/>
      <c r="I69" s="698"/>
      <c r="J69" s="698"/>
      <c r="K69" s="699"/>
      <c r="L69" s="700"/>
      <c r="M69" s="701"/>
      <c r="N69" s="2144"/>
      <c r="O69" s="2144"/>
      <c r="P69" s="2145"/>
      <c r="Q69" s="2138"/>
      <c r="R69" s="2125"/>
      <c r="S69" s="2125"/>
      <c r="T69" s="2125"/>
      <c r="U69" s="2125"/>
      <c r="V69" s="2125"/>
      <c r="W69" s="2125"/>
      <c r="X69" s="2125"/>
      <c r="Y69" s="2125"/>
      <c r="Z69" s="2125"/>
      <c r="AA69" s="2125"/>
      <c r="AB69" s="2125"/>
      <c r="AC69" s="2125"/>
    </row>
    <row r="70" spans="1:29" ht="15.75" thickBot="1">
      <c r="A70" s="649"/>
      <c r="B70" s="658"/>
      <c r="C70" s="659">
        <v>100</v>
      </c>
      <c r="D70" s="659">
        <f>C70-$K22</f>
        <v>98</v>
      </c>
      <c r="E70" s="659"/>
      <c r="F70" s="659"/>
      <c r="G70" s="659"/>
      <c r="H70" s="659"/>
      <c r="I70" s="659"/>
      <c r="J70" s="659"/>
      <c r="K70" s="659"/>
      <c r="L70" s="659"/>
      <c r="M70" s="660"/>
      <c r="N70" s="2146"/>
      <c r="O70" s="2146"/>
      <c r="P70" s="2145"/>
      <c r="Q70" s="2138"/>
      <c r="R70" s="2125"/>
      <c r="S70" s="2125"/>
      <c r="T70" s="2125"/>
      <c r="U70" s="2125"/>
      <c r="V70" s="2125"/>
      <c r="W70" s="2125"/>
      <c r="X70" s="2125"/>
      <c r="Y70" s="2125"/>
      <c r="Z70" s="2125"/>
      <c r="AA70" s="2125"/>
      <c r="AB70" s="2125"/>
      <c r="AC70" s="2125"/>
    </row>
    <row r="71" spans="1:29" s="1199" customFormat="1" ht="15.75" thickTop="1">
      <c r="A71" s="689"/>
      <c r="B71" s="653">
        <f>B23</f>
        <v>111</v>
      </c>
      <c r="C71" s="521">
        <v>111</v>
      </c>
      <c r="D71" s="521">
        <v>222</v>
      </c>
      <c r="E71" s="521">
        <v>333</v>
      </c>
      <c r="F71" s="521">
        <v>444</v>
      </c>
      <c r="G71" s="668"/>
      <c r="H71" s="668"/>
      <c r="I71" s="668"/>
      <c r="J71" s="668"/>
      <c r="K71" s="668"/>
      <c r="L71" s="870"/>
      <c r="M71" s="871"/>
      <c r="N71" s="2142"/>
      <c r="O71" s="2142"/>
      <c r="P71" s="2145"/>
      <c r="Q71" s="2138"/>
      <c r="R71" s="1969"/>
      <c r="S71" s="1969"/>
      <c r="T71" s="1969"/>
      <c r="U71" s="1969"/>
      <c r="V71" s="1969"/>
      <c r="W71" s="1969"/>
      <c r="X71" s="1969"/>
      <c r="Y71" s="1969"/>
      <c r="Z71" s="1969"/>
      <c r="AA71" s="1969"/>
      <c r="AB71" s="1969"/>
      <c r="AC71" s="1969"/>
    </row>
    <row r="72" spans="1:29" s="1199" customFormat="1" ht="15.75" thickBot="1">
      <c r="A72" s="689"/>
      <c r="B72" s="658"/>
      <c r="C72" s="672">
        <v>100</v>
      </c>
      <c r="D72" s="651">
        <v>99</v>
      </c>
      <c r="E72" s="651">
        <v>98</v>
      </c>
      <c r="F72" s="651">
        <v>97</v>
      </c>
      <c r="G72" s="651"/>
      <c r="H72" s="651"/>
      <c r="I72" s="651"/>
      <c r="J72" s="651"/>
      <c r="K72" s="651"/>
      <c r="L72" s="651"/>
      <c r="M72" s="652"/>
      <c r="N72" s="2146"/>
      <c r="O72" s="2146"/>
      <c r="P72" s="2145"/>
      <c r="Q72" s="2138"/>
      <c r="R72" s="1969"/>
      <c r="S72" s="1969"/>
      <c r="T72" s="1969"/>
      <c r="U72" s="1969"/>
      <c r="V72" s="1969"/>
      <c r="W72" s="1969"/>
      <c r="X72" s="1969"/>
      <c r="Y72" s="1969"/>
      <c r="Z72" s="1969"/>
      <c r="AA72" s="1969"/>
      <c r="AB72" s="1969"/>
      <c r="AC72" s="1969"/>
    </row>
    <row r="73" spans="1:29" s="1199" customFormat="1" ht="15.75" thickTop="1">
      <c r="A73" s="689"/>
      <c r="B73" s="653">
        <f>B24</f>
        <v>111</v>
      </c>
      <c r="C73" s="521">
        <v>111</v>
      </c>
      <c r="D73" s="521">
        <v>222</v>
      </c>
      <c r="E73" s="521">
        <v>333</v>
      </c>
      <c r="F73" s="521">
        <v>444</v>
      </c>
      <c r="G73" s="668"/>
      <c r="H73" s="668"/>
      <c r="I73" s="668"/>
      <c r="J73" s="668"/>
      <c r="K73" s="668"/>
      <c r="L73" s="668"/>
      <c r="M73" s="871"/>
      <c r="N73" s="2142"/>
      <c r="O73" s="2142"/>
      <c r="P73" s="2145"/>
      <c r="Q73" s="2138"/>
      <c r="R73" s="1969"/>
      <c r="S73" s="1969"/>
      <c r="T73" s="1969"/>
      <c r="U73" s="1969"/>
      <c r="V73" s="1969"/>
      <c r="W73" s="1969"/>
      <c r="X73" s="1969"/>
      <c r="Y73" s="1969"/>
      <c r="Z73" s="1969"/>
      <c r="AA73" s="1969"/>
      <c r="AB73" s="1969"/>
      <c r="AC73" s="1969"/>
    </row>
    <row r="74" spans="1:29" s="1199" customFormat="1" ht="15.75" thickBot="1">
      <c r="A74" s="689"/>
      <c r="B74" s="658"/>
      <c r="C74" s="672">
        <v>100</v>
      </c>
      <c r="D74" s="651">
        <v>98</v>
      </c>
      <c r="E74" s="651">
        <v>96</v>
      </c>
      <c r="F74" s="651">
        <v>94</v>
      </c>
      <c r="G74" s="651"/>
      <c r="H74" s="651"/>
      <c r="I74" s="651"/>
      <c r="J74" s="651"/>
      <c r="K74" s="651"/>
      <c r="L74" s="651"/>
      <c r="M74" s="652"/>
      <c r="N74" s="2146"/>
      <c r="O74" s="2146"/>
      <c r="P74" s="2145"/>
      <c r="Q74" s="2138"/>
      <c r="R74" s="1969"/>
      <c r="S74" s="1969"/>
      <c r="T74" s="1969"/>
      <c r="U74" s="1969"/>
      <c r="V74" s="1969"/>
      <c r="W74" s="1969"/>
      <c r="X74" s="1969"/>
      <c r="Y74" s="1969"/>
      <c r="Z74" s="1969"/>
      <c r="AA74" s="1969"/>
      <c r="AB74" s="1969"/>
      <c r="AC74" s="1969"/>
    </row>
    <row r="75" spans="1:29" s="1324" customFormat="1" ht="15.75" thickTop="1">
      <c r="A75" s="667"/>
      <c r="B75" s="653">
        <f>B25</f>
        <v>111</v>
      </c>
      <c r="C75" s="521">
        <v>111</v>
      </c>
      <c r="D75" s="521">
        <v>222</v>
      </c>
      <c r="E75" s="521">
        <v>333</v>
      </c>
      <c r="F75" s="521">
        <v>444</v>
      </c>
      <c r="G75" s="668"/>
      <c r="H75" s="669"/>
      <c r="I75" s="669"/>
      <c r="J75" s="669"/>
      <c r="K75" s="669"/>
      <c r="L75" s="670"/>
      <c r="M75" s="671"/>
      <c r="N75" s="2147"/>
      <c r="O75" s="2147"/>
      <c r="P75" s="2148"/>
      <c r="Q75" s="2149"/>
      <c r="R75" s="2150"/>
      <c r="S75" s="2150"/>
      <c r="T75" s="2150"/>
      <c r="U75" s="2150"/>
      <c r="V75" s="2150"/>
      <c r="W75" s="2150"/>
      <c r="X75" s="2150"/>
      <c r="Y75" s="2150"/>
      <c r="Z75" s="2150"/>
      <c r="AA75" s="2150"/>
      <c r="AB75" s="2150"/>
      <c r="AC75" s="2150"/>
    </row>
    <row r="76" spans="1:29" s="1324" customFormat="1" ht="15.75" thickBot="1">
      <c r="A76" s="667"/>
      <c r="B76" s="658"/>
      <c r="C76" s="672">
        <v>100</v>
      </c>
      <c r="D76" s="672">
        <v>97</v>
      </c>
      <c r="E76" s="672">
        <v>94</v>
      </c>
      <c r="F76" s="672">
        <v>91</v>
      </c>
      <c r="G76" s="651"/>
      <c r="H76" s="651"/>
      <c r="I76" s="651"/>
      <c r="J76" s="651"/>
      <c r="K76" s="651"/>
      <c r="L76" s="651"/>
      <c r="M76" s="652"/>
      <c r="N76" s="2147"/>
      <c r="O76" s="2147"/>
      <c r="P76" s="2148"/>
      <c r="Q76" s="2149"/>
      <c r="R76" s="2150"/>
      <c r="S76" s="2150"/>
      <c r="T76" s="2150"/>
      <c r="U76" s="2150"/>
      <c r="V76" s="2150"/>
      <c r="W76" s="2150"/>
      <c r="X76" s="2150"/>
      <c r="Y76" s="2150"/>
      <c r="Z76" s="2150"/>
      <c r="AA76" s="2150"/>
      <c r="AB76" s="2150"/>
      <c r="AC76" s="2150"/>
    </row>
    <row r="77" spans="1:29" ht="15" thickTop="1">
      <c r="A77" s="644" t="s">
        <v>544</v>
      </c>
      <c r="B77" s="645" t="s">
        <v>826</v>
      </c>
      <c r="C77" s="668" t="s">
        <v>828</v>
      </c>
      <c r="D77" s="668" t="s">
        <v>950</v>
      </c>
      <c r="E77" s="578"/>
      <c r="F77" s="578"/>
      <c r="G77" s="578"/>
      <c r="H77" s="578"/>
      <c r="I77" s="578"/>
      <c r="J77" s="578"/>
      <c r="K77" s="646"/>
      <c r="L77" s="647"/>
      <c r="M77" s="648"/>
      <c r="N77" s="2144"/>
      <c r="O77" s="2144"/>
      <c r="P77" s="2145"/>
      <c r="Q77" s="2138"/>
      <c r="R77" s="2125"/>
      <c r="S77" s="2125"/>
      <c r="T77" s="2125"/>
      <c r="U77" s="2125"/>
      <c r="V77" s="2125"/>
      <c r="W77" s="2125"/>
      <c r="X77" s="2125"/>
      <c r="Y77" s="2125"/>
      <c r="Z77" s="2125"/>
      <c r="AA77" s="2125"/>
      <c r="AB77" s="2125"/>
      <c r="AC77" s="2125"/>
    </row>
    <row r="78" spans="1:29" ht="15.75" thickBot="1">
      <c r="A78" s="649"/>
      <c r="B78" s="658"/>
      <c r="C78" s="659">
        <v>100</v>
      </c>
      <c r="D78" s="659">
        <f t="shared" ref="D78:M78" si="17">C78-$K26</f>
        <v>97</v>
      </c>
      <c r="E78" s="659">
        <f t="shared" si="17"/>
        <v>94</v>
      </c>
      <c r="F78" s="659">
        <f t="shared" si="17"/>
        <v>91</v>
      </c>
      <c r="G78" s="659">
        <f t="shared" si="17"/>
        <v>88</v>
      </c>
      <c r="H78" s="659">
        <f t="shared" si="17"/>
        <v>85</v>
      </c>
      <c r="I78" s="659">
        <f t="shared" si="17"/>
        <v>82</v>
      </c>
      <c r="J78" s="659">
        <f t="shared" si="17"/>
        <v>79</v>
      </c>
      <c r="K78" s="659">
        <f t="shared" si="17"/>
        <v>76</v>
      </c>
      <c r="L78" s="659">
        <f t="shared" si="17"/>
        <v>73</v>
      </c>
      <c r="M78" s="660">
        <f t="shared" si="17"/>
        <v>70</v>
      </c>
      <c r="N78" s="2146"/>
      <c r="O78" s="2146"/>
      <c r="P78" s="2145"/>
      <c r="Q78" s="2138"/>
      <c r="R78" s="2125"/>
      <c r="S78" s="2125"/>
      <c r="T78" s="2125"/>
      <c r="U78" s="2125"/>
      <c r="V78" s="2125"/>
      <c r="W78" s="2125"/>
      <c r="X78" s="2125"/>
      <c r="Y78" s="2125"/>
      <c r="Z78" s="2125"/>
      <c r="AA78" s="2125"/>
      <c r="AB78" s="2125"/>
      <c r="AC78" s="2125"/>
    </row>
    <row r="79" spans="1:29" ht="15.75" thickTop="1">
      <c r="A79" s="649"/>
      <c r="B79" s="653" t="s">
        <v>987</v>
      </c>
      <c r="C79" s="688" t="str">
        <f>C80&amp;"(含)"&amp;"-"&amp;D80</f>
        <v>0.5(含)-0.6</v>
      </c>
      <c r="D79" s="688" t="str">
        <f>D80&amp;"(含)"&amp;"-"&amp;E80</f>
        <v>0.6(含)-0.7</v>
      </c>
      <c r="E79" s="688" t="str">
        <f>E80&amp;"(含)"&amp;"-"&amp;F80</f>
        <v>0.7(含)-0.8</v>
      </c>
      <c r="F79" s="688" t="str">
        <f>F80&amp;"(含)"&amp;"-"&amp;G80</f>
        <v>0.8(含)-0.9</v>
      </c>
      <c r="G79" s="688" t="str">
        <f>G80&amp;"(含)"&amp;"-"&amp;ROUND(H80,0)</f>
        <v>0.9(含)-1</v>
      </c>
      <c r="H79" s="688"/>
      <c r="I79" s="654"/>
      <c r="J79" s="654"/>
      <c r="K79" s="655"/>
      <c r="L79" s="656"/>
      <c r="M79" s="657"/>
      <c r="N79" s="2142"/>
      <c r="O79" s="2142"/>
      <c r="P79" s="2145"/>
      <c r="Q79" s="2138"/>
      <c r="R79" s="2125"/>
      <c r="S79" s="2125"/>
      <c r="T79" s="2125"/>
      <c r="U79" s="2125"/>
      <c r="V79" s="2125"/>
      <c r="W79" s="2125"/>
      <c r="X79" s="2125"/>
      <c r="Y79" s="2125"/>
      <c r="Z79" s="2125"/>
      <c r="AA79" s="2125"/>
      <c r="AB79" s="2125"/>
      <c r="AC79" s="2125"/>
    </row>
    <row r="80" spans="1:29" ht="15">
      <c r="A80" s="649"/>
      <c r="B80" s="661"/>
      <c r="C80" s="874">
        <v>0.5</v>
      </c>
      <c r="D80" s="874">
        <v>0.6</v>
      </c>
      <c r="E80" s="874">
        <v>0.7</v>
      </c>
      <c r="F80" s="874">
        <v>0.8</v>
      </c>
      <c r="G80" s="874">
        <v>0.9</v>
      </c>
      <c r="H80" s="874">
        <v>1.0001</v>
      </c>
      <c r="I80" s="914"/>
      <c r="J80" s="914"/>
      <c r="K80" s="924"/>
      <c r="L80" s="925"/>
      <c r="M80" s="926"/>
      <c r="N80" s="2142"/>
      <c r="O80" s="2142"/>
      <c r="P80" s="2145"/>
      <c r="Q80" s="2138"/>
      <c r="R80" s="2125"/>
      <c r="S80" s="2125"/>
      <c r="T80" s="2125"/>
      <c r="U80" s="2125"/>
      <c r="V80" s="2125"/>
      <c r="W80" s="2125"/>
      <c r="X80" s="2125"/>
      <c r="Y80" s="2125"/>
      <c r="Z80" s="2125"/>
      <c r="AA80" s="2125"/>
      <c r="AB80" s="2125"/>
      <c r="AC80" s="2125"/>
    </row>
    <row r="81" spans="1:29" s="1324" customFormat="1" ht="15.75" thickBot="1">
      <c r="A81" s="667"/>
      <c r="B81" s="658"/>
      <c r="C81" s="692">
        <v>100</v>
      </c>
      <c r="D81" s="659">
        <f t="shared" ref="D81:M81" si="18">C81+$K27</f>
        <v>102</v>
      </c>
      <c r="E81" s="659">
        <f t="shared" si="18"/>
        <v>104</v>
      </c>
      <c r="F81" s="659">
        <f t="shared" si="18"/>
        <v>106</v>
      </c>
      <c r="G81" s="659">
        <f t="shared" si="18"/>
        <v>108</v>
      </c>
      <c r="H81" s="659">
        <f t="shared" si="18"/>
        <v>110</v>
      </c>
      <c r="I81" s="659">
        <f t="shared" si="18"/>
        <v>112</v>
      </c>
      <c r="J81" s="659">
        <f t="shared" si="18"/>
        <v>114</v>
      </c>
      <c r="K81" s="659">
        <f t="shared" si="18"/>
        <v>116</v>
      </c>
      <c r="L81" s="659">
        <f t="shared" si="18"/>
        <v>118</v>
      </c>
      <c r="M81" s="659">
        <f t="shared" si="18"/>
        <v>120</v>
      </c>
      <c r="N81" s="2146"/>
      <c r="O81" s="2146"/>
      <c r="P81" s="2148"/>
      <c r="Q81" s="2149"/>
      <c r="R81" s="2150"/>
      <c r="S81" s="2150"/>
      <c r="T81" s="2150"/>
      <c r="U81" s="2150"/>
      <c r="V81" s="2150"/>
      <c r="W81" s="2150"/>
      <c r="X81" s="2150"/>
      <c r="Y81" s="2150"/>
      <c r="Z81" s="2150"/>
      <c r="AA81" s="2150"/>
      <c r="AB81" s="2150"/>
      <c r="AC81" s="2150"/>
    </row>
    <row r="82" spans="1:29" ht="15" thickTop="1">
      <c r="A82" s="715"/>
      <c r="B82" s="661" t="s">
        <v>988</v>
      </c>
      <c r="C82" s="668" t="s">
        <v>1008</v>
      </c>
      <c r="D82" s="668" t="s">
        <v>1009</v>
      </c>
      <c r="E82" s="698" t="s">
        <v>991</v>
      </c>
      <c r="F82" s="698"/>
      <c r="G82" s="698"/>
      <c r="H82" s="698"/>
      <c r="I82" s="698"/>
      <c r="J82" s="698"/>
      <c r="K82" s="699"/>
      <c r="L82" s="700"/>
      <c r="M82" s="701"/>
      <c r="N82" s="2144"/>
      <c r="O82" s="2144"/>
      <c r="P82" s="2145"/>
      <c r="Q82" s="2138"/>
      <c r="R82" s="2125"/>
      <c r="S82" s="2125"/>
      <c r="T82" s="2125"/>
      <c r="U82" s="2125"/>
      <c r="V82" s="2125"/>
      <c r="W82" s="2125"/>
      <c r="X82" s="2125"/>
      <c r="Y82" s="2125"/>
      <c r="Z82" s="2125"/>
      <c r="AA82" s="2125"/>
      <c r="AB82" s="2125"/>
      <c r="AC82" s="2125"/>
    </row>
    <row r="83" spans="1:29" ht="15.75" thickBot="1">
      <c r="A83" s="649"/>
      <c r="B83" s="658"/>
      <c r="C83" s="659">
        <v>100</v>
      </c>
      <c r="D83" s="659">
        <f t="shared" ref="D83:M83" si="19">C83-$K28</f>
        <v>97</v>
      </c>
      <c r="E83" s="659">
        <f t="shared" si="19"/>
        <v>94</v>
      </c>
      <c r="F83" s="659">
        <f t="shared" si="19"/>
        <v>91</v>
      </c>
      <c r="G83" s="659">
        <f t="shared" si="19"/>
        <v>88</v>
      </c>
      <c r="H83" s="659">
        <f t="shared" si="19"/>
        <v>85</v>
      </c>
      <c r="I83" s="659">
        <f t="shared" si="19"/>
        <v>82</v>
      </c>
      <c r="J83" s="659">
        <f t="shared" si="19"/>
        <v>79</v>
      </c>
      <c r="K83" s="659">
        <f t="shared" si="19"/>
        <v>76</v>
      </c>
      <c r="L83" s="659">
        <f t="shared" si="19"/>
        <v>73</v>
      </c>
      <c r="M83" s="660">
        <f t="shared" si="19"/>
        <v>70</v>
      </c>
      <c r="N83" s="2146"/>
      <c r="O83" s="2146"/>
      <c r="P83" s="2145"/>
      <c r="Q83" s="2138"/>
      <c r="R83" s="2125"/>
      <c r="S83" s="2125"/>
      <c r="T83" s="2125"/>
      <c r="U83" s="2125"/>
      <c r="V83" s="2125"/>
      <c r="W83" s="2125"/>
      <c r="X83" s="2125"/>
      <c r="Y83" s="2125"/>
      <c r="Z83" s="2125"/>
      <c r="AA83" s="2125"/>
      <c r="AB83" s="2125"/>
      <c r="AC83" s="2125"/>
    </row>
    <row r="84" spans="1:29" ht="15" thickTop="1">
      <c r="A84" s="715"/>
      <c r="B84" s="653" t="s">
        <v>1010</v>
      </c>
      <c r="C84" s="668" t="s">
        <v>1011</v>
      </c>
      <c r="D84" s="668" t="s">
        <v>1012</v>
      </c>
      <c r="E84" s="668"/>
      <c r="F84" s="668"/>
      <c r="G84" s="668"/>
      <c r="H84" s="668"/>
      <c r="I84" s="698"/>
      <c r="J84" s="698"/>
      <c r="K84" s="699"/>
      <c r="L84" s="700"/>
      <c r="M84" s="701"/>
      <c r="N84" s="2144"/>
      <c r="O84" s="2144"/>
      <c r="P84" s="2145"/>
      <c r="Q84" s="2138"/>
      <c r="R84" s="2125"/>
      <c r="S84" s="2125"/>
      <c r="T84" s="2125"/>
      <c r="U84" s="2125"/>
      <c r="V84" s="2125"/>
      <c r="W84" s="2125"/>
      <c r="X84" s="2125"/>
      <c r="Y84" s="2125"/>
      <c r="Z84" s="2125"/>
      <c r="AA84" s="2125"/>
      <c r="AB84" s="2125"/>
      <c r="AC84" s="2125"/>
    </row>
    <row r="85" spans="1:29" ht="15.75" thickBot="1">
      <c r="A85" s="649"/>
      <c r="B85" s="658"/>
      <c r="C85" s="692">
        <v>100</v>
      </c>
      <c r="D85" s="659">
        <f t="shared" ref="D85:M85" si="20">C85+$K29</f>
        <v>102</v>
      </c>
      <c r="E85" s="659">
        <f t="shared" si="20"/>
        <v>104</v>
      </c>
      <c r="F85" s="659">
        <f t="shared" si="20"/>
        <v>106</v>
      </c>
      <c r="G85" s="659">
        <f t="shared" si="20"/>
        <v>108</v>
      </c>
      <c r="H85" s="659">
        <f t="shared" si="20"/>
        <v>110</v>
      </c>
      <c r="I85" s="659">
        <f t="shared" si="20"/>
        <v>112</v>
      </c>
      <c r="J85" s="659">
        <f t="shared" si="20"/>
        <v>114</v>
      </c>
      <c r="K85" s="659">
        <f t="shared" si="20"/>
        <v>116</v>
      </c>
      <c r="L85" s="659">
        <f t="shared" si="20"/>
        <v>118</v>
      </c>
      <c r="M85" s="659">
        <f t="shared" si="20"/>
        <v>120</v>
      </c>
      <c r="N85" s="2146"/>
      <c r="O85" s="2146"/>
      <c r="P85" s="2145"/>
      <c r="Q85" s="2138"/>
      <c r="R85" s="2125"/>
      <c r="S85" s="2125"/>
      <c r="T85" s="2125"/>
      <c r="U85" s="2125"/>
      <c r="V85" s="2125"/>
      <c r="W85" s="2125"/>
      <c r="X85" s="2125"/>
      <c r="Y85" s="2125"/>
      <c r="Z85" s="2125"/>
      <c r="AA85" s="2125"/>
      <c r="AB85" s="2125"/>
      <c r="AC85" s="2125"/>
    </row>
    <row r="86" spans="1:29" ht="15" thickTop="1">
      <c r="A86" s="715"/>
      <c r="B86" s="661" t="s">
        <v>1013</v>
      </c>
      <c r="C86" s="688" t="str">
        <f t="shared" ref="C86:L86" si="21">C87&amp;"(含)"&amp;"-"&amp;D87</f>
        <v>0(含)-30</v>
      </c>
      <c r="D86" s="688" t="str">
        <f t="shared" si="21"/>
        <v>30(含)-50</v>
      </c>
      <c r="E86" s="688" t="str">
        <f t="shared" si="21"/>
        <v>50(含)-80</v>
      </c>
      <c r="F86" s="688" t="str">
        <f t="shared" si="21"/>
        <v>80(含)-100</v>
      </c>
      <c r="G86" s="688" t="str">
        <f t="shared" si="21"/>
        <v>100(含)-</v>
      </c>
      <c r="H86" s="688" t="str">
        <f t="shared" si="21"/>
        <v>(含)-</v>
      </c>
      <c r="I86" s="688" t="str">
        <f t="shared" si="21"/>
        <v>(含)-</v>
      </c>
      <c r="J86" s="688" t="str">
        <f t="shared" si="21"/>
        <v>(含)-</v>
      </c>
      <c r="K86" s="688" t="str">
        <f t="shared" si="21"/>
        <v>(含)-</v>
      </c>
      <c r="L86" s="688" t="str">
        <f t="shared" si="21"/>
        <v>(含)-</v>
      </c>
      <c r="M86" s="691" t="str">
        <f>M87&amp;"(含)"&amp;"-"&amp;P87</f>
        <v>(含)-</v>
      </c>
      <c r="N86" s="2144"/>
      <c r="O86" s="2144"/>
      <c r="P86" s="2145"/>
      <c r="Q86" s="2138"/>
      <c r="R86" s="2125"/>
      <c r="S86" s="2125"/>
      <c r="T86" s="2125"/>
      <c r="U86" s="2125"/>
      <c r="V86" s="2125"/>
      <c r="W86" s="2125"/>
      <c r="X86" s="2125"/>
      <c r="Y86" s="2125"/>
      <c r="Z86" s="2125"/>
      <c r="AA86" s="2125"/>
      <c r="AB86" s="2125"/>
      <c r="AC86" s="2125"/>
    </row>
    <row r="87" spans="1:29">
      <c r="A87" s="715"/>
      <c r="B87" s="661"/>
      <c r="C87" s="710">
        <v>0</v>
      </c>
      <c r="D87" s="710">
        <v>30</v>
      </c>
      <c r="E87" s="710">
        <v>50</v>
      </c>
      <c r="F87" s="710">
        <v>80</v>
      </c>
      <c r="G87" s="710">
        <v>100</v>
      </c>
      <c r="H87" s="710"/>
      <c r="I87" s="710"/>
      <c r="J87" s="711"/>
      <c r="K87" s="711"/>
      <c r="L87" s="712"/>
      <c r="M87" s="713"/>
      <c r="N87" s="2144"/>
      <c r="O87" s="2144"/>
      <c r="P87" s="2145"/>
      <c r="Q87" s="2138"/>
      <c r="R87" s="2125"/>
      <c r="S87" s="2125"/>
      <c r="T87" s="2125"/>
      <c r="U87" s="2125"/>
      <c r="V87" s="2125"/>
      <c r="W87" s="2125"/>
      <c r="X87" s="2125"/>
      <c r="Y87" s="2125"/>
      <c r="Z87" s="2125"/>
      <c r="AA87" s="2125"/>
      <c r="AB87" s="2125"/>
      <c r="AC87" s="2125"/>
    </row>
    <row r="88" spans="1:29" ht="15.75" thickBot="1">
      <c r="A88" s="649"/>
      <c r="B88" s="658"/>
      <c r="C88" s="672">
        <v>100</v>
      </c>
      <c r="D88" s="651">
        <v>102</v>
      </c>
      <c r="E88" s="651">
        <v>104</v>
      </c>
      <c r="F88" s="651">
        <v>106</v>
      </c>
      <c r="G88" s="651"/>
      <c r="H88" s="651"/>
      <c r="I88" s="651"/>
      <c r="J88" s="651"/>
      <c r="K88" s="651"/>
      <c r="L88" s="651"/>
      <c r="M88" s="651"/>
      <c r="N88" s="2146"/>
      <c r="O88" s="2146"/>
      <c r="P88" s="2145"/>
      <c r="Q88" s="2138"/>
      <c r="R88" s="2125"/>
      <c r="S88" s="2125"/>
      <c r="T88" s="2125"/>
      <c r="U88" s="2125"/>
      <c r="V88" s="2125"/>
      <c r="W88" s="2125"/>
      <c r="X88" s="2125"/>
      <c r="Y88" s="2125"/>
      <c r="Z88" s="2125"/>
      <c r="AA88" s="2125"/>
      <c r="AB88" s="2125"/>
      <c r="AC88" s="2125"/>
    </row>
    <row r="89" spans="1:29" s="1324" customFormat="1" ht="15" thickTop="1">
      <c r="A89" s="708"/>
      <c r="B89" s="653" t="s">
        <v>1014</v>
      </c>
      <c r="C89" s="668" t="s">
        <v>1015</v>
      </c>
      <c r="D89" s="668" t="s">
        <v>1016</v>
      </c>
      <c r="E89" s="668"/>
      <c r="F89" s="668"/>
      <c r="G89" s="668"/>
      <c r="H89" s="668"/>
      <c r="I89" s="668"/>
      <c r="J89" s="668"/>
      <c r="K89" s="668"/>
      <c r="L89" s="668"/>
      <c r="M89" s="871"/>
      <c r="N89" s="2147"/>
      <c r="O89" s="2147"/>
      <c r="P89" s="2148"/>
      <c r="Q89" s="2149"/>
      <c r="R89" s="2150"/>
      <c r="S89" s="2150"/>
      <c r="T89" s="2150"/>
      <c r="U89" s="2150"/>
      <c r="V89" s="2150"/>
      <c r="W89" s="2150"/>
      <c r="X89" s="2150"/>
      <c r="Y89" s="2150"/>
      <c r="Z89" s="2150"/>
      <c r="AA89" s="2150"/>
      <c r="AB89" s="2150"/>
      <c r="AC89" s="2150"/>
    </row>
    <row r="90" spans="1:29" s="1324" customFormat="1" ht="15.75" thickBot="1">
      <c r="A90" s="667"/>
      <c r="B90" s="658"/>
      <c r="C90" s="672">
        <v>100</v>
      </c>
      <c r="D90" s="651">
        <v>102</v>
      </c>
      <c r="E90" s="651"/>
      <c r="F90" s="651"/>
      <c r="G90" s="651"/>
      <c r="H90" s="651"/>
      <c r="I90" s="651"/>
      <c r="J90" s="651"/>
      <c r="K90" s="651"/>
      <c r="L90" s="651"/>
      <c r="M90" s="652"/>
      <c r="N90" s="2147"/>
      <c r="O90" s="2147"/>
      <c r="P90" s="2148"/>
      <c r="Q90" s="2149"/>
      <c r="R90" s="2150"/>
      <c r="S90" s="2150"/>
      <c r="T90" s="2150"/>
      <c r="U90" s="2150"/>
      <c r="V90" s="2150"/>
      <c r="W90" s="2150"/>
      <c r="X90" s="2150"/>
      <c r="Y90" s="2150"/>
      <c r="Z90" s="2150"/>
      <c r="AA90" s="2150"/>
      <c r="AB90" s="2150"/>
      <c r="AC90" s="2150"/>
    </row>
    <row r="91" spans="1:29" ht="15" thickTop="1">
      <c r="A91" s="715"/>
      <c r="B91" s="653">
        <f>B32</f>
        <v>111</v>
      </c>
      <c r="C91" s="521">
        <v>111</v>
      </c>
      <c r="D91" s="521">
        <v>222</v>
      </c>
      <c r="E91" s="521">
        <v>333</v>
      </c>
      <c r="F91" s="521">
        <v>444</v>
      </c>
      <c r="G91" s="668"/>
      <c r="H91" s="669"/>
      <c r="I91" s="669"/>
      <c r="J91" s="669"/>
      <c r="K91" s="669"/>
      <c r="L91" s="670"/>
      <c r="M91" s="671"/>
      <c r="N91" s="2144"/>
      <c r="O91" s="2144"/>
      <c r="P91" s="2145"/>
      <c r="Q91" s="2138"/>
      <c r="R91" s="2125"/>
      <c r="S91" s="2125"/>
      <c r="T91" s="2125"/>
      <c r="U91" s="2125"/>
      <c r="V91" s="2125"/>
      <c r="W91" s="2125"/>
      <c r="X91" s="2125"/>
      <c r="Y91" s="2125"/>
      <c r="Z91" s="2125"/>
      <c r="AA91" s="2125"/>
      <c r="AB91" s="2125"/>
      <c r="AC91" s="2125"/>
    </row>
    <row r="92" spans="1:29" ht="15.75" thickBot="1">
      <c r="A92" s="649"/>
      <c r="B92" s="658"/>
      <c r="C92" s="672">
        <v>100</v>
      </c>
      <c r="D92" s="651">
        <v>99</v>
      </c>
      <c r="E92" s="651">
        <v>98</v>
      </c>
      <c r="F92" s="651">
        <v>97</v>
      </c>
      <c r="G92" s="672"/>
      <c r="H92" s="673"/>
      <c r="I92" s="673"/>
      <c r="J92" s="673"/>
      <c r="K92" s="673"/>
      <c r="L92" s="673"/>
      <c r="M92" s="674"/>
      <c r="N92" s="2146"/>
      <c r="O92" s="2146"/>
      <c r="P92" s="2145"/>
      <c r="Q92" s="2138"/>
      <c r="R92" s="2125"/>
      <c r="S92" s="2125"/>
      <c r="T92" s="2125"/>
      <c r="U92" s="2125"/>
      <c r="V92" s="2125"/>
      <c r="W92" s="2125"/>
      <c r="X92" s="2125"/>
      <c r="Y92" s="2125"/>
      <c r="Z92" s="2125"/>
      <c r="AA92" s="2125"/>
      <c r="AB92" s="2125"/>
      <c r="AC92" s="2125"/>
    </row>
    <row r="93" spans="1:29" ht="15" thickTop="1">
      <c r="A93" s="715"/>
      <c r="B93" s="653">
        <f>B33</f>
        <v>111</v>
      </c>
      <c r="C93" s="521">
        <v>111</v>
      </c>
      <c r="D93" s="521">
        <v>222</v>
      </c>
      <c r="E93" s="521">
        <v>333</v>
      </c>
      <c r="F93" s="521">
        <v>444</v>
      </c>
      <c r="G93" s="668"/>
      <c r="H93" s="669"/>
      <c r="I93" s="669"/>
      <c r="J93" s="669"/>
      <c r="K93" s="669"/>
      <c r="L93" s="670"/>
      <c r="M93" s="671"/>
      <c r="N93" s="2144"/>
      <c r="O93" s="2144"/>
      <c r="P93" s="2145"/>
      <c r="Q93" s="2138"/>
      <c r="R93" s="2125"/>
      <c r="S93" s="2125"/>
      <c r="T93" s="2125"/>
      <c r="U93" s="2125"/>
      <c r="V93" s="2125"/>
      <c r="W93" s="2125"/>
      <c r="X93" s="2125"/>
      <c r="Y93" s="2125"/>
      <c r="Z93" s="2125"/>
      <c r="AA93" s="2125"/>
      <c r="AB93" s="2125"/>
      <c r="AC93" s="2125"/>
    </row>
    <row r="94" spans="1:29" ht="15.75" thickBot="1">
      <c r="A94" s="649"/>
      <c r="B94" s="658"/>
      <c r="C94" s="672">
        <v>100</v>
      </c>
      <c r="D94" s="651">
        <v>98</v>
      </c>
      <c r="E94" s="651">
        <v>96</v>
      </c>
      <c r="F94" s="651">
        <v>94</v>
      </c>
      <c r="G94" s="672"/>
      <c r="H94" s="673"/>
      <c r="I94" s="673"/>
      <c r="J94" s="673"/>
      <c r="K94" s="673"/>
      <c r="L94" s="673"/>
      <c r="M94" s="674"/>
      <c r="N94" s="2146"/>
      <c r="O94" s="2146"/>
      <c r="P94" s="2145"/>
      <c r="Q94" s="2138"/>
      <c r="R94" s="2125"/>
      <c r="S94" s="2125"/>
      <c r="T94" s="2125"/>
      <c r="U94" s="2125"/>
      <c r="V94" s="2125"/>
      <c r="W94" s="2125"/>
      <c r="X94" s="2125"/>
      <c r="Y94" s="2125"/>
      <c r="Z94" s="2125"/>
      <c r="AA94" s="2125"/>
      <c r="AB94" s="2125"/>
      <c r="AC94" s="2125"/>
    </row>
    <row r="95" spans="1:29" ht="15" thickTop="1">
      <c r="A95" s="715"/>
      <c r="B95" s="896">
        <f>B34</f>
        <v>111</v>
      </c>
      <c r="C95" s="521">
        <v>111</v>
      </c>
      <c r="D95" s="521">
        <v>222</v>
      </c>
      <c r="E95" s="521">
        <v>333</v>
      </c>
      <c r="F95" s="521">
        <v>444</v>
      </c>
      <c r="G95" s="668"/>
      <c r="H95" s="669"/>
      <c r="I95" s="669"/>
      <c r="J95" s="669"/>
      <c r="K95" s="669"/>
      <c r="L95" s="670"/>
      <c r="M95" s="671"/>
      <c r="N95" s="2146"/>
      <c r="O95" s="2146"/>
      <c r="P95" s="2185"/>
      <c r="Q95" s="2186"/>
      <c r="R95" s="2125"/>
      <c r="S95" s="2125"/>
      <c r="T95" s="2125"/>
      <c r="U95" s="2125"/>
      <c r="V95" s="2125"/>
      <c r="W95" s="2125"/>
      <c r="X95" s="2125"/>
      <c r="Y95" s="2125"/>
      <c r="Z95" s="2125"/>
      <c r="AA95" s="2125"/>
      <c r="AB95" s="2125"/>
      <c r="AC95" s="2125"/>
    </row>
    <row r="96" spans="1:29" ht="15.75" thickBot="1">
      <c r="A96" s="649"/>
      <c r="B96" s="658"/>
      <c r="C96" s="672">
        <v>100</v>
      </c>
      <c r="D96" s="672">
        <v>97</v>
      </c>
      <c r="E96" s="672">
        <v>94</v>
      </c>
      <c r="F96" s="672">
        <v>91</v>
      </c>
      <c r="G96" s="672"/>
      <c r="H96" s="673"/>
      <c r="I96" s="673"/>
      <c r="J96" s="673"/>
      <c r="K96" s="673"/>
      <c r="L96" s="673"/>
      <c r="M96" s="674"/>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3073</v>
      </c>
      <c r="C1" s="3022">
        <f>项目基本情况!D3</f>
        <v>42898</v>
      </c>
      <c r="H1" s="2956">
        <f>IF(C1&gt;C13,0,MATCH(C1,C$13:C$100,-1))+IF(SUMIF(C13:C100,C1,D13:D100)=0,13,12)</f>
        <v>13</v>
      </c>
      <c r="I1" s="2956">
        <f>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3104</v>
      </c>
      <c r="C2" s="3023">
        <f>'数据-取费表'!B25</f>
        <v>2.5</v>
      </c>
      <c r="D2" s="3018" t="s">
        <v>3074</v>
      </c>
      <c r="E2" s="3021">
        <f ca="1">INDIRECT("I"&amp;$I$1)/100</f>
        <v>4.7500000000000001E-2</v>
      </c>
      <c r="G2" s="2958"/>
      <c r="H2" s="2958"/>
      <c r="I2" s="2958" t="s">
        <v>3075</v>
      </c>
      <c r="K2" s="2958"/>
      <c r="L2" s="2958"/>
      <c r="M2" s="2958"/>
      <c r="N2" s="2958" t="s">
        <v>3076</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3106</v>
      </c>
      <c r="C3" s="3020">
        <f>'数据-取费表'!B22</f>
        <v>0</v>
      </c>
      <c r="D3" s="3018" t="s">
        <v>3074</v>
      </c>
      <c r="E3" s="3021">
        <f ca="1">INDIRECT("J"&amp;$J$1)/100</f>
        <v>0</v>
      </c>
      <c r="G3" s="2960" t="s">
        <v>3077</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3105</v>
      </c>
      <c r="C4" s="3021">
        <f ca="1">N4/100</f>
        <v>1.4999999999999999E-2</v>
      </c>
      <c r="G4" s="2966" t="s">
        <v>3078</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3079</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3080</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3081</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3082</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3083</v>
      </c>
      <c r="C10" s="2985"/>
      <c r="D10" s="2985"/>
      <c r="E10" s="2985"/>
      <c r="F10" s="2985"/>
      <c r="G10" s="2985"/>
      <c r="H10" s="2985"/>
      <c r="I10" s="2959"/>
      <c r="J10" s="2959"/>
      <c r="K10" s="2985"/>
      <c r="L10" s="2986" t="s">
        <v>3084</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3085</v>
      </c>
      <c r="C11" s="2990" t="s">
        <v>3086</v>
      </c>
      <c r="D11" s="2991" t="s">
        <v>3087</v>
      </c>
      <c r="E11" s="2992"/>
      <c r="F11" s="2991" t="s">
        <v>3088</v>
      </c>
      <c r="G11" s="2993"/>
      <c r="H11" s="2992"/>
      <c r="I11" s="2991" t="s">
        <v>3089</v>
      </c>
      <c r="J11" s="2992"/>
      <c r="K11" s="2988"/>
      <c r="L11" s="2989" t="s">
        <v>3085</v>
      </c>
      <c r="M11" s="2990" t="s">
        <v>3086</v>
      </c>
      <c r="N11" s="2989" t="s">
        <v>3090</v>
      </c>
      <c r="O11" s="2991" t="s">
        <v>3091</v>
      </c>
      <c r="P11" s="2993"/>
      <c r="Q11" s="2993"/>
      <c r="R11" s="2993"/>
      <c r="S11" s="2993"/>
      <c r="T11" s="2992"/>
      <c r="U11" s="2991" t="s">
        <v>3092</v>
      </c>
      <c r="V11" s="2993"/>
      <c r="W11" s="2992"/>
      <c r="X11" s="2989" t="s">
        <v>3093</v>
      </c>
      <c r="Y11" s="2989" t="s">
        <v>3094</v>
      </c>
      <c r="Z11" s="2989" t="s">
        <v>3095</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3096</v>
      </c>
      <c r="E12" s="2998" t="s">
        <v>3097</v>
      </c>
      <c r="F12" s="2998" t="s">
        <v>3098</v>
      </c>
      <c r="G12" s="2998" t="s">
        <v>3099</v>
      </c>
      <c r="H12" s="2998" t="s">
        <v>3081</v>
      </c>
      <c r="I12" s="2999" t="s">
        <v>3100</v>
      </c>
      <c r="J12" s="2999" t="s">
        <v>3100</v>
      </c>
      <c r="K12" s="2995"/>
      <c r="L12" s="2996"/>
      <c r="M12" s="2997"/>
      <c r="N12" s="2996"/>
      <c r="O12" s="2999" t="s">
        <v>3101</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3102</v>
      </c>
      <c r="C13" s="3003">
        <v>42301</v>
      </c>
      <c r="D13" s="3004">
        <v>4.3499999999999996</v>
      </c>
      <c r="E13" s="3004">
        <v>4.3499999999999996</v>
      </c>
      <c r="F13" s="3004">
        <v>4.75</v>
      </c>
      <c r="G13" s="3004">
        <v>4.75</v>
      </c>
      <c r="H13" s="3004">
        <v>4.9000000000000004</v>
      </c>
      <c r="I13" s="3004">
        <v>2.75</v>
      </c>
      <c r="J13" s="3004">
        <v>3.25</v>
      </c>
      <c r="K13" s="3001"/>
      <c r="L13" s="3002" t="s">
        <v>3102</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3103</v>
      </c>
      <c r="Y42" s="3008" t="s">
        <v>3103</v>
      </c>
      <c r="Z42" s="3008" t="s">
        <v>3103</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3103</v>
      </c>
      <c r="Y43" s="3008" t="s">
        <v>3103</v>
      </c>
      <c r="Z43" s="3008" t="s">
        <v>3103</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3103</v>
      </c>
      <c r="Y44" s="3008" t="s">
        <v>3103</v>
      </c>
      <c r="Z44" s="3008" t="s">
        <v>3103</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3103</v>
      </c>
      <c r="Y45" s="3008" t="s">
        <v>3103</v>
      </c>
      <c r="Z45" s="3008" t="s">
        <v>3103</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3103</v>
      </c>
      <c r="Y46" s="3008" t="s">
        <v>3103</v>
      </c>
      <c r="Z46" s="3008" t="s">
        <v>3103</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3103</v>
      </c>
      <c r="Y47" s="3008" t="s">
        <v>3103</v>
      </c>
      <c r="Z47" s="3008" t="s">
        <v>3103</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3103</v>
      </c>
      <c r="Y48" s="3008" t="s">
        <v>3103</v>
      </c>
      <c r="Z48" s="3008" t="s">
        <v>3103</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3103</v>
      </c>
      <c r="Y49" s="3008" t="s">
        <v>3103</v>
      </c>
      <c r="Z49" s="3008" t="s">
        <v>3103</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3103</v>
      </c>
      <c r="Y50" s="3008" t="s">
        <v>3103</v>
      </c>
      <c r="Z50" s="3008" t="s">
        <v>3103</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3103</v>
      </c>
      <c r="V51" s="3008" t="s">
        <v>3103</v>
      </c>
      <c r="W51" s="3008" t="s">
        <v>3103</v>
      </c>
      <c r="X51" s="3008" t="s">
        <v>3103</v>
      </c>
      <c r="Y51" s="3008" t="s">
        <v>3103</v>
      </c>
      <c r="Z51" s="3008" t="s">
        <v>3103</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3103</v>
      </c>
      <c r="J55" s="3008" t="s">
        <v>3103</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4"/>
  <sheetViews>
    <sheetView topLeftCell="K61" workbookViewId="0">
      <selection activeCell="T70" sqref="T70"/>
    </sheetView>
  </sheetViews>
  <sheetFormatPr defaultRowHeight="13.5"/>
  <cols>
    <col min="1" max="1" width="53.625" style="3217" customWidth="1"/>
    <col min="2" max="26" width="9" style="3217"/>
    <col min="27" max="27" width="19.25" style="3217" customWidth="1"/>
    <col min="28" max="16384" width="9" style="3217"/>
  </cols>
  <sheetData>
    <row r="1" spans="1:28" s="3212" customFormat="1">
      <c r="A1" s="3211" t="s">
        <v>3417</v>
      </c>
      <c r="B1" s="3211" t="s">
        <v>3418</v>
      </c>
      <c r="C1" s="3211" t="s">
        <v>3419</v>
      </c>
      <c r="D1" s="3211" t="s">
        <v>3420</v>
      </c>
      <c r="E1" s="3211" t="s">
        <v>3421</v>
      </c>
      <c r="F1" s="3211" t="s">
        <v>3422</v>
      </c>
      <c r="G1" s="3211" t="s">
        <v>3423</v>
      </c>
      <c r="H1" s="3211" t="s">
        <v>3424</v>
      </c>
      <c r="I1" s="3211" t="s">
        <v>3425</v>
      </c>
      <c r="J1" s="3211" t="s">
        <v>3426</v>
      </c>
      <c r="K1" s="3211" t="s">
        <v>3427</v>
      </c>
      <c r="L1" s="3211" t="s">
        <v>3428</v>
      </c>
      <c r="M1" s="3211" t="s">
        <v>2256</v>
      </c>
      <c r="N1" s="3211" t="s">
        <v>3429</v>
      </c>
      <c r="O1" s="3211" t="s">
        <v>3430</v>
      </c>
      <c r="P1" s="3211" t="s">
        <v>3431</v>
      </c>
      <c r="Q1" s="3211" t="s">
        <v>3432</v>
      </c>
      <c r="R1" s="3211" t="s">
        <v>3433</v>
      </c>
      <c r="S1" s="3211" t="s">
        <v>3434</v>
      </c>
      <c r="T1" s="3211" t="s">
        <v>3435</v>
      </c>
      <c r="U1" s="3211" t="s">
        <v>3436</v>
      </c>
      <c r="V1" s="3211" t="s">
        <v>3437</v>
      </c>
      <c r="W1" s="3211" t="s">
        <v>3438</v>
      </c>
      <c r="X1" s="3211" t="s">
        <v>3439</v>
      </c>
      <c r="Y1" s="3211" t="s">
        <v>3440</v>
      </c>
      <c r="Z1" s="3211" t="s">
        <v>3441</v>
      </c>
      <c r="AA1" s="3211" t="s">
        <v>3442</v>
      </c>
      <c r="AB1" s="3211" t="s">
        <v>3443</v>
      </c>
    </row>
    <row r="2" spans="1:28" s="3212" customFormat="1">
      <c r="A2" s="3211" t="s">
        <v>3444</v>
      </c>
      <c r="B2" s="3211" t="s">
        <v>2164</v>
      </c>
      <c r="C2" s="3211" t="s">
        <v>3445</v>
      </c>
      <c r="D2" s="3211" t="s">
        <v>3446</v>
      </c>
      <c r="E2" s="3211" t="s">
        <v>3103</v>
      </c>
      <c r="F2" s="3211" t="s">
        <v>3447</v>
      </c>
      <c r="G2" s="3211" t="s">
        <v>3448</v>
      </c>
      <c r="H2" s="3211" t="s">
        <v>3449</v>
      </c>
      <c r="I2" s="3211" t="s">
        <v>1903</v>
      </c>
      <c r="J2" s="3211" t="s">
        <v>3450</v>
      </c>
      <c r="K2" s="3211">
        <v>53579</v>
      </c>
      <c r="L2" s="3211">
        <v>101510</v>
      </c>
      <c r="M2" s="3211">
        <v>1.89</v>
      </c>
      <c r="N2" s="3211" t="s">
        <v>3103</v>
      </c>
      <c r="O2" s="3211" t="s">
        <v>3103</v>
      </c>
      <c r="P2" s="3211" t="s">
        <v>3103</v>
      </c>
      <c r="Q2" s="3211" t="s">
        <v>3103</v>
      </c>
      <c r="R2" s="3211" t="s">
        <v>3451</v>
      </c>
      <c r="S2" s="3211" t="s">
        <v>3451</v>
      </c>
      <c r="T2" s="3211" t="s">
        <v>3450</v>
      </c>
      <c r="U2" s="3211" t="s">
        <v>3452</v>
      </c>
      <c r="V2" s="3211">
        <v>166000</v>
      </c>
      <c r="W2" s="3211">
        <v>181000</v>
      </c>
      <c r="X2" s="3211">
        <v>2252.13</v>
      </c>
      <c r="Y2" s="3211">
        <v>17830.75</v>
      </c>
      <c r="Z2" s="3211" t="s">
        <v>3103</v>
      </c>
      <c r="AA2" s="3211">
        <v>9.0399999999999991</v>
      </c>
      <c r="AB2" s="3211" t="s">
        <v>3453</v>
      </c>
    </row>
    <row r="3" spans="1:28" s="3212" customFormat="1">
      <c r="A3" s="3211" t="s">
        <v>3454</v>
      </c>
      <c r="B3" s="3211" t="s">
        <v>2164</v>
      </c>
      <c r="C3" s="3211" t="s">
        <v>3445</v>
      </c>
      <c r="D3" s="3211" t="s">
        <v>3446</v>
      </c>
      <c r="E3" s="3211" t="s">
        <v>3103</v>
      </c>
      <c r="F3" s="3211" t="s">
        <v>3447</v>
      </c>
      <c r="G3" s="3211" t="s">
        <v>3455</v>
      </c>
      <c r="H3" s="3211" t="s">
        <v>3449</v>
      </c>
      <c r="I3" s="3211" t="s">
        <v>1903</v>
      </c>
      <c r="J3" s="3211" t="s">
        <v>3456</v>
      </c>
      <c r="K3" s="3211">
        <v>75691</v>
      </c>
      <c r="L3" s="3211">
        <v>133361</v>
      </c>
      <c r="M3" s="3211">
        <v>1.76</v>
      </c>
      <c r="N3" s="3211" t="s">
        <v>3103</v>
      </c>
      <c r="O3" s="3211" t="s">
        <v>3103</v>
      </c>
      <c r="P3" s="3211" t="s">
        <v>3103</v>
      </c>
      <c r="Q3" s="3211" t="s">
        <v>3103</v>
      </c>
      <c r="R3" s="3211" t="s">
        <v>3451</v>
      </c>
      <c r="S3" s="3211" t="s">
        <v>3451</v>
      </c>
      <c r="T3" s="3211" t="s">
        <v>3456</v>
      </c>
      <c r="U3" s="3211" t="s">
        <v>3457</v>
      </c>
      <c r="V3" s="3211">
        <v>210000</v>
      </c>
      <c r="W3" s="3211">
        <v>232500</v>
      </c>
      <c r="X3" s="3211">
        <v>2047.8</v>
      </c>
      <c r="Y3" s="3211">
        <v>17433.88</v>
      </c>
      <c r="Z3" s="3211" t="s">
        <v>3103</v>
      </c>
      <c r="AA3" s="3211">
        <v>10.71</v>
      </c>
      <c r="AB3" s="3211" t="s">
        <v>3453</v>
      </c>
    </row>
    <row r="4" spans="1:28" s="3212" customFormat="1">
      <c r="A4" s="3211" t="s">
        <v>3458</v>
      </c>
      <c r="B4" s="3211" t="s">
        <v>2164</v>
      </c>
      <c r="C4" s="3211" t="s">
        <v>3445</v>
      </c>
      <c r="D4" s="3211" t="s">
        <v>3446</v>
      </c>
      <c r="E4" s="3211" t="s">
        <v>3103</v>
      </c>
      <c r="F4" s="3211" t="s">
        <v>3459</v>
      </c>
      <c r="G4" s="3211" t="s">
        <v>3460</v>
      </c>
      <c r="H4" s="3211" t="s">
        <v>3449</v>
      </c>
      <c r="I4" s="3211" t="s">
        <v>3279</v>
      </c>
      <c r="J4" s="3211" t="s">
        <v>3461</v>
      </c>
      <c r="K4" s="3211">
        <v>15224</v>
      </c>
      <c r="L4" s="3211">
        <v>42627</v>
      </c>
      <c r="M4" s="3211">
        <v>2.8</v>
      </c>
      <c r="N4" s="3211" t="s">
        <v>3103</v>
      </c>
      <c r="O4" s="3211" t="s">
        <v>3103</v>
      </c>
      <c r="P4" s="3211" t="s">
        <v>3103</v>
      </c>
      <c r="Q4" s="3211" t="s">
        <v>3103</v>
      </c>
      <c r="R4" s="3211" t="s">
        <v>3462</v>
      </c>
      <c r="S4" s="3211" t="s">
        <v>3462</v>
      </c>
      <c r="T4" s="3211" t="s">
        <v>3461</v>
      </c>
      <c r="U4" s="3211" t="s">
        <v>3463</v>
      </c>
      <c r="V4" s="3211">
        <v>30000</v>
      </c>
      <c r="W4" s="3211">
        <v>39000</v>
      </c>
      <c r="X4" s="3211">
        <v>1707.83</v>
      </c>
      <c r="Y4" s="3211">
        <v>9149.1200000000008</v>
      </c>
      <c r="Z4" s="3211" t="s">
        <v>3103</v>
      </c>
      <c r="AA4" s="3211">
        <v>30</v>
      </c>
      <c r="AB4" s="3211" t="s">
        <v>3453</v>
      </c>
    </row>
    <row r="5" spans="1:28" s="3212" customFormat="1">
      <c r="A5" s="3211" t="s">
        <v>3464</v>
      </c>
      <c r="B5" s="3211" t="s">
        <v>2164</v>
      </c>
      <c r="C5" s="3211" t="s">
        <v>3445</v>
      </c>
      <c r="D5" s="3211" t="s">
        <v>3465</v>
      </c>
      <c r="E5" s="3211" t="s">
        <v>3103</v>
      </c>
      <c r="F5" s="3211" t="s">
        <v>3466</v>
      </c>
      <c r="G5" s="3211" t="s">
        <v>3467</v>
      </c>
      <c r="H5" s="3211" t="s">
        <v>3449</v>
      </c>
      <c r="I5" s="3211" t="s">
        <v>3256</v>
      </c>
      <c r="J5" s="3211" t="s">
        <v>3468</v>
      </c>
      <c r="K5" s="3211">
        <v>180851</v>
      </c>
      <c r="L5" s="3211">
        <v>238650</v>
      </c>
      <c r="M5" s="3211">
        <v>1.32</v>
      </c>
      <c r="N5" s="3211" t="s">
        <v>3103</v>
      </c>
      <c r="O5" s="3211" t="s">
        <v>3103</v>
      </c>
      <c r="P5" s="3211" t="s">
        <v>3103</v>
      </c>
      <c r="Q5" s="3211" t="s">
        <v>3103</v>
      </c>
      <c r="R5" s="3211" t="s">
        <v>3469</v>
      </c>
      <c r="S5" s="3211" t="s">
        <v>3469</v>
      </c>
      <c r="T5" s="3211" t="s">
        <v>3468</v>
      </c>
      <c r="U5" s="3211" t="s">
        <v>3470</v>
      </c>
      <c r="V5" s="3211">
        <v>570000</v>
      </c>
      <c r="W5" s="3211">
        <v>633000</v>
      </c>
      <c r="X5" s="3211">
        <v>2333.41</v>
      </c>
      <c r="Y5" s="3211">
        <v>26524.2</v>
      </c>
      <c r="Z5" s="3211" t="s">
        <v>3103</v>
      </c>
      <c r="AA5" s="3211">
        <v>11.05</v>
      </c>
      <c r="AB5" s="3211" t="s">
        <v>3453</v>
      </c>
    </row>
    <row r="6" spans="1:28" s="3212" customFormat="1">
      <c r="A6" s="3211" t="s">
        <v>3471</v>
      </c>
      <c r="B6" s="3211" t="s">
        <v>2164</v>
      </c>
      <c r="C6" s="3211" t="s">
        <v>3472</v>
      </c>
      <c r="D6" s="3211" t="s">
        <v>3446</v>
      </c>
      <c r="E6" s="3211" t="s">
        <v>3103</v>
      </c>
      <c r="F6" s="3211" t="s">
        <v>3473</v>
      </c>
      <c r="G6" s="3211" t="s">
        <v>3473</v>
      </c>
      <c r="H6" s="3211" t="s">
        <v>3449</v>
      </c>
      <c r="I6" s="3211" t="s">
        <v>3279</v>
      </c>
      <c r="J6" s="3211" t="s">
        <v>3474</v>
      </c>
      <c r="K6" s="3211">
        <v>70466</v>
      </c>
      <c r="L6" s="3211">
        <v>98652</v>
      </c>
      <c r="M6" s="3211">
        <v>1.4</v>
      </c>
      <c r="N6" s="3211" t="s">
        <v>3103</v>
      </c>
      <c r="O6" s="3211" t="s">
        <v>3103</v>
      </c>
      <c r="P6" s="3211" t="s">
        <v>3103</v>
      </c>
      <c r="Q6" s="3211">
        <v>98652</v>
      </c>
      <c r="R6" s="3211" t="s">
        <v>3475</v>
      </c>
      <c r="S6" s="3211" t="s">
        <v>3475</v>
      </c>
      <c r="T6" s="3211" t="s">
        <v>3474</v>
      </c>
      <c r="U6" s="3211" t="s">
        <v>3476</v>
      </c>
      <c r="V6" s="3211">
        <v>60000</v>
      </c>
      <c r="W6" s="3211">
        <v>81500</v>
      </c>
      <c r="X6" s="3211">
        <v>771.06</v>
      </c>
      <c r="Y6" s="3211">
        <v>8261.36</v>
      </c>
      <c r="Z6" s="3211" t="s">
        <v>3103</v>
      </c>
      <c r="AA6" s="3211">
        <v>35.83</v>
      </c>
      <c r="AB6" s="3211" t="s">
        <v>3453</v>
      </c>
    </row>
    <row r="7" spans="1:28" s="3214" customFormat="1">
      <c r="A7" s="3213" t="s">
        <v>3477</v>
      </c>
      <c r="B7" s="3213" t="s">
        <v>2164</v>
      </c>
      <c r="C7" s="3213" t="s">
        <v>3445</v>
      </c>
      <c r="D7" s="3213" t="s">
        <v>3478</v>
      </c>
      <c r="E7" s="3213" t="s">
        <v>3103</v>
      </c>
      <c r="F7" s="3213" t="s">
        <v>3479</v>
      </c>
      <c r="G7" s="3213" t="s">
        <v>3480</v>
      </c>
      <c r="H7" s="3213" t="s">
        <v>3449</v>
      </c>
      <c r="I7" s="3213" t="s">
        <v>1903</v>
      </c>
      <c r="J7" s="3213" t="s">
        <v>3481</v>
      </c>
      <c r="K7" s="3213">
        <v>51970.99</v>
      </c>
      <c r="L7" s="3213">
        <v>135275</v>
      </c>
      <c r="M7" s="3213">
        <v>2.6</v>
      </c>
      <c r="N7" s="3213" t="s">
        <v>3103</v>
      </c>
      <c r="O7" s="3213" t="s">
        <v>3103</v>
      </c>
      <c r="P7" s="3213" t="s">
        <v>3103</v>
      </c>
      <c r="Q7" s="3213" t="s">
        <v>3103</v>
      </c>
      <c r="R7" s="3213" t="s">
        <v>3482</v>
      </c>
      <c r="S7" s="3213" t="s">
        <v>3482</v>
      </c>
      <c r="T7" s="3213" t="s">
        <v>3481</v>
      </c>
      <c r="U7" s="3213" t="s">
        <v>3483</v>
      </c>
      <c r="V7" s="3213">
        <v>248000</v>
      </c>
      <c r="W7" s="3213">
        <v>367500</v>
      </c>
      <c r="X7" s="3213">
        <v>4714.17</v>
      </c>
      <c r="Y7" s="3213">
        <v>27166.880000000001</v>
      </c>
      <c r="Z7" s="3213" t="s">
        <v>3103</v>
      </c>
      <c r="AA7" s="3213">
        <v>48.19</v>
      </c>
      <c r="AB7" s="3213" t="s">
        <v>3453</v>
      </c>
    </row>
    <row r="8" spans="1:28" s="3212" customFormat="1">
      <c r="A8" s="3211" t="s">
        <v>3484</v>
      </c>
      <c r="B8" s="3211" t="s">
        <v>2164</v>
      </c>
      <c r="C8" s="3211" t="s">
        <v>3472</v>
      </c>
      <c r="D8" s="3211" t="s">
        <v>3478</v>
      </c>
      <c r="E8" s="3211" t="s">
        <v>3103</v>
      </c>
      <c r="F8" s="3211" t="s">
        <v>3484</v>
      </c>
      <c r="G8" s="3211" t="s">
        <v>3485</v>
      </c>
      <c r="H8" s="3211" t="s">
        <v>3449</v>
      </c>
      <c r="I8" s="3211" t="s">
        <v>1903</v>
      </c>
      <c r="J8" s="3211" t="s">
        <v>3486</v>
      </c>
      <c r="K8" s="3211">
        <v>50662.6</v>
      </c>
      <c r="L8" s="3211">
        <v>101325.2</v>
      </c>
      <c r="M8" s="3211">
        <v>2</v>
      </c>
      <c r="N8" s="3211" t="s">
        <v>3103</v>
      </c>
      <c r="O8" s="3211" t="s">
        <v>3103</v>
      </c>
      <c r="P8" s="3211" t="s">
        <v>3103</v>
      </c>
      <c r="Q8" s="3211">
        <v>101325.2</v>
      </c>
      <c r="R8" s="3211" t="s">
        <v>3487</v>
      </c>
      <c r="S8" s="3211" t="s">
        <v>3487</v>
      </c>
      <c r="T8" s="3211" t="s">
        <v>3486</v>
      </c>
      <c r="U8" s="3211" t="s">
        <v>3488</v>
      </c>
      <c r="V8" s="3211">
        <v>151000</v>
      </c>
      <c r="W8" s="3211">
        <v>211000</v>
      </c>
      <c r="X8" s="3211">
        <v>2776.54</v>
      </c>
      <c r="Y8" s="3211">
        <v>20824.04</v>
      </c>
      <c r="Z8" s="3211" t="s">
        <v>3103</v>
      </c>
      <c r="AA8" s="3211">
        <v>39.74</v>
      </c>
      <c r="AB8" s="3211" t="s">
        <v>3489</v>
      </c>
    </row>
    <row r="9" spans="1:28" s="3212" customFormat="1">
      <c r="A9" s="3211" t="s">
        <v>3490</v>
      </c>
      <c r="B9" s="3211" t="s">
        <v>2164</v>
      </c>
      <c r="C9" s="3211" t="s">
        <v>3445</v>
      </c>
      <c r="D9" s="3211" t="s">
        <v>3491</v>
      </c>
      <c r="E9" s="3211" t="s">
        <v>3103</v>
      </c>
      <c r="F9" s="3211" t="s">
        <v>3492</v>
      </c>
      <c r="G9" s="3211" t="s">
        <v>3493</v>
      </c>
      <c r="H9" s="3211" t="s">
        <v>3449</v>
      </c>
      <c r="I9" s="3211" t="s">
        <v>3279</v>
      </c>
      <c r="J9" s="3211" t="s">
        <v>3494</v>
      </c>
      <c r="K9" s="3211">
        <v>17756.68</v>
      </c>
      <c r="L9" s="3211">
        <v>39065</v>
      </c>
      <c r="M9" s="3211">
        <v>2.2000000000000002</v>
      </c>
      <c r="N9" s="3211" t="s">
        <v>3103</v>
      </c>
      <c r="O9" s="3211" t="s">
        <v>3103</v>
      </c>
      <c r="P9" s="3211" t="s">
        <v>3103</v>
      </c>
      <c r="Q9" s="3211" t="s">
        <v>3103</v>
      </c>
      <c r="R9" s="3211" t="s">
        <v>3495</v>
      </c>
      <c r="S9" s="3211" t="s">
        <v>3495</v>
      </c>
      <c r="T9" s="3211" t="s">
        <v>3494</v>
      </c>
      <c r="U9" s="3211" t="s">
        <v>3496</v>
      </c>
      <c r="V9" s="3211">
        <v>50000</v>
      </c>
      <c r="W9" s="3211">
        <v>75000</v>
      </c>
      <c r="X9" s="3211">
        <v>2815.84</v>
      </c>
      <c r="Y9" s="3211">
        <v>19198.77</v>
      </c>
      <c r="Z9" s="3211" t="s">
        <v>3103</v>
      </c>
      <c r="AA9" s="3211">
        <v>50</v>
      </c>
      <c r="AB9" s="3211" t="s">
        <v>3453</v>
      </c>
    </row>
    <row r="10" spans="1:28" s="3212" customFormat="1">
      <c r="A10" s="3211" t="s">
        <v>3497</v>
      </c>
      <c r="B10" s="3211" t="s">
        <v>2164</v>
      </c>
      <c r="C10" s="3211" t="s">
        <v>3445</v>
      </c>
      <c r="D10" s="3211" t="s">
        <v>3498</v>
      </c>
      <c r="E10" s="3211" t="s">
        <v>3103</v>
      </c>
      <c r="F10" s="3211" t="s">
        <v>3499</v>
      </c>
      <c r="G10" s="3211" t="s">
        <v>3500</v>
      </c>
      <c r="H10" s="3211" t="s">
        <v>3449</v>
      </c>
      <c r="I10" s="3211" t="s">
        <v>3256</v>
      </c>
      <c r="J10" s="3211" t="s">
        <v>3501</v>
      </c>
      <c r="K10" s="3211">
        <v>89347.09</v>
      </c>
      <c r="L10" s="3211">
        <v>178694</v>
      </c>
      <c r="M10" s="3211">
        <v>2</v>
      </c>
      <c r="N10" s="3211" t="s">
        <v>3103</v>
      </c>
      <c r="O10" s="3211" t="s">
        <v>3502</v>
      </c>
      <c r="P10" s="3211">
        <v>57500</v>
      </c>
      <c r="Q10" s="3211" t="s">
        <v>3103</v>
      </c>
      <c r="R10" s="3211" t="s">
        <v>3503</v>
      </c>
      <c r="S10" s="3211" t="s">
        <v>3503</v>
      </c>
      <c r="T10" s="3211" t="s">
        <v>3501</v>
      </c>
      <c r="U10" s="3211" t="s">
        <v>3504</v>
      </c>
      <c r="V10" s="3211">
        <v>213000</v>
      </c>
      <c r="W10" s="3211">
        <v>319500</v>
      </c>
      <c r="X10" s="3211">
        <v>2383.96</v>
      </c>
      <c r="Y10" s="3211">
        <v>17879.72</v>
      </c>
      <c r="Z10" s="3211">
        <v>26363</v>
      </c>
      <c r="AA10" s="3211">
        <v>50</v>
      </c>
      <c r="AB10" s="3211" t="s">
        <v>3453</v>
      </c>
    </row>
    <row r="11" spans="1:28" s="3212" customFormat="1">
      <c r="A11" s="3211" t="s">
        <v>3505</v>
      </c>
      <c r="B11" s="3211" t="s">
        <v>2164</v>
      </c>
      <c r="C11" s="3211" t="s">
        <v>3445</v>
      </c>
      <c r="D11" s="3211" t="s">
        <v>3498</v>
      </c>
      <c r="E11" s="3211" t="s">
        <v>3103</v>
      </c>
      <c r="F11" s="3211" t="s">
        <v>3499</v>
      </c>
      <c r="G11" s="3211" t="s">
        <v>3506</v>
      </c>
      <c r="H11" s="3211" t="s">
        <v>3449</v>
      </c>
      <c r="I11" s="3211" t="s">
        <v>3256</v>
      </c>
      <c r="J11" s="3211" t="s">
        <v>3507</v>
      </c>
      <c r="K11" s="3211">
        <v>83732.679999999993</v>
      </c>
      <c r="L11" s="3211">
        <v>167465</v>
      </c>
      <c r="M11" s="3211">
        <v>2</v>
      </c>
      <c r="N11" s="3211" t="s">
        <v>3103</v>
      </c>
      <c r="O11" s="3211" t="s">
        <v>3103</v>
      </c>
      <c r="P11" s="3211">
        <v>57200</v>
      </c>
      <c r="Q11" s="3211" t="s">
        <v>3103</v>
      </c>
      <c r="R11" s="3211" t="s">
        <v>3503</v>
      </c>
      <c r="S11" s="3211" t="s">
        <v>3503</v>
      </c>
      <c r="T11" s="3211" t="s">
        <v>3507</v>
      </c>
      <c r="U11" s="3211" t="s">
        <v>3504</v>
      </c>
      <c r="V11" s="3211">
        <v>200000</v>
      </c>
      <c r="W11" s="3211">
        <v>300000</v>
      </c>
      <c r="X11" s="3211">
        <v>2388.5500000000002</v>
      </c>
      <c r="Y11" s="3211">
        <v>17914.18</v>
      </c>
      <c r="Z11" s="3211">
        <v>27207</v>
      </c>
      <c r="AA11" s="3211">
        <v>50</v>
      </c>
      <c r="AB11" s="3211" t="s">
        <v>3453</v>
      </c>
    </row>
    <row r="12" spans="1:28" s="3212" customFormat="1">
      <c r="A12" s="3211" t="s">
        <v>3508</v>
      </c>
      <c r="B12" s="3211" t="s">
        <v>2164</v>
      </c>
      <c r="C12" s="3211" t="s">
        <v>3445</v>
      </c>
      <c r="D12" s="3211" t="s">
        <v>3465</v>
      </c>
      <c r="E12" s="3211" t="s">
        <v>3103</v>
      </c>
      <c r="F12" s="3211" t="s">
        <v>3509</v>
      </c>
      <c r="G12" s="3211" t="s">
        <v>3510</v>
      </c>
      <c r="H12" s="3211" t="s">
        <v>3449</v>
      </c>
      <c r="I12" s="3211" t="s">
        <v>3256</v>
      </c>
      <c r="J12" s="3211" t="s">
        <v>3511</v>
      </c>
      <c r="K12" s="3211">
        <v>82624.91</v>
      </c>
      <c r="L12" s="3211">
        <v>263190</v>
      </c>
      <c r="M12" s="3211">
        <v>3.19</v>
      </c>
      <c r="N12" s="3211" t="s">
        <v>3103</v>
      </c>
      <c r="O12" s="3211" t="s">
        <v>3502</v>
      </c>
      <c r="P12" s="3211">
        <v>50000</v>
      </c>
      <c r="Q12" s="3211" t="s">
        <v>3103</v>
      </c>
      <c r="R12" s="3211" t="s">
        <v>3512</v>
      </c>
      <c r="S12" s="3211" t="s">
        <v>3512</v>
      </c>
      <c r="T12" s="3211" t="s">
        <v>3511</v>
      </c>
      <c r="U12" s="3211" t="s">
        <v>3513</v>
      </c>
      <c r="V12" s="3211">
        <v>263200</v>
      </c>
      <c r="W12" s="3211">
        <v>394800</v>
      </c>
      <c r="X12" s="3211">
        <v>3185.48</v>
      </c>
      <c r="Y12" s="3211">
        <v>15000.56</v>
      </c>
      <c r="Z12" s="3211">
        <v>18519</v>
      </c>
      <c r="AA12" s="3211">
        <v>50</v>
      </c>
      <c r="AB12" s="3211" t="s">
        <v>3514</v>
      </c>
    </row>
    <row r="13" spans="1:28" s="3216" customFormat="1">
      <c r="A13" s="3215" t="s">
        <v>3515</v>
      </c>
      <c r="B13" s="3215" t="s">
        <v>2164</v>
      </c>
      <c r="C13" s="3215" t="s">
        <v>3445</v>
      </c>
      <c r="D13" s="3215" t="s">
        <v>3478</v>
      </c>
      <c r="E13" s="3215" t="s">
        <v>3103</v>
      </c>
      <c r="F13" s="3215" t="s">
        <v>3515</v>
      </c>
      <c r="G13" s="3215" t="s">
        <v>3515</v>
      </c>
      <c r="H13" s="3215" t="s">
        <v>3449</v>
      </c>
      <c r="I13" s="3215" t="s">
        <v>1903</v>
      </c>
      <c r="J13" s="3215" t="s">
        <v>3516</v>
      </c>
      <c r="K13" s="3215">
        <v>45195.85</v>
      </c>
      <c r="L13" s="3215">
        <v>120599</v>
      </c>
      <c r="M13" s="3215">
        <v>2.67</v>
      </c>
      <c r="N13" s="3215" t="s">
        <v>3103</v>
      </c>
      <c r="O13" s="3215" t="s">
        <v>3103</v>
      </c>
      <c r="P13" s="3215" t="s">
        <v>3103</v>
      </c>
      <c r="Q13" s="3215">
        <v>15000</v>
      </c>
      <c r="R13" s="3215" t="s">
        <v>3517</v>
      </c>
      <c r="S13" s="3215" t="s">
        <v>3517</v>
      </c>
      <c r="T13" s="3215" t="s">
        <v>3516</v>
      </c>
      <c r="U13" s="3215" t="s">
        <v>3518</v>
      </c>
      <c r="V13" s="3215">
        <v>260000</v>
      </c>
      <c r="W13" s="3215">
        <v>390000</v>
      </c>
      <c r="X13" s="3215">
        <v>5752.74</v>
      </c>
      <c r="Y13" s="3215">
        <v>32338.58</v>
      </c>
      <c r="Z13" s="3215" t="s">
        <v>3103</v>
      </c>
      <c r="AA13" s="3215">
        <v>50</v>
      </c>
      <c r="AB13" s="3215" t="s">
        <v>3453</v>
      </c>
    </row>
    <row r="14" spans="1:28" s="3212" customFormat="1">
      <c r="A14" s="3211" t="s">
        <v>3519</v>
      </c>
      <c r="B14" s="3211" t="s">
        <v>2164</v>
      </c>
      <c r="C14" s="3211" t="s">
        <v>3445</v>
      </c>
      <c r="D14" s="3211" t="s">
        <v>3491</v>
      </c>
      <c r="E14" s="3211" t="s">
        <v>3103</v>
      </c>
      <c r="F14" s="3211" t="s">
        <v>3520</v>
      </c>
      <c r="G14" s="3211" t="s">
        <v>3521</v>
      </c>
      <c r="H14" s="3211" t="s">
        <v>3449</v>
      </c>
      <c r="I14" s="3211" t="s">
        <v>3256</v>
      </c>
      <c r="J14" s="3211" t="s">
        <v>3522</v>
      </c>
      <c r="K14" s="3211">
        <v>74844.53</v>
      </c>
      <c r="L14" s="3211">
        <v>134689</v>
      </c>
      <c r="M14" s="3211">
        <v>1.8</v>
      </c>
      <c r="N14" s="3211" t="s">
        <v>3103</v>
      </c>
      <c r="O14" s="3211" t="s">
        <v>3523</v>
      </c>
      <c r="P14" s="3211" t="s">
        <v>3103</v>
      </c>
      <c r="Q14" s="3211" t="s">
        <v>3103</v>
      </c>
      <c r="R14" s="3211" t="s">
        <v>3524</v>
      </c>
      <c r="S14" s="3211" t="s">
        <v>3524</v>
      </c>
      <c r="T14" s="3211" t="s">
        <v>3522</v>
      </c>
      <c r="U14" s="3211" t="s">
        <v>3525</v>
      </c>
      <c r="V14" s="3211">
        <v>87100</v>
      </c>
      <c r="W14" s="3211">
        <v>126000</v>
      </c>
      <c r="X14" s="3211">
        <v>1122.33</v>
      </c>
      <c r="Y14" s="3211">
        <v>9354.8700000000008</v>
      </c>
      <c r="Z14" s="3211" t="s">
        <v>3103</v>
      </c>
      <c r="AA14" s="3211">
        <v>44.66</v>
      </c>
      <c r="AB14" s="3211" t="s">
        <v>3453</v>
      </c>
    </row>
    <row r="15" spans="1:28" s="3212" customFormat="1">
      <c r="A15" s="3211" t="s">
        <v>3526</v>
      </c>
      <c r="B15" s="3211" t="s">
        <v>2164</v>
      </c>
      <c r="C15" s="3211" t="s">
        <v>3445</v>
      </c>
      <c r="D15" s="3211" t="s">
        <v>3478</v>
      </c>
      <c r="E15" s="3211" t="s">
        <v>3103</v>
      </c>
      <c r="F15" s="3211" t="s">
        <v>3527</v>
      </c>
      <c r="G15" s="3211" t="s">
        <v>3528</v>
      </c>
      <c r="H15" s="3211" t="s">
        <v>3449</v>
      </c>
      <c r="I15" s="3211" t="s">
        <v>1903</v>
      </c>
      <c r="J15" s="3211" t="s">
        <v>3529</v>
      </c>
      <c r="K15" s="3211">
        <v>77626.67</v>
      </c>
      <c r="L15" s="3211">
        <v>165765</v>
      </c>
      <c r="M15" s="3211">
        <v>2.14</v>
      </c>
      <c r="N15" s="3211" t="s">
        <v>3103</v>
      </c>
      <c r="O15" s="3211" t="s">
        <v>3103</v>
      </c>
      <c r="P15" s="3211" t="s">
        <v>3103</v>
      </c>
      <c r="Q15" s="3211" t="s">
        <v>3103</v>
      </c>
      <c r="R15" s="3211" t="s">
        <v>3530</v>
      </c>
      <c r="S15" s="3211" t="s">
        <v>3530</v>
      </c>
      <c r="T15" s="3211" t="s">
        <v>3529</v>
      </c>
      <c r="U15" s="3211" t="s">
        <v>3531</v>
      </c>
      <c r="V15" s="3211">
        <v>275000</v>
      </c>
      <c r="W15" s="3211">
        <v>442000</v>
      </c>
      <c r="X15" s="3211">
        <v>3795.95</v>
      </c>
      <c r="Y15" s="3211">
        <v>26664.25</v>
      </c>
      <c r="Z15" s="3211" t="s">
        <v>3103</v>
      </c>
      <c r="AA15" s="3211">
        <v>60.73</v>
      </c>
      <c r="AB15" s="3211" t="s">
        <v>3453</v>
      </c>
    </row>
    <row r="16" spans="1:28" s="3212" customFormat="1">
      <c r="A16" s="3211" t="s">
        <v>3532</v>
      </c>
      <c r="B16" s="3211" t="s">
        <v>2164</v>
      </c>
      <c r="C16" s="3211" t="s">
        <v>3445</v>
      </c>
      <c r="D16" s="3211" t="s">
        <v>3498</v>
      </c>
      <c r="E16" s="3211" t="s">
        <v>3103</v>
      </c>
      <c r="F16" s="3211" t="s">
        <v>3533</v>
      </c>
      <c r="G16" s="3211" t="s">
        <v>3534</v>
      </c>
      <c r="H16" s="3211" t="s">
        <v>3449</v>
      </c>
      <c r="I16" s="3211" t="s">
        <v>1903</v>
      </c>
      <c r="J16" s="3211" t="s">
        <v>3535</v>
      </c>
      <c r="K16" s="3211">
        <v>52140.02</v>
      </c>
      <c r="L16" s="3211">
        <v>83940</v>
      </c>
      <c r="M16" s="3211">
        <v>1.6</v>
      </c>
      <c r="N16" s="3211" t="s">
        <v>3103</v>
      </c>
      <c r="O16" s="3211" t="s">
        <v>3523</v>
      </c>
      <c r="P16" s="3211" t="s">
        <v>3103</v>
      </c>
      <c r="Q16" s="3211" t="s">
        <v>3103</v>
      </c>
      <c r="R16" s="3211" t="s">
        <v>3536</v>
      </c>
      <c r="S16" s="3211" t="s">
        <v>3536</v>
      </c>
      <c r="T16" s="3211" t="s">
        <v>3535</v>
      </c>
      <c r="U16" s="3211" t="s">
        <v>3513</v>
      </c>
      <c r="V16" s="3211">
        <v>50450</v>
      </c>
      <c r="W16" s="3211">
        <v>50450</v>
      </c>
      <c r="X16" s="3211">
        <v>645.05999999999995</v>
      </c>
      <c r="Y16" s="3211">
        <v>6010.25</v>
      </c>
      <c r="Z16" s="3211" t="s">
        <v>3103</v>
      </c>
      <c r="AA16" s="3211">
        <v>0</v>
      </c>
      <c r="AB16" s="3211" t="s">
        <v>3453</v>
      </c>
    </row>
    <row r="17" spans="1:28" s="3212" customFormat="1">
      <c r="A17" s="3211" t="s">
        <v>3537</v>
      </c>
      <c r="B17" s="3211" t="s">
        <v>2164</v>
      </c>
      <c r="C17" s="3211" t="s">
        <v>3445</v>
      </c>
      <c r="D17" s="3211" t="s">
        <v>3538</v>
      </c>
      <c r="E17" s="3211" t="s">
        <v>3103</v>
      </c>
      <c r="F17" s="3211" t="s">
        <v>3539</v>
      </c>
      <c r="G17" s="3211" t="s">
        <v>3540</v>
      </c>
      <c r="H17" s="3211" t="s">
        <v>3449</v>
      </c>
      <c r="I17" s="3211" t="s">
        <v>3256</v>
      </c>
      <c r="J17" s="3211" t="s">
        <v>3541</v>
      </c>
      <c r="K17" s="3211">
        <v>98838.47</v>
      </c>
      <c r="L17" s="3211">
        <v>170643</v>
      </c>
      <c r="M17" s="3211">
        <v>1.73</v>
      </c>
      <c r="N17" s="3211" t="s">
        <v>3103</v>
      </c>
      <c r="O17" s="3211" t="s">
        <v>3523</v>
      </c>
      <c r="P17" s="3211" t="s">
        <v>3103</v>
      </c>
      <c r="Q17" s="3211" t="s">
        <v>3103</v>
      </c>
      <c r="R17" s="3211" t="s">
        <v>3542</v>
      </c>
      <c r="S17" s="3211" t="s">
        <v>3542</v>
      </c>
      <c r="T17" s="3211" t="s">
        <v>3541</v>
      </c>
      <c r="U17" s="3211" t="s">
        <v>3543</v>
      </c>
      <c r="V17" s="3211">
        <v>57000</v>
      </c>
      <c r="W17" s="3211">
        <v>57000</v>
      </c>
      <c r="X17" s="3211">
        <v>384.47</v>
      </c>
      <c r="Y17" s="3211">
        <v>3340.3</v>
      </c>
      <c r="Z17" s="3211" t="s">
        <v>3103</v>
      </c>
      <c r="AA17" s="3211">
        <v>0</v>
      </c>
      <c r="AB17" s="3211" t="s">
        <v>3453</v>
      </c>
    </row>
    <row r="18" spans="1:28" s="3212" customFormat="1">
      <c r="A18" s="3211" t="s">
        <v>3544</v>
      </c>
      <c r="B18" s="3211" t="s">
        <v>2164</v>
      </c>
      <c r="C18" s="3211" t="s">
        <v>3445</v>
      </c>
      <c r="D18" s="3211" t="s">
        <v>3446</v>
      </c>
      <c r="E18" s="3211" t="s">
        <v>3103</v>
      </c>
      <c r="F18" s="3211" t="s">
        <v>3545</v>
      </c>
      <c r="G18" s="3211" t="s">
        <v>3546</v>
      </c>
      <c r="H18" s="3211" t="s">
        <v>3449</v>
      </c>
      <c r="I18" s="3211" t="s">
        <v>3279</v>
      </c>
      <c r="J18" s="3211" t="s">
        <v>3547</v>
      </c>
      <c r="K18" s="3211">
        <v>116825</v>
      </c>
      <c r="L18" s="3211">
        <v>192061</v>
      </c>
      <c r="M18" s="3211">
        <v>1.65</v>
      </c>
      <c r="N18" s="3211" t="s">
        <v>3103</v>
      </c>
      <c r="O18" s="3211" t="s">
        <v>3523</v>
      </c>
      <c r="P18" s="3211">
        <v>32300</v>
      </c>
      <c r="Q18" s="3211" t="s">
        <v>3103</v>
      </c>
      <c r="R18" s="3211" t="s">
        <v>3548</v>
      </c>
      <c r="S18" s="3211" t="s">
        <v>3548</v>
      </c>
      <c r="T18" s="3211" t="s">
        <v>3547</v>
      </c>
      <c r="U18" s="3211" t="s">
        <v>3549</v>
      </c>
      <c r="V18" s="3211">
        <v>192100</v>
      </c>
      <c r="W18" s="3211">
        <v>266000</v>
      </c>
      <c r="X18" s="3211">
        <v>1517.94</v>
      </c>
      <c r="Y18" s="3211">
        <v>13849.77</v>
      </c>
      <c r="Z18" s="3211">
        <v>16650</v>
      </c>
      <c r="AA18" s="3211">
        <v>38.47</v>
      </c>
      <c r="AB18" s="3211" t="s">
        <v>3453</v>
      </c>
    </row>
    <row r="19" spans="1:28" s="3212" customFormat="1">
      <c r="A19" s="3211" t="s">
        <v>3550</v>
      </c>
      <c r="B19" s="3211" t="s">
        <v>2164</v>
      </c>
      <c r="C19" s="3211" t="s">
        <v>3445</v>
      </c>
      <c r="D19" s="3211" t="s">
        <v>3446</v>
      </c>
      <c r="E19" s="3211" t="s">
        <v>3103</v>
      </c>
      <c r="F19" s="3211" t="s">
        <v>3551</v>
      </c>
      <c r="G19" s="3211" t="s">
        <v>3552</v>
      </c>
      <c r="H19" s="3211" t="s">
        <v>3449</v>
      </c>
      <c r="I19" s="3211" t="s">
        <v>3279</v>
      </c>
      <c r="J19" s="3211" t="s">
        <v>3553</v>
      </c>
      <c r="K19" s="3211">
        <v>67925</v>
      </c>
      <c r="L19" s="3211">
        <v>163840</v>
      </c>
      <c r="M19" s="3211">
        <v>2.41</v>
      </c>
      <c r="N19" s="3211" t="s">
        <v>3103</v>
      </c>
      <c r="O19" s="3211" t="s">
        <v>3103</v>
      </c>
      <c r="P19" s="3211" t="s">
        <v>3103</v>
      </c>
      <c r="Q19" s="3211">
        <v>22000</v>
      </c>
      <c r="R19" s="3211" t="s">
        <v>3548</v>
      </c>
      <c r="S19" s="3211" t="s">
        <v>3548</v>
      </c>
      <c r="T19" s="3211" t="s">
        <v>3553</v>
      </c>
      <c r="U19" s="3211" t="s">
        <v>3549</v>
      </c>
      <c r="V19" s="3211">
        <v>280200</v>
      </c>
      <c r="W19" s="3211">
        <v>420300</v>
      </c>
      <c r="X19" s="3211">
        <v>4125.1400000000003</v>
      </c>
      <c r="Y19" s="3211">
        <v>25653.08</v>
      </c>
      <c r="Z19" s="3211" t="s">
        <v>3103</v>
      </c>
      <c r="AA19" s="3211">
        <v>50</v>
      </c>
      <c r="AB19" s="3211" t="s">
        <v>3453</v>
      </c>
    </row>
    <row r="20" spans="1:28" s="3212" customFormat="1">
      <c r="A20" s="3211" t="s">
        <v>3554</v>
      </c>
      <c r="B20" s="3211" t="s">
        <v>2164</v>
      </c>
      <c r="C20" s="3211" t="s">
        <v>3445</v>
      </c>
      <c r="D20" s="3211" t="s">
        <v>3498</v>
      </c>
      <c r="E20" s="3211" t="s">
        <v>3103</v>
      </c>
      <c r="F20" s="3211" t="s">
        <v>3555</v>
      </c>
      <c r="G20" s="3211" t="s">
        <v>3556</v>
      </c>
      <c r="H20" s="3211" t="s">
        <v>3449</v>
      </c>
      <c r="I20" s="3211" t="s">
        <v>3256</v>
      </c>
      <c r="J20" s="3211" t="s">
        <v>3557</v>
      </c>
      <c r="K20" s="3211">
        <v>42685.77</v>
      </c>
      <c r="L20" s="3211">
        <v>124350</v>
      </c>
      <c r="M20" s="3211">
        <v>2.91</v>
      </c>
      <c r="N20" s="3211" t="s">
        <v>3103</v>
      </c>
      <c r="O20" s="3211" t="s">
        <v>3502</v>
      </c>
      <c r="P20" s="3211">
        <v>17400</v>
      </c>
      <c r="Q20" s="3211" t="s">
        <v>3103</v>
      </c>
      <c r="R20" s="3211" t="s">
        <v>3558</v>
      </c>
      <c r="S20" s="3211" t="s">
        <v>3558</v>
      </c>
      <c r="T20" s="3211" t="s">
        <v>3557</v>
      </c>
      <c r="U20" s="3211" t="s">
        <v>3559</v>
      </c>
      <c r="V20" s="3211">
        <v>126100</v>
      </c>
      <c r="W20" s="3211">
        <v>172000</v>
      </c>
      <c r="X20" s="3211">
        <v>2686.3</v>
      </c>
      <c r="Y20" s="3211">
        <v>13831.93</v>
      </c>
      <c r="Z20" s="3211">
        <v>16082</v>
      </c>
      <c r="AA20" s="3211">
        <v>36.4</v>
      </c>
      <c r="AB20" s="3211" t="s">
        <v>3453</v>
      </c>
    </row>
    <row r="21" spans="1:28" s="3212" customFormat="1">
      <c r="A21" s="3211" t="s">
        <v>3560</v>
      </c>
      <c r="B21" s="3211" t="s">
        <v>2164</v>
      </c>
      <c r="C21" s="3211" t="s">
        <v>3445</v>
      </c>
      <c r="D21" s="3211" t="s">
        <v>3498</v>
      </c>
      <c r="E21" s="3211" t="s">
        <v>3103</v>
      </c>
      <c r="F21" s="3211" t="s">
        <v>3555</v>
      </c>
      <c r="G21" s="3211" t="s">
        <v>3561</v>
      </c>
      <c r="H21" s="3211" t="s">
        <v>3449</v>
      </c>
      <c r="I21" s="3211" t="s">
        <v>3256</v>
      </c>
      <c r="J21" s="3211" t="s">
        <v>3562</v>
      </c>
      <c r="K21" s="3211">
        <v>90996.11</v>
      </c>
      <c r="L21" s="3211">
        <v>343161</v>
      </c>
      <c r="M21" s="3211">
        <v>3.77</v>
      </c>
      <c r="N21" s="3211" t="s">
        <v>3103</v>
      </c>
      <c r="O21" s="3211" t="s">
        <v>3502</v>
      </c>
      <c r="P21" s="3211">
        <v>26300</v>
      </c>
      <c r="Q21" s="3211" t="s">
        <v>3103</v>
      </c>
      <c r="R21" s="3211" t="s">
        <v>3558</v>
      </c>
      <c r="S21" s="3211" t="s">
        <v>3558</v>
      </c>
      <c r="T21" s="3211" t="s">
        <v>3562</v>
      </c>
      <c r="U21" s="3211" t="s">
        <v>3559</v>
      </c>
      <c r="V21" s="3211">
        <v>330000</v>
      </c>
      <c r="W21" s="3211">
        <v>330000</v>
      </c>
      <c r="X21" s="3211">
        <v>2417.69</v>
      </c>
      <c r="Y21" s="3211">
        <v>9616.4699999999993</v>
      </c>
      <c r="Z21" s="3211">
        <v>10415</v>
      </c>
      <c r="AA21" s="3211">
        <v>0</v>
      </c>
      <c r="AB21" s="3211" t="s">
        <v>3514</v>
      </c>
    </row>
    <row r="22" spans="1:28" s="3212" customFormat="1">
      <c r="A22" s="3211" t="s">
        <v>3563</v>
      </c>
      <c r="B22" s="3211" t="s">
        <v>2164</v>
      </c>
      <c r="C22" s="3211" t="s">
        <v>3445</v>
      </c>
      <c r="D22" s="3211" t="s">
        <v>3498</v>
      </c>
      <c r="E22" s="3211" t="s">
        <v>3103</v>
      </c>
      <c r="F22" s="3211" t="s">
        <v>3564</v>
      </c>
      <c r="G22" s="3211" t="s">
        <v>3565</v>
      </c>
      <c r="H22" s="3211" t="s">
        <v>3449</v>
      </c>
      <c r="I22" s="3211" t="s">
        <v>3279</v>
      </c>
      <c r="J22" s="3211" t="s">
        <v>3566</v>
      </c>
      <c r="K22" s="3211">
        <v>73293.58</v>
      </c>
      <c r="L22" s="3211">
        <v>143980</v>
      </c>
      <c r="M22" s="3211">
        <v>1.96</v>
      </c>
      <c r="N22" s="3211" t="s">
        <v>3103</v>
      </c>
      <c r="O22" s="3211" t="s">
        <v>3523</v>
      </c>
      <c r="P22" s="3211">
        <v>72700</v>
      </c>
      <c r="Q22" s="3211" t="s">
        <v>3103</v>
      </c>
      <c r="R22" s="3211" t="s">
        <v>3567</v>
      </c>
      <c r="S22" s="3211" t="s">
        <v>3567</v>
      </c>
      <c r="T22" s="3211" t="s">
        <v>3566</v>
      </c>
      <c r="U22" s="3211" t="s">
        <v>3568</v>
      </c>
      <c r="V22" s="3211">
        <v>131500</v>
      </c>
      <c r="W22" s="3211">
        <v>197200</v>
      </c>
      <c r="X22" s="3211">
        <v>1793.7</v>
      </c>
      <c r="Y22" s="3211">
        <v>13696.35</v>
      </c>
      <c r="Z22" s="3211">
        <v>27666</v>
      </c>
      <c r="AA22" s="3211">
        <v>49.96</v>
      </c>
      <c r="AB22" s="3211" t="s">
        <v>3514</v>
      </c>
    </row>
    <row r="23" spans="1:28" s="3212" customFormat="1">
      <c r="A23" s="3211" t="s">
        <v>3569</v>
      </c>
      <c r="B23" s="3211" t="s">
        <v>2164</v>
      </c>
      <c r="C23" s="3211" t="s">
        <v>3445</v>
      </c>
      <c r="D23" s="3211" t="s">
        <v>3498</v>
      </c>
      <c r="E23" s="3211" t="s">
        <v>3103</v>
      </c>
      <c r="F23" s="3211" t="s">
        <v>3564</v>
      </c>
      <c r="G23" s="3211" t="s">
        <v>3570</v>
      </c>
      <c r="H23" s="3211" t="s">
        <v>3449</v>
      </c>
      <c r="I23" s="3211" t="s">
        <v>3279</v>
      </c>
      <c r="J23" s="3211" t="s">
        <v>3571</v>
      </c>
      <c r="K23" s="3211">
        <v>94198.62</v>
      </c>
      <c r="L23" s="3211">
        <v>187481</v>
      </c>
      <c r="M23" s="3211">
        <v>2</v>
      </c>
      <c r="N23" s="3211" t="s">
        <v>3103</v>
      </c>
      <c r="O23" s="3211" t="s">
        <v>3103</v>
      </c>
      <c r="P23" s="3211">
        <v>115600</v>
      </c>
      <c r="Q23" s="3211" t="s">
        <v>3103</v>
      </c>
      <c r="R23" s="3211" t="s">
        <v>3567</v>
      </c>
      <c r="S23" s="3211" t="s">
        <v>3567</v>
      </c>
      <c r="T23" s="3211" t="s">
        <v>3571</v>
      </c>
      <c r="U23" s="3211" t="s">
        <v>3568</v>
      </c>
      <c r="V23" s="3211">
        <v>168300</v>
      </c>
      <c r="W23" s="3211">
        <v>252400</v>
      </c>
      <c r="X23" s="3211">
        <v>1786.3</v>
      </c>
      <c r="Y23" s="3211">
        <v>13462.7</v>
      </c>
      <c r="Z23" s="3211">
        <v>35114</v>
      </c>
      <c r="AA23" s="3211">
        <v>49.97</v>
      </c>
      <c r="AB23" s="3211" t="s">
        <v>3514</v>
      </c>
    </row>
    <row r="24" spans="1:28" s="3212" customFormat="1">
      <c r="A24" s="3211" t="s">
        <v>3572</v>
      </c>
      <c r="B24" s="3211" t="s">
        <v>2164</v>
      </c>
      <c r="C24" s="3211" t="s">
        <v>3472</v>
      </c>
      <c r="D24" s="3211" t="s">
        <v>3465</v>
      </c>
      <c r="E24" s="3211" t="s">
        <v>3103</v>
      </c>
      <c r="F24" s="3211" t="s">
        <v>3573</v>
      </c>
      <c r="G24" s="3211" t="s">
        <v>3574</v>
      </c>
      <c r="H24" s="3211" t="s">
        <v>3449</v>
      </c>
      <c r="I24" s="3211" t="s">
        <v>3279</v>
      </c>
      <c r="J24" s="3211" t="s">
        <v>3575</v>
      </c>
      <c r="K24" s="3211">
        <v>72401.83</v>
      </c>
      <c r="L24" s="3211">
        <v>202725</v>
      </c>
      <c r="M24" s="3211">
        <v>2.8</v>
      </c>
      <c r="N24" s="3211" t="s">
        <v>3103</v>
      </c>
      <c r="O24" s="3211" t="s">
        <v>3502</v>
      </c>
      <c r="P24" s="3211">
        <v>31000</v>
      </c>
      <c r="Q24" s="3211" t="s">
        <v>3103</v>
      </c>
      <c r="R24" s="3211" t="s">
        <v>3576</v>
      </c>
      <c r="S24" s="3211" t="s">
        <v>3576</v>
      </c>
      <c r="T24" s="3211" t="s">
        <v>3575</v>
      </c>
      <c r="U24" s="3211" t="s">
        <v>3577</v>
      </c>
      <c r="V24" s="3211">
        <v>380000</v>
      </c>
      <c r="W24" s="3211">
        <v>570000</v>
      </c>
      <c r="X24" s="3211">
        <v>5248.49</v>
      </c>
      <c r="Y24" s="3211">
        <v>28116.9</v>
      </c>
      <c r="Z24" s="3211">
        <v>33193</v>
      </c>
      <c r="AA24" s="3211">
        <v>50</v>
      </c>
      <c r="AB24" s="3211" t="s">
        <v>3514</v>
      </c>
    </row>
    <row r="25" spans="1:28" s="3212" customFormat="1">
      <c r="A25" s="3211" t="s">
        <v>3578</v>
      </c>
      <c r="B25" s="3211" t="s">
        <v>2164</v>
      </c>
      <c r="C25" s="3211" t="s">
        <v>3445</v>
      </c>
      <c r="D25" s="3211" t="s">
        <v>3465</v>
      </c>
      <c r="E25" s="3211" t="s">
        <v>3103</v>
      </c>
      <c r="F25" s="3211" t="s">
        <v>3573</v>
      </c>
      <c r="G25" s="3211" t="s">
        <v>3579</v>
      </c>
      <c r="H25" s="3211" t="s">
        <v>3449</v>
      </c>
      <c r="I25" s="3211" t="s">
        <v>3279</v>
      </c>
      <c r="J25" s="3211" t="s">
        <v>3580</v>
      </c>
      <c r="K25" s="3211">
        <v>65820.63</v>
      </c>
      <c r="L25" s="3211">
        <v>252082</v>
      </c>
      <c r="M25" s="3211">
        <v>3.82</v>
      </c>
      <c r="N25" s="3211" t="s">
        <v>3103</v>
      </c>
      <c r="O25" s="3211" t="s">
        <v>3523</v>
      </c>
      <c r="P25" s="3211">
        <v>20000</v>
      </c>
      <c r="Q25" s="3211" t="s">
        <v>3103</v>
      </c>
      <c r="R25" s="3211" t="s">
        <v>3576</v>
      </c>
      <c r="S25" s="3211" t="s">
        <v>3576</v>
      </c>
      <c r="T25" s="3211" t="s">
        <v>3580</v>
      </c>
      <c r="U25" s="3211" t="s">
        <v>3581</v>
      </c>
      <c r="V25" s="3211">
        <v>410000</v>
      </c>
      <c r="W25" s="3211">
        <v>460000</v>
      </c>
      <c r="X25" s="3211">
        <v>4659.13</v>
      </c>
      <c r="Y25" s="3211">
        <v>18248.02</v>
      </c>
      <c r="Z25" s="3211">
        <v>19821</v>
      </c>
      <c r="AA25" s="3211">
        <v>12.2</v>
      </c>
      <c r="AB25" s="3211" t="s">
        <v>3514</v>
      </c>
    </row>
    <row r="26" spans="1:28" s="3212" customFormat="1">
      <c r="A26" s="3211" t="s">
        <v>3582</v>
      </c>
      <c r="B26" s="3211" t="s">
        <v>2164</v>
      </c>
      <c r="C26" s="3211" t="s">
        <v>3472</v>
      </c>
      <c r="D26" s="3211" t="s">
        <v>3491</v>
      </c>
      <c r="E26" s="3211" t="s">
        <v>3103</v>
      </c>
      <c r="F26" s="3211" t="s">
        <v>3583</v>
      </c>
      <c r="G26" s="3211" t="s">
        <v>3584</v>
      </c>
      <c r="H26" s="3211" t="s">
        <v>3449</v>
      </c>
      <c r="I26" s="3211" t="s">
        <v>3279</v>
      </c>
      <c r="J26" s="3211" t="s">
        <v>3585</v>
      </c>
      <c r="K26" s="3211">
        <v>118126.9</v>
      </c>
      <c r="L26" s="3211">
        <v>208824</v>
      </c>
      <c r="M26" s="3211">
        <v>1.77</v>
      </c>
      <c r="N26" s="3211" t="s">
        <v>3103</v>
      </c>
      <c r="O26" s="3211" t="s">
        <v>3103</v>
      </c>
      <c r="P26" s="3211">
        <v>130248</v>
      </c>
      <c r="Q26" s="3211" t="s">
        <v>3103</v>
      </c>
      <c r="R26" s="3211" t="s">
        <v>3586</v>
      </c>
      <c r="S26" s="3211" t="s">
        <v>3586</v>
      </c>
      <c r="T26" s="3211" t="s">
        <v>3585</v>
      </c>
      <c r="U26" s="3211" t="s">
        <v>3587</v>
      </c>
      <c r="V26" s="3211">
        <v>176500</v>
      </c>
      <c r="W26" s="3211">
        <v>264750</v>
      </c>
      <c r="X26" s="3211">
        <v>1494.16</v>
      </c>
      <c r="Y26" s="3211">
        <v>12678.13</v>
      </c>
      <c r="Z26" s="3211">
        <v>33693</v>
      </c>
      <c r="AA26" s="3211">
        <v>50</v>
      </c>
      <c r="AB26" s="3211" t="s">
        <v>3588</v>
      </c>
    </row>
    <row r="27" spans="1:28" s="3212" customFormat="1">
      <c r="A27" s="3211" t="s">
        <v>3589</v>
      </c>
      <c r="B27" s="3211" t="s">
        <v>2164</v>
      </c>
      <c r="C27" s="3211" t="s">
        <v>3445</v>
      </c>
      <c r="D27" s="3211" t="s">
        <v>3491</v>
      </c>
      <c r="E27" s="3211" t="s">
        <v>3103</v>
      </c>
      <c r="F27" s="3211" t="s">
        <v>3583</v>
      </c>
      <c r="G27" s="3211" t="s">
        <v>3590</v>
      </c>
      <c r="H27" s="3211" t="s">
        <v>3449</v>
      </c>
      <c r="I27" s="3211" t="s">
        <v>3279</v>
      </c>
      <c r="J27" s="3211" t="s">
        <v>3591</v>
      </c>
      <c r="K27" s="3211">
        <v>139657.29999999999</v>
      </c>
      <c r="L27" s="3211">
        <v>204355</v>
      </c>
      <c r="M27" s="3211">
        <v>1.46</v>
      </c>
      <c r="N27" s="3211" t="s">
        <v>3103</v>
      </c>
      <c r="O27" s="3211" t="s">
        <v>3103</v>
      </c>
      <c r="P27" s="3211">
        <v>115548</v>
      </c>
      <c r="Q27" s="3211" t="s">
        <v>3103</v>
      </c>
      <c r="R27" s="3211" t="s">
        <v>3586</v>
      </c>
      <c r="S27" s="3211" t="s">
        <v>3586</v>
      </c>
      <c r="T27" s="3211" t="s">
        <v>3591</v>
      </c>
      <c r="U27" s="3211" t="s">
        <v>3587</v>
      </c>
      <c r="V27" s="3211">
        <v>156100</v>
      </c>
      <c r="W27" s="3211">
        <v>234150</v>
      </c>
      <c r="X27" s="3211">
        <v>1117.74</v>
      </c>
      <c r="Y27" s="3211">
        <v>11458</v>
      </c>
      <c r="Z27" s="3211">
        <v>26366</v>
      </c>
      <c r="AA27" s="3211">
        <v>50</v>
      </c>
      <c r="AB27" s="3211" t="s">
        <v>3453</v>
      </c>
    </row>
    <row r="28" spans="1:28" s="3212" customFormat="1">
      <c r="A28" s="3211" t="s">
        <v>3592</v>
      </c>
      <c r="B28" s="3211" t="s">
        <v>2164</v>
      </c>
      <c r="C28" s="3211" t="s">
        <v>3472</v>
      </c>
      <c r="D28" s="3211" t="s">
        <v>3538</v>
      </c>
      <c r="E28" s="3211" t="s">
        <v>3103</v>
      </c>
      <c r="F28" s="3211" t="s">
        <v>3593</v>
      </c>
      <c r="G28" s="3211" t="s">
        <v>3594</v>
      </c>
      <c r="H28" s="3211" t="s">
        <v>3449</v>
      </c>
      <c r="I28" s="3211" t="s">
        <v>1903</v>
      </c>
      <c r="J28" s="3211" t="s">
        <v>3595</v>
      </c>
      <c r="K28" s="3211">
        <v>42076.54</v>
      </c>
      <c r="L28" s="3211">
        <v>117814</v>
      </c>
      <c r="M28" s="3211">
        <v>2.8</v>
      </c>
      <c r="N28" s="3211" t="s">
        <v>3103</v>
      </c>
      <c r="O28" s="3211" t="s">
        <v>3523</v>
      </c>
      <c r="P28" s="3211">
        <v>47000</v>
      </c>
      <c r="Q28" s="3211">
        <v>41400</v>
      </c>
      <c r="R28" s="3211" t="s">
        <v>3596</v>
      </c>
      <c r="S28" s="3211" t="s">
        <v>3596</v>
      </c>
      <c r="T28" s="3211" t="s">
        <v>3595</v>
      </c>
      <c r="U28" s="3211" t="s">
        <v>3597</v>
      </c>
      <c r="V28" s="3211">
        <v>124900</v>
      </c>
      <c r="W28" s="3211">
        <v>187300</v>
      </c>
      <c r="X28" s="3211">
        <v>2967.61</v>
      </c>
      <c r="Y28" s="3211">
        <v>15897.94</v>
      </c>
      <c r="Z28" s="3211">
        <v>26450</v>
      </c>
      <c r="AA28" s="3211">
        <v>49.96</v>
      </c>
      <c r="AB28" s="3211" t="s">
        <v>3453</v>
      </c>
    </row>
    <row r="29" spans="1:28" s="3212" customFormat="1">
      <c r="A29" s="3211" t="s">
        <v>3598</v>
      </c>
      <c r="B29" s="3211" t="s">
        <v>2164</v>
      </c>
      <c r="C29" s="3211" t="s">
        <v>3445</v>
      </c>
      <c r="D29" s="3211" t="s">
        <v>3498</v>
      </c>
      <c r="E29" s="3211" t="s">
        <v>3103</v>
      </c>
      <c r="F29" s="3211" t="s">
        <v>3499</v>
      </c>
      <c r="G29" s="3211" t="s">
        <v>3599</v>
      </c>
      <c r="H29" s="3211" t="s">
        <v>3449</v>
      </c>
      <c r="I29" s="3211" t="s">
        <v>3256</v>
      </c>
      <c r="J29" s="3211" t="s">
        <v>3600</v>
      </c>
      <c r="K29" s="3211">
        <v>48775.519999999997</v>
      </c>
      <c r="L29" s="3211">
        <v>121939</v>
      </c>
      <c r="M29" s="3211">
        <v>2.5</v>
      </c>
      <c r="N29" s="3211" t="s">
        <v>3103</v>
      </c>
      <c r="O29" s="3211" t="s">
        <v>3502</v>
      </c>
      <c r="P29" s="3211">
        <v>45600</v>
      </c>
      <c r="Q29" s="3211" t="s">
        <v>3103</v>
      </c>
      <c r="R29" s="3211" t="s">
        <v>3601</v>
      </c>
      <c r="S29" s="3211" t="s">
        <v>3601</v>
      </c>
      <c r="T29" s="3211" t="s">
        <v>3600</v>
      </c>
      <c r="U29" s="3211" t="s">
        <v>3602</v>
      </c>
      <c r="V29" s="3211">
        <v>95000</v>
      </c>
      <c r="W29" s="3211">
        <v>142500</v>
      </c>
      <c r="X29" s="3211">
        <v>1947.7</v>
      </c>
      <c r="Y29" s="3211">
        <v>11686.17</v>
      </c>
      <c r="Z29" s="3211">
        <v>18667</v>
      </c>
      <c r="AA29" s="3211">
        <v>50</v>
      </c>
      <c r="AB29" s="3211" t="s">
        <v>3514</v>
      </c>
    </row>
    <row r="30" spans="1:28" s="3212" customFormat="1">
      <c r="A30" s="3211" t="s">
        <v>3603</v>
      </c>
      <c r="B30" s="3211" t="s">
        <v>2164</v>
      </c>
      <c r="C30" s="3211" t="s">
        <v>3445</v>
      </c>
      <c r="D30" s="3211" t="s">
        <v>3491</v>
      </c>
      <c r="E30" s="3211" t="s">
        <v>3103</v>
      </c>
      <c r="F30" s="3211" t="s">
        <v>3604</v>
      </c>
      <c r="G30" s="3211" t="s">
        <v>3605</v>
      </c>
      <c r="H30" s="3211" t="s">
        <v>3449</v>
      </c>
      <c r="I30" s="3211" t="s">
        <v>3279</v>
      </c>
      <c r="J30" s="3211" t="s">
        <v>3606</v>
      </c>
      <c r="K30" s="3211">
        <v>79821.14</v>
      </c>
      <c r="L30" s="3211">
        <v>142412</v>
      </c>
      <c r="M30" s="3211">
        <v>1.78</v>
      </c>
      <c r="N30" s="3211" t="s">
        <v>3103</v>
      </c>
      <c r="O30" s="3211" t="s">
        <v>3523</v>
      </c>
      <c r="P30" s="3211">
        <v>79400</v>
      </c>
      <c r="Q30" s="3211">
        <v>46900</v>
      </c>
      <c r="R30" s="3211" t="s">
        <v>3601</v>
      </c>
      <c r="S30" s="3211" t="s">
        <v>3601</v>
      </c>
      <c r="T30" s="3211" t="s">
        <v>3606</v>
      </c>
      <c r="U30" s="3211" t="s">
        <v>3607</v>
      </c>
      <c r="V30" s="3211">
        <v>142300</v>
      </c>
      <c r="W30" s="3211">
        <v>185000</v>
      </c>
      <c r="X30" s="3211">
        <v>1545.12</v>
      </c>
      <c r="Y30" s="3211">
        <v>12990.47</v>
      </c>
      <c r="Z30" s="3211">
        <v>29359</v>
      </c>
      <c r="AA30" s="3211">
        <v>30.01</v>
      </c>
      <c r="AB30" s="3211" t="s">
        <v>3514</v>
      </c>
    </row>
    <row r="31" spans="1:28" s="3212" customFormat="1">
      <c r="A31" s="3211" t="s">
        <v>3608</v>
      </c>
      <c r="B31" s="3211" t="s">
        <v>2164</v>
      </c>
      <c r="C31" s="3211" t="s">
        <v>3445</v>
      </c>
      <c r="D31" s="3211" t="s">
        <v>3498</v>
      </c>
      <c r="E31" s="3211" t="s">
        <v>3103</v>
      </c>
      <c r="F31" s="3211" t="s">
        <v>3499</v>
      </c>
      <c r="G31" s="3211" t="s">
        <v>3609</v>
      </c>
      <c r="H31" s="3211" t="s">
        <v>3449</v>
      </c>
      <c r="I31" s="3211" t="s">
        <v>3256</v>
      </c>
      <c r="J31" s="3211" t="s">
        <v>3610</v>
      </c>
      <c r="K31" s="3211">
        <v>83892.99</v>
      </c>
      <c r="L31" s="3211">
        <v>209732</v>
      </c>
      <c r="M31" s="3211">
        <v>2.5</v>
      </c>
      <c r="N31" s="3211" t="s">
        <v>3103</v>
      </c>
      <c r="O31" s="3211" t="s">
        <v>3523</v>
      </c>
      <c r="P31" s="3211">
        <v>49000</v>
      </c>
      <c r="Q31" s="3211" t="s">
        <v>3103</v>
      </c>
      <c r="R31" s="3211" t="s">
        <v>3601</v>
      </c>
      <c r="S31" s="3211" t="s">
        <v>3601</v>
      </c>
      <c r="T31" s="3211" t="s">
        <v>3610</v>
      </c>
      <c r="U31" s="3211" t="s">
        <v>3611</v>
      </c>
      <c r="V31" s="3211">
        <v>185000</v>
      </c>
      <c r="W31" s="3211">
        <v>277500</v>
      </c>
      <c r="X31" s="3211">
        <v>2205.19</v>
      </c>
      <c r="Y31" s="3211">
        <v>13231.17</v>
      </c>
      <c r="Z31" s="3211">
        <v>17265</v>
      </c>
      <c r="AA31" s="3211">
        <v>50</v>
      </c>
      <c r="AB31" s="3211" t="s">
        <v>3514</v>
      </c>
    </row>
    <row r="32" spans="1:28" s="3212" customFormat="1">
      <c r="A32" s="3211" t="s">
        <v>3612</v>
      </c>
      <c r="B32" s="3211" t="s">
        <v>2164</v>
      </c>
      <c r="C32" s="3211" t="s">
        <v>3445</v>
      </c>
      <c r="D32" s="3211" t="s">
        <v>3465</v>
      </c>
      <c r="E32" s="3211" t="s">
        <v>3103</v>
      </c>
      <c r="F32" s="3211" t="s">
        <v>3573</v>
      </c>
      <c r="G32" s="3211" t="s">
        <v>3613</v>
      </c>
      <c r="H32" s="3211" t="s">
        <v>3449</v>
      </c>
      <c r="I32" s="3211" t="s">
        <v>3279</v>
      </c>
      <c r="J32" s="3211" t="s">
        <v>3614</v>
      </c>
      <c r="K32" s="3211">
        <v>41050.28</v>
      </c>
      <c r="L32" s="3211">
        <v>104782</v>
      </c>
      <c r="M32" s="3211">
        <v>2.5499999999999998</v>
      </c>
      <c r="N32" s="3211" t="s">
        <v>3103</v>
      </c>
      <c r="O32" s="3211" t="s">
        <v>3502</v>
      </c>
      <c r="P32" s="3211">
        <v>15000</v>
      </c>
      <c r="Q32" s="3211" t="s">
        <v>3103</v>
      </c>
      <c r="R32" s="3211" t="s">
        <v>3615</v>
      </c>
      <c r="S32" s="3211" t="s">
        <v>3615</v>
      </c>
      <c r="T32" s="3211" t="s">
        <v>3614</v>
      </c>
      <c r="U32" s="3211" t="s">
        <v>3616</v>
      </c>
      <c r="V32" s="3211">
        <v>185000</v>
      </c>
      <c r="W32" s="3211">
        <v>203000</v>
      </c>
      <c r="X32" s="3211">
        <v>3296.77</v>
      </c>
      <c r="Y32" s="3211">
        <v>19373.560000000001</v>
      </c>
      <c r="Z32" s="3211">
        <v>22610</v>
      </c>
      <c r="AA32" s="3211">
        <v>9.73</v>
      </c>
      <c r="AB32" s="3211" t="s">
        <v>3514</v>
      </c>
    </row>
    <row r="33" spans="1:28" s="3212" customFormat="1">
      <c r="A33" s="3211" t="s">
        <v>3617</v>
      </c>
      <c r="B33" s="3211" t="s">
        <v>2164</v>
      </c>
      <c r="C33" s="3211" t="s">
        <v>3445</v>
      </c>
      <c r="D33" s="3211" t="s">
        <v>3446</v>
      </c>
      <c r="E33" s="3211" t="s">
        <v>3103</v>
      </c>
      <c r="F33" s="3211" t="s">
        <v>3618</v>
      </c>
      <c r="G33" s="3211" t="s">
        <v>3619</v>
      </c>
      <c r="H33" s="3211" t="s">
        <v>3449</v>
      </c>
      <c r="I33" s="3211" t="s">
        <v>3279</v>
      </c>
      <c r="J33" s="3211" t="s">
        <v>3620</v>
      </c>
      <c r="K33" s="3211">
        <v>112608</v>
      </c>
      <c r="L33" s="3211">
        <v>226086</v>
      </c>
      <c r="M33" s="3211">
        <v>2</v>
      </c>
      <c r="N33" s="3211" t="s">
        <v>3103</v>
      </c>
      <c r="O33" s="3211" t="s">
        <v>3523</v>
      </c>
      <c r="P33" s="3211">
        <v>71000</v>
      </c>
      <c r="Q33" s="3211" t="s">
        <v>3103</v>
      </c>
      <c r="R33" s="3211" t="s">
        <v>3621</v>
      </c>
      <c r="S33" s="3211" t="s">
        <v>3621</v>
      </c>
      <c r="T33" s="3211" t="s">
        <v>3620</v>
      </c>
      <c r="U33" s="3211" t="s">
        <v>3622</v>
      </c>
      <c r="V33" s="3211">
        <v>227000</v>
      </c>
      <c r="W33" s="3211">
        <v>317800</v>
      </c>
      <c r="X33" s="3211">
        <v>1881.45</v>
      </c>
      <c r="Y33" s="3211">
        <v>14056.6</v>
      </c>
      <c r="Z33" s="3211">
        <v>20492</v>
      </c>
      <c r="AA33" s="3211">
        <v>40</v>
      </c>
      <c r="AB33" s="3211" t="s">
        <v>3623</v>
      </c>
    </row>
    <row r="34" spans="1:28" s="3212" customFormat="1">
      <c r="A34" s="3211" t="s">
        <v>3624</v>
      </c>
      <c r="B34" s="3211" t="s">
        <v>2164</v>
      </c>
      <c r="C34" s="3211" t="s">
        <v>3445</v>
      </c>
      <c r="D34" s="3211" t="s">
        <v>3446</v>
      </c>
      <c r="E34" s="3211" t="s">
        <v>3103</v>
      </c>
      <c r="F34" s="3211" t="s">
        <v>3618</v>
      </c>
      <c r="G34" s="3211" t="s">
        <v>3625</v>
      </c>
      <c r="H34" s="3211" t="s">
        <v>3449</v>
      </c>
      <c r="I34" s="3211" t="s">
        <v>3279</v>
      </c>
      <c r="J34" s="3211" t="s">
        <v>3626</v>
      </c>
      <c r="K34" s="3211">
        <v>103406</v>
      </c>
      <c r="L34" s="3211">
        <v>176437</v>
      </c>
      <c r="M34" s="3211">
        <v>1.7</v>
      </c>
      <c r="N34" s="3211" t="s">
        <v>3103</v>
      </c>
      <c r="O34" s="3211" t="s">
        <v>3103</v>
      </c>
      <c r="P34" s="3211" t="s">
        <v>3103</v>
      </c>
      <c r="Q34" s="3211">
        <v>137703</v>
      </c>
      <c r="R34" s="3211" t="s">
        <v>3621</v>
      </c>
      <c r="S34" s="3211" t="s">
        <v>3621</v>
      </c>
      <c r="T34" s="3211" t="s">
        <v>3626</v>
      </c>
      <c r="U34" s="3211" t="s">
        <v>3627</v>
      </c>
      <c r="V34" s="3211">
        <v>111000</v>
      </c>
      <c r="W34" s="3211">
        <v>157000</v>
      </c>
      <c r="X34" s="3211">
        <v>1012.19</v>
      </c>
      <c r="Y34" s="3211">
        <v>8898.36</v>
      </c>
      <c r="Z34" s="3211" t="s">
        <v>3103</v>
      </c>
      <c r="AA34" s="3211">
        <v>41.44</v>
      </c>
      <c r="AB34" s="3211" t="s">
        <v>3623</v>
      </c>
    </row>
    <row r="35" spans="1:28" s="3212" customFormat="1">
      <c r="A35" s="3211" t="s">
        <v>3628</v>
      </c>
      <c r="B35" s="3211" t="s">
        <v>2164</v>
      </c>
      <c r="C35" s="3211" t="s">
        <v>3445</v>
      </c>
      <c r="D35" s="3211" t="s">
        <v>3478</v>
      </c>
      <c r="E35" s="3211" t="s">
        <v>3103</v>
      </c>
      <c r="F35" s="3211" t="s">
        <v>3629</v>
      </c>
      <c r="G35" s="3211" t="s">
        <v>3630</v>
      </c>
      <c r="H35" s="3211" t="s">
        <v>3449</v>
      </c>
      <c r="I35" s="3211" t="s">
        <v>1903</v>
      </c>
      <c r="J35" s="3211" t="s">
        <v>3631</v>
      </c>
      <c r="K35" s="3211">
        <v>61030.67</v>
      </c>
      <c r="L35" s="3211">
        <v>152577</v>
      </c>
      <c r="M35" s="3211">
        <v>2.5</v>
      </c>
      <c r="N35" s="3211" t="s">
        <v>3103</v>
      </c>
      <c r="O35" s="3211" t="s">
        <v>3523</v>
      </c>
      <c r="P35" s="3211">
        <v>89900</v>
      </c>
      <c r="Q35" s="3211" t="s">
        <v>3103</v>
      </c>
      <c r="R35" s="3211" t="s">
        <v>3632</v>
      </c>
      <c r="S35" s="3211" t="s">
        <v>3632</v>
      </c>
      <c r="T35" s="3211" t="s">
        <v>3631</v>
      </c>
      <c r="U35" s="3211" t="s">
        <v>3633</v>
      </c>
      <c r="V35" s="3211">
        <v>173000</v>
      </c>
      <c r="W35" s="3211">
        <v>259500</v>
      </c>
      <c r="X35" s="3211">
        <v>2834.64</v>
      </c>
      <c r="Y35" s="3211">
        <v>17007.810000000001</v>
      </c>
      <c r="Z35" s="3211">
        <v>41403</v>
      </c>
      <c r="AA35" s="3211">
        <v>50</v>
      </c>
      <c r="AB35" s="3211" t="s">
        <v>3514</v>
      </c>
    </row>
    <row r="36" spans="1:28" s="3212" customFormat="1">
      <c r="A36" s="3211" t="s">
        <v>3634</v>
      </c>
      <c r="B36" s="3211" t="s">
        <v>2164</v>
      </c>
      <c r="C36" s="3211" t="s">
        <v>3445</v>
      </c>
      <c r="D36" s="3211" t="s">
        <v>3478</v>
      </c>
      <c r="E36" s="3211" t="s">
        <v>3103</v>
      </c>
      <c r="F36" s="3211" t="s">
        <v>3629</v>
      </c>
      <c r="G36" s="3211" t="s">
        <v>3635</v>
      </c>
      <c r="H36" s="3211" t="s">
        <v>3449</v>
      </c>
      <c r="I36" s="3211" t="s">
        <v>1903</v>
      </c>
      <c r="J36" s="3211" t="s">
        <v>3636</v>
      </c>
      <c r="K36" s="3211">
        <v>57931.55</v>
      </c>
      <c r="L36" s="3211">
        <v>137735</v>
      </c>
      <c r="M36" s="3211">
        <v>2.38</v>
      </c>
      <c r="N36" s="3211" t="s">
        <v>3103</v>
      </c>
      <c r="O36" s="3211" t="s">
        <v>3523</v>
      </c>
      <c r="P36" s="3211">
        <v>94078</v>
      </c>
      <c r="Q36" s="3211" t="s">
        <v>3103</v>
      </c>
      <c r="R36" s="3211" t="s">
        <v>3637</v>
      </c>
      <c r="S36" s="3211" t="s">
        <v>3637</v>
      </c>
      <c r="T36" s="3211" t="s">
        <v>3636</v>
      </c>
      <c r="U36" s="3211" t="s">
        <v>3638</v>
      </c>
      <c r="V36" s="3211">
        <v>152000</v>
      </c>
      <c r="W36" s="3211">
        <v>228000</v>
      </c>
      <c r="X36" s="3211">
        <v>2623.79</v>
      </c>
      <c r="Y36" s="3211">
        <v>16553.52</v>
      </c>
      <c r="Z36" s="3211">
        <v>52225</v>
      </c>
      <c r="AA36" s="3211">
        <v>50</v>
      </c>
      <c r="AB36" s="3211" t="s">
        <v>3514</v>
      </c>
    </row>
    <row r="37" spans="1:28" s="3212" customFormat="1">
      <c r="A37" s="3211" t="s">
        <v>3639</v>
      </c>
      <c r="B37" s="3211" t="s">
        <v>2164</v>
      </c>
      <c r="C37" s="3211" t="s">
        <v>3445</v>
      </c>
      <c r="D37" s="3211" t="s">
        <v>3478</v>
      </c>
      <c r="E37" s="3211" t="s">
        <v>3103</v>
      </c>
      <c r="F37" s="3211" t="s">
        <v>3640</v>
      </c>
      <c r="G37" s="3211" t="s">
        <v>3641</v>
      </c>
      <c r="H37" s="3211" t="s">
        <v>3449</v>
      </c>
      <c r="I37" s="3211" t="s">
        <v>3256</v>
      </c>
      <c r="J37" s="3211" t="s">
        <v>3642</v>
      </c>
      <c r="K37" s="3211">
        <v>118127</v>
      </c>
      <c r="L37" s="3211">
        <v>198800</v>
      </c>
      <c r="M37" s="3211">
        <v>1.68</v>
      </c>
      <c r="N37" s="3211" t="s">
        <v>3103</v>
      </c>
      <c r="O37" s="3211" t="s">
        <v>3523</v>
      </c>
      <c r="P37" s="3211">
        <v>44252</v>
      </c>
      <c r="Q37" s="3211" t="s">
        <v>3103</v>
      </c>
      <c r="R37" s="3211" t="s">
        <v>3643</v>
      </c>
      <c r="S37" s="3211" t="s">
        <v>3643</v>
      </c>
      <c r="T37" s="3211" t="s">
        <v>3642</v>
      </c>
      <c r="U37" s="3211" t="s">
        <v>3644</v>
      </c>
      <c r="V37" s="3211">
        <v>117000</v>
      </c>
      <c r="W37" s="3211">
        <v>200000</v>
      </c>
      <c r="X37" s="3211">
        <v>1128.73</v>
      </c>
      <c r="Y37" s="3211">
        <v>10060.36</v>
      </c>
      <c r="Z37" s="3211">
        <v>12941</v>
      </c>
      <c r="AA37" s="3211">
        <v>70.94</v>
      </c>
      <c r="AB37" s="3211" t="s">
        <v>3514</v>
      </c>
    </row>
    <row r="38" spans="1:28" s="3212" customFormat="1">
      <c r="A38" s="3211" t="s">
        <v>3645</v>
      </c>
      <c r="B38" s="3211" t="s">
        <v>2164</v>
      </c>
      <c r="C38" s="3211" t="s">
        <v>3445</v>
      </c>
      <c r="D38" s="3211" t="s">
        <v>3478</v>
      </c>
      <c r="E38" s="3211" t="s">
        <v>3103</v>
      </c>
      <c r="F38" s="3211" t="s">
        <v>3640</v>
      </c>
      <c r="G38" s="3211" t="s">
        <v>3646</v>
      </c>
      <c r="H38" s="3211" t="s">
        <v>3449</v>
      </c>
      <c r="I38" s="3211" t="s">
        <v>3256</v>
      </c>
      <c r="J38" s="3211" t="s">
        <v>3647</v>
      </c>
      <c r="K38" s="3211">
        <v>158280.4</v>
      </c>
      <c r="L38" s="3211">
        <v>266222</v>
      </c>
      <c r="M38" s="3211">
        <v>1.68</v>
      </c>
      <c r="N38" s="3211" t="s">
        <v>3103</v>
      </c>
      <c r="O38" s="3211" t="s">
        <v>3523</v>
      </c>
      <c r="P38" s="3211">
        <v>59788</v>
      </c>
      <c r="Q38" s="3211" t="s">
        <v>3103</v>
      </c>
      <c r="R38" s="3211" t="s">
        <v>3648</v>
      </c>
      <c r="S38" s="3211" t="s">
        <v>3648</v>
      </c>
      <c r="T38" s="3211" t="s">
        <v>3647</v>
      </c>
      <c r="U38" s="3211" t="s">
        <v>3649</v>
      </c>
      <c r="V38" s="3211">
        <v>151000</v>
      </c>
      <c r="W38" s="3211">
        <v>241000</v>
      </c>
      <c r="X38" s="3211">
        <v>1015.08</v>
      </c>
      <c r="Y38" s="3211">
        <v>9052.6</v>
      </c>
      <c r="Z38" s="3211">
        <v>11674</v>
      </c>
      <c r="AA38" s="3211">
        <v>59.6</v>
      </c>
      <c r="AB38" s="3211" t="s">
        <v>3514</v>
      </c>
    </row>
    <row r="39" spans="1:28" s="3212" customFormat="1">
      <c r="A39" s="3211" t="s">
        <v>3650</v>
      </c>
      <c r="B39" s="3211" t="s">
        <v>2164</v>
      </c>
      <c r="C39" s="3211" t="s">
        <v>3472</v>
      </c>
      <c r="D39" s="3211" t="s">
        <v>3478</v>
      </c>
      <c r="E39" s="3211" t="s">
        <v>3103</v>
      </c>
      <c r="F39" s="3211" t="s">
        <v>3651</v>
      </c>
      <c r="G39" s="3211" t="s">
        <v>3652</v>
      </c>
      <c r="H39" s="3211" t="s">
        <v>3449</v>
      </c>
      <c r="I39" s="3211" t="s">
        <v>1903</v>
      </c>
      <c r="J39" s="3211" t="s">
        <v>3653</v>
      </c>
      <c r="K39" s="3211">
        <v>13541.67</v>
      </c>
      <c r="L39" s="3211">
        <v>18958</v>
      </c>
      <c r="M39" s="3211">
        <v>1.4</v>
      </c>
      <c r="N39" s="3211" t="s">
        <v>3103</v>
      </c>
      <c r="O39" s="3211" t="s">
        <v>3103</v>
      </c>
      <c r="P39" s="3211" t="s">
        <v>3103</v>
      </c>
      <c r="Q39" s="3211">
        <v>12600</v>
      </c>
      <c r="R39" s="3211" t="s">
        <v>3654</v>
      </c>
      <c r="S39" s="3211" t="s">
        <v>3654</v>
      </c>
      <c r="T39" s="3211" t="s">
        <v>3653</v>
      </c>
      <c r="U39" s="3211" t="s">
        <v>3655</v>
      </c>
      <c r="V39" s="3211">
        <v>15000</v>
      </c>
      <c r="W39" s="3211">
        <v>22500</v>
      </c>
      <c r="X39" s="3211">
        <v>1107.69</v>
      </c>
      <c r="Y39" s="3211">
        <v>11868.34</v>
      </c>
      <c r="Z39" s="3211" t="s">
        <v>3103</v>
      </c>
      <c r="AA39" s="3211">
        <v>50</v>
      </c>
      <c r="AB39" s="3211" t="s">
        <v>3623</v>
      </c>
    </row>
    <row r="40" spans="1:28" s="3212" customFormat="1">
      <c r="A40" s="3211" t="s">
        <v>3656</v>
      </c>
      <c r="B40" s="3211" t="s">
        <v>2164</v>
      </c>
      <c r="C40" s="3211" t="s">
        <v>3445</v>
      </c>
      <c r="D40" s="3211" t="s">
        <v>3538</v>
      </c>
      <c r="E40" s="3211" t="s">
        <v>3103</v>
      </c>
      <c r="F40" s="3211" t="s">
        <v>3657</v>
      </c>
      <c r="G40" s="3211" t="s">
        <v>3658</v>
      </c>
      <c r="H40" s="3211" t="s">
        <v>3659</v>
      </c>
      <c r="I40" s="3211" t="s">
        <v>3256</v>
      </c>
      <c r="J40" s="3211" t="s">
        <v>3660</v>
      </c>
      <c r="K40" s="3211">
        <v>144004.70000000001</v>
      </c>
      <c r="L40" s="3211">
        <v>258968</v>
      </c>
      <c r="M40" s="3211">
        <v>1.8</v>
      </c>
      <c r="N40" s="3211" t="s">
        <v>3103</v>
      </c>
      <c r="O40" s="3211" t="s">
        <v>3502</v>
      </c>
      <c r="P40" s="3211" t="s">
        <v>3103</v>
      </c>
      <c r="Q40" s="3211" t="s">
        <v>3103</v>
      </c>
      <c r="R40" s="3211" t="s">
        <v>3661</v>
      </c>
      <c r="S40" s="3211" t="s">
        <v>3661</v>
      </c>
      <c r="T40" s="3211" t="s">
        <v>3660</v>
      </c>
      <c r="U40" s="3211" t="s">
        <v>3662</v>
      </c>
      <c r="V40" s="3211" t="s">
        <v>3103</v>
      </c>
      <c r="W40" s="3211">
        <v>200000</v>
      </c>
      <c r="X40" s="3211">
        <v>925.9</v>
      </c>
      <c r="Y40" s="3211">
        <v>7722.96</v>
      </c>
      <c r="Z40" s="3211" t="s">
        <v>3103</v>
      </c>
      <c r="AA40" s="3211" t="s">
        <v>3103</v>
      </c>
      <c r="AB40" s="3211" t="s">
        <v>3623</v>
      </c>
    </row>
    <row r="41" spans="1:28" s="3212" customFormat="1">
      <c r="A41" s="3211" t="s">
        <v>3663</v>
      </c>
      <c r="B41" s="3211" t="s">
        <v>2164</v>
      </c>
      <c r="C41" s="3211" t="s">
        <v>3445</v>
      </c>
      <c r="D41" s="3211" t="s">
        <v>3498</v>
      </c>
      <c r="E41" s="3211" t="s">
        <v>3103</v>
      </c>
      <c r="F41" s="3211" t="s">
        <v>3664</v>
      </c>
      <c r="G41" s="3211" t="s">
        <v>3665</v>
      </c>
      <c r="H41" s="3211" t="s">
        <v>3449</v>
      </c>
      <c r="I41" s="3211" t="s">
        <v>3256</v>
      </c>
      <c r="J41" s="3211" t="s">
        <v>3666</v>
      </c>
      <c r="K41" s="3211">
        <v>23730.99</v>
      </c>
      <c r="L41" s="3211">
        <v>82887</v>
      </c>
      <c r="M41" s="3211">
        <v>3.49</v>
      </c>
      <c r="N41" s="3211" t="s">
        <v>3103</v>
      </c>
      <c r="O41" s="3211" t="s">
        <v>3502</v>
      </c>
      <c r="P41" s="3211">
        <v>7600</v>
      </c>
      <c r="Q41" s="3211" t="s">
        <v>3103</v>
      </c>
      <c r="R41" s="3211" t="s">
        <v>3667</v>
      </c>
      <c r="S41" s="3211" t="s">
        <v>3667</v>
      </c>
      <c r="T41" s="3211" t="s">
        <v>3666</v>
      </c>
      <c r="U41" s="3211" t="s">
        <v>3668</v>
      </c>
      <c r="V41" s="3211">
        <v>92000</v>
      </c>
      <c r="W41" s="3211">
        <v>95000</v>
      </c>
      <c r="X41" s="3211">
        <v>2668.8</v>
      </c>
      <c r="Y41" s="3211">
        <v>11461.38</v>
      </c>
      <c r="Z41" s="3211">
        <v>12618</v>
      </c>
      <c r="AA41" s="3211">
        <v>3.26</v>
      </c>
      <c r="AB41" s="3211" t="s">
        <v>3623</v>
      </c>
    </row>
    <row r="42" spans="1:28" s="3212" customFormat="1">
      <c r="A42" s="3211" t="s">
        <v>3669</v>
      </c>
      <c r="B42" s="3211" t="s">
        <v>2164</v>
      </c>
      <c r="C42" s="3211" t="s">
        <v>3445</v>
      </c>
      <c r="D42" s="3211" t="s">
        <v>3498</v>
      </c>
      <c r="E42" s="3211" t="s">
        <v>3103</v>
      </c>
      <c r="F42" s="3211" t="s">
        <v>3564</v>
      </c>
      <c r="G42" s="3211" t="s">
        <v>3670</v>
      </c>
      <c r="H42" s="3211" t="s">
        <v>3449</v>
      </c>
      <c r="I42" s="3211" t="s">
        <v>3256</v>
      </c>
      <c r="J42" s="3211" t="s">
        <v>3671</v>
      </c>
      <c r="K42" s="3211">
        <v>27393.33</v>
      </c>
      <c r="L42" s="3211">
        <v>86217</v>
      </c>
      <c r="M42" s="3211">
        <v>3.15</v>
      </c>
      <c r="N42" s="3211" t="s">
        <v>3103</v>
      </c>
      <c r="O42" s="3211" t="s">
        <v>3502</v>
      </c>
      <c r="P42" s="3211">
        <v>18100</v>
      </c>
      <c r="Q42" s="3211">
        <v>27000</v>
      </c>
      <c r="R42" s="3211" t="s">
        <v>3667</v>
      </c>
      <c r="S42" s="3211" t="s">
        <v>3667</v>
      </c>
      <c r="T42" s="3211" t="s">
        <v>3671</v>
      </c>
      <c r="U42" s="3211" t="s">
        <v>3672</v>
      </c>
      <c r="V42" s="3211">
        <v>97600</v>
      </c>
      <c r="W42" s="3211">
        <v>136600</v>
      </c>
      <c r="X42" s="3211">
        <v>3324.41</v>
      </c>
      <c r="Y42" s="3211">
        <v>15843.73</v>
      </c>
      <c r="Z42" s="3211">
        <v>20054</v>
      </c>
      <c r="AA42" s="3211">
        <v>39.96</v>
      </c>
      <c r="AB42" s="3211" t="s">
        <v>3623</v>
      </c>
    </row>
    <row r="43" spans="1:28" s="3212" customFormat="1">
      <c r="A43" s="3211" t="s">
        <v>3673</v>
      </c>
      <c r="B43" s="3211" t="s">
        <v>2164</v>
      </c>
      <c r="C43" s="3211" t="s">
        <v>3445</v>
      </c>
      <c r="D43" s="3211" t="s">
        <v>3491</v>
      </c>
      <c r="E43" s="3211" t="s">
        <v>3103</v>
      </c>
      <c r="F43" s="3211" t="s">
        <v>3674</v>
      </c>
      <c r="G43" s="3211" t="s">
        <v>3675</v>
      </c>
      <c r="H43" s="3211" t="s">
        <v>3449</v>
      </c>
      <c r="I43" s="3211" t="s">
        <v>3279</v>
      </c>
      <c r="J43" s="3211" t="s">
        <v>3676</v>
      </c>
      <c r="K43" s="3211">
        <v>85055.53</v>
      </c>
      <c r="L43" s="3211">
        <v>127584</v>
      </c>
      <c r="M43" s="3211">
        <v>1.5</v>
      </c>
      <c r="N43" s="3211" t="s">
        <v>3103</v>
      </c>
      <c r="O43" s="3211" t="s">
        <v>3523</v>
      </c>
      <c r="P43" s="3211">
        <v>64300</v>
      </c>
      <c r="Q43" s="3211" t="s">
        <v>3103</v>
      </c>
      <c r="R43" s="3211" t="s">
        <v>3677</v>
      </c>
      <c r="S43" s="3211" t="s">
        <v>3677</v>
      </c>
      <c r="T43" s="3211" t="s">
        <v>3676</v>
      </c>
      <c r="U43" s="3211" t="s">
        <v>3678</v>
      </c>
      <c r="V43" s="3211">
        <v>46000</v>
      </c>
      <c r="W43" s="3211">
        <v>59800</v>
      </c>
      <c r="X43" s="3211">
        <v>468.71</v>
      </c>
      <c r="Y43" s="3211">
        <v>4687.1000000000004</v>
      </c>
      <c r="Z43" s="3211">
        <v>9449</v>
      </c>
      <c r="AA43" s="3211">
        <v>30</v>
      </c>
      <c r="AB43" s="3211" t="s">
        <v>3679</v>
      </c>
    </row>
    <row r="44" spans="1:28" s="3212" customFormat="1">
      <c r="A44" s="3211" t="s">
        <v>3680</v>
      </c>
      <c r="B44" s="3211" t="s">
        <v>2164</v>
      </c>
      <c r="C44" s="3211" t="s">
        <v>3445</v>
      </c>
      <c r="D44" s="3211" t="s">
        <v>3498</v>
      </c>
      <c r="E44" s="3211" t="s">
        <v>3103</v>
      </c>
      <c r="F44" s="3211" t="s">
        <v>3564</v>
      </c>
      <c r="G44" s="3211" t="s">
        <v>3681</v>
      </c>
      <c r="H44" s="3211" t="s">
        <v>3659</v>
      </c>
      <c r="I44" s="3211" t="s">
        <v>3256</v>
      </c>
      <c r="J44" s="3211" t="s">
        <v>3682</v>
      </c>
      <c r="K44" s="3211">
        <v>255074.7</v>
      </c>
      <c r="L44" s="3211">
        <v>430883</v>
      </c>
      <c r="M44" s="3211">
        <v>1.69</v>
      </c>
      <c r="N44" s="3211" t="s">
        <v>3103</v>
      </c>
      <c r="O44" s="3211" t="s">
        <v>3523</v>
      </c>
      <c r="P44" s="3211">
        <v>99600</v>
      </c>
      <c r="Q44" s="3211" t="s">
        <v>3103</v>
      </c>
      <c r="R44" s="3211" t="s">
        <v>3683</v>
      </c>
      <c r="S44" s="3211" t="s">
        <v>3683</v>
      </c>
      <c r="T44" s="3211" t="s">
        <v>3682</v>
      </c>
      <c r="U44" s="3211" t="s">
        <v>3684</v>
      </c>
      <c r="V44" s="3211" t="s">
        <v>3103</v>
      </c>
      <c r="W44" s="3211">
        <v>451600</v>
      </c>
      <c r="X44" s="3211">
        <v>1180.31</v>
      </c>
      <c r="Y44" s="3211">
        <v>10480.790000000001</v>
      </c>
      <c r="Z44" s="3211">
        <v>13632</v>
      </c>
      <c r="AA44" s="3211" t="s">
        <v>3103</v>
      </c>
      <c r="AB44" s="3211" t="s">
        <v>3679</v>
      </c>
    </row>
    <row r="45" spans="1:28" s="3212" customFormat="1">
      <c r="A45" s="3211" t="s">
        <v>3685</v>
      </c>
      <c r="B45" s="3211" t="s">
        <v>2164</v>
      </c>
      <c r="C45" s="3211" t="s">
        <v>3445</v>
      </c>
      <c r="D45" s="3211" t="s">
        <v>3446</v>
      </c>
      <c r="E45" s="3211" t="s">
        <v>3103</v>
      </c>
      <c r="F45" s="3211" t="s">
        <v>3686</v>
      </c>
      <c r="G45" s="3211" t="s">
        <v>3687</v>
      </c>
      <c r="H45" s="3211" t="s">
        <v>3449</v>
      </c>
      <c r="I45" s="3211" t="s">
        <v>1903</v>
      </c>
      <c r="J45" s="3211" t="s">
        <v>3688</v>
      </c>
      <c r="K45" s="3211">
        <v>137595</v>
      </c>
      <c r="L45" s="3211">
        <v>178505</v>
      </c>
      <c r="M45" s="3211">
        <v>1.3</v>
      </c>
      <c r="N45" s="3211" t="s">
        <v>3103</v>
      </c>
      <c r="O45" s="3211" t="s">
        <v>3523</v>
      </c>
      <c r="P45" s="3211">
        <v>30000</v>
      </c>
      <c r="Q45" s="3211" t="s">
        <v>3103</v>
      </c>
      <c r="R45" s="3211" t="s">
        <v>3689</v>
      </c>
      <c r="S45" s="3211" t="s">
        <v>3689</v>
      </c>
      <c r="T45" s="3211" t="s">
        <v>3688</v>
      </c>
      <c r="U45" s="3211" t="s">
        <v>3690</v>
      </c>
      <c r="V45" s="3211">
        <v>63000</v>
      </c>
      <c r="W45" s="3211">
        <v>63000</v>
      </c>
      <c r="X45" s="3211">
        <v>305.24</v>
      </c>
      <c r="Y45" s="3211">
        <v>3529.3</v>
      </c>
      <c r="Z45" s="3211">
        <v>4242</v>
      </c>
      <c r="AA45" s="3211">
        <v>0</v>
      </c>
      <c r="AB45" s="3211" t="s">
        <v>3623</v>
      </c>
    </row>
    <row r="46" spans="1:28" s="3212" customFormat="1">
      <c r="A46" s="3211" t="s">
        <v>3691</v>
      </c>
      <c r="B46" s="3211" t="s">
        <v>2164</v>
      </c>
      <c r="C46" s="3211" t="s">
        <v>3445</v>
      </c>
      <c r="D46" s="3211" t="s">
        <v>3446</v>
      </c>
      <c r="E46" s="3211" t="s">
        <v>3103</v>
      </c>
      <c r="F46" s="3211" t="s">
        <v>3692</v>
      </c>
      <c r="G46" s="3211" t="s">
        <v>3693</v>
      </c>
      <c r="H46" s="3211" t="s">
        <v>3449</v>
      </c>
      <c r="I46" s="3211" t="s">
        <v>3279</v>
      </c>
      <c r="J46" s="3211" t="s">
        <v>3694</v>
      </c>
      <c r="K46" s="3211">
        <v>49134</v>
      </c>
      <c r="L46" s="3211">
        <v>75196</v>
      </c>
      <c r="M46" s="3211">
        <v>1.53</v>
      </c>
      <c r="N46" s="3211" t="s">
        <v>3103</v>
      </c>
      <c r="O46" s="3211" t="s">
        <v>3103</v>
      </c>
      <c r="P46" s="3211" t="s">
        <v>3103</v>
      </c>
      <c r="Q46" s="3211" t="s">
        <v>3103</v>
      </c>
      <c r="R46" s="3211" t="s">
        <v>3695</v>
      </c>
      <c r="S46" s="3211" t="s">
        <v>3695</v>
      </c>
      <c r="T46" s="3211" t="s">
        <v>3694</v>
      </c>
      <c r="U46" s="3211" t="s">
        <v>3696</v>
      </c>
      <c r="V46" s="3211">
        <v>31500</v>
      </c>
      <c r="W46" s="3211">
        <v>48000</v>
      </c>
      <c r="X46" s="3211">
        <v>651.28</v>
      </c>
      <c r="Y46" s="3211">
        <v>6383.31</v>
      </c>
      <c r="Z46" s="3211" t="s">
        <v>3103</v>
      </c>
      <c r="AA46" s="3211">
        <v>52.38</v>
      </c>
      <c r="AB46" s="3211" t="s">
        <v>3623</v>
      </c>
    </row>
    <row r="47" spans="1:28" s="3212" customFormat="1">
      <c r="A47" s="3211" t="s">
        <v>3697</v>
      </c>
      <c r="B47" s="3211" t="s">
        <v>2164</v>
      </c>
      <c r="C47" s="3211" t="s">
        <v>3445</v>
      </c>
      <c r="D47" s="3211" t="s">
        <v>3498</v>
      </c>
      <c r="E47" s="3211" t="s">
        <v>3103</v>
      </c>
      <c r="F47" s="3211" t="s">
        <v>3564</v>
      </c>
      <c r="G47" s="3211" t="s">
        <v>3698</v>
      </c>
      <c r="H47" s="3211" t="s">
        <v>3449</v>
      </c>
      <c r="I47" s="3211" t="s">
        <v>3256</v>
      </c>
      <c r="J47" s="3211" t="s">
        <v>3699</v>
      </c>
      <c r="K47" s="3211">
        <v>42900</v>
      </c>
      <c r="L47" s="3211">
        <v>156420</v>
      </c>
      <c r="M47" s="3211">
        <v>3.65</v>
      </c>
      <c r="N47" s="3211" t="s">
        <v>3103</v>
      </c>
      <c r="O47" s="3211" t="s">
        <v>3502</v>
      </c>
      <c r="P47" s="3211">
        <v>13400</v>
      </c>
      <c r="Q47" s="3211" t="s">
        <v>3103</v>
      </c>
      <c r="R47" s="3211" t="s">
        <v>3700</v>
      </c>
      <c r="S47" s="3211" t="s">
        <v>3700</v>
      </c>
      <c r="T47" s="3211" t="s">
        <v>3699</v>
      </c>
      <c r="U47" s="3211" t="s">
        <v>3672</v>
      </c>
      <c r="V47" s="3211">
        <v>169400</v>
      </c>
      <c r="W47" s="3211">
        <v>169400</v>
      </c>
      <c r="X47" s="3211">
        <v>2632.48</v>
      </c>
      <c r="Y47" s="3211">
        <v>10829.81</v>
      </c>
      <c r="Z47" s="3211">
        <v>11844</v>
      </c>
      <c r="AA47" s="3211">
        <v>0</v>
      </c>
      <c r="AB47" s="3211" t="s">
        <v>3623</v>
      </c>
    </row>
    <row r="48" spans="1:28" s="3212" customFormat="1">
      <c r="A48" s="3211" t="s">
        <v>3701</v>
      </c>
      <c r="B48" s="3211" t="s">
        <v>2164</v>
      </c>
      <c r="C48" s="3211" t="s">
        <v>3472</v>
      </c>
      <c r="D48" s="3211" t="s">
        <v>3491</v>
      </c>
      <c r="E48" s="3211" t="s">
        <v>3103</v>
      </c>
      <c r="F48" s="3211" t="s">
        <v>3702</v>
      </c>
      <c r="G48" s="3211" t="s">
        <v>3703</v>
      </c>
      <c r="H48" s="3211" t="s">
        <v>3449</v>
      </c>
      <c r="I48" s="3211" t="s">
        <v>1903</v>
      </c>
      <c r="J48" s="3211" t="s">
        <v>3704</v>
      </c>
      <c r="K48" s="3211">
        <v>49068.83</v>
      </c>
      <c r="L48" s="3211">
        <v>137393</v>
      </c>
      <c r="M48" s="3211">
        <v>2.8</v>
      </c>
      <c r="N48" s="3211" t="s">
        <v>3103</v>
      </c>
      <c r="O48" s="3211" t="s">
        <v>3103</v>
      </c>
      <c r="P48" s="3211" t="s">
        <v>3103</v>
      </c>
      <c r="Q48" s="3211" t="s">
        <v>3103</v>
      </c>
      <c r="R48" s="3211" t="s">
        <v>3705</v>
      </c>
      <c r="S48" s="3211" t="s">
        <v>3705</v>
      </c>
      <c r="T48" s="3211" t="s">
        <v>3704</v>
      </c>
      <c r="U48" s="3211" t="s">
        <v>3706</v>
      </c>
      <c r="V48" s="3211">
        <v>83000</v>
      </c>
      <c r="W48" s="3211">
        <v>115000</v>
      </c>
      <c r="X48" s="3211">
        <v>1562.43</v>
      </c>
      <c r="Y48" s="3211">
        <v>8370.14</v>
      </c>
      <c r="Z48" s="3211" t="s">
        <v>3103</v>
      </c>
      <c r="AA48" s="3211">
        <v>38.549999999999997</v>
      </c>
      <c r="AB48" s="3211" t="s">
        <v>3707</v>
      </c>
    </row>
    <row r="49" spans="1:28" s="3212" customFormat="1">
      <c r="A49" s="3211" t="s">
        <v>3708</v>
      </c>
      <c r="B49" s="3211" t="s">
        <v>2164</v>
      </c>
      <c r="C49" s="3211" t="s">
        <v>3472</v>
      </c>
      <c r="D49" s="3211" t="s">
        <v>3538</v>
      </c>
      <c r="E49" s="3211" t="s">
        <v>3103</v>
      </c>
      <c r="F49" s="3211" t="s">
        <v>3709</v>
      </c>
      <c r="G49" s="3211" t="s">
        <v>3710</v>
      </c>
      <c r="H49" s="3211" t="s">
        <v>3449</v>
      </c>
      <c r="I49" s="3211" t="s">
        <v>1903</v>
      </c>
      <c r="J49" s="3211" t="s">
        <v>3711</v>
      </c>
      <c r="K49" s="3211">
        <v>63927.199999999997</v>
      </c>
      <c r="L49" s="3211">
        <v>159818</v>
      </c>
      <c r="M49" s="3211">
        <v>2.5</v>
      </c>
      <c r="N49" s="3211" t="s">
        <v>3103</v>
      </c>
      <c r="O49" s="3211" t="s">
        <v>3523</v>
      </c>
      <c r="P49" s="3211">
        <v>80000</v>
      </c>
      <c r="Q49" s="3211">
        <v>79818</v>
      </c>
      <c r="R49" s="3211" t="s">
        <v>3705</v>
      </c>
      <c r="S49" s="3211" t="s">
        <v>3705</v>
      </c>
      <c r="T49" s="3211" t="s">
        <v>3711</v>
      </c>
      <c r="U49" s="3211" t="s">
        <v>3712</v>
      </c>
      <c r="V49" s="3211">
        <v>96000</v>
      </c>
      <c r="W49" s="3211">
        <v>96000</v>
      </c>
      <c r="X49" s="3211">
        <v>1001.14</v>
      </c>
      <c r="Y49" s="3211">
        <v>6006.82</v>
      </c>
      <c r="Z49" s="3211">
        <v>12027</v>
      </c>
      <c r="AA49" s="3211">
        <v>0</v>
      </c>
      <c r="AB49" s="3211" t="s">
        <v>3707</v>
      </c>
    </row>
    <row r="50" spans="1:28" s="3212" customFormat="1">
      <c r="A50" s="3211" t="s">
        <v>3713</v>
      </c>
      <c r="B50" s="3211" t="s">
        <v>2164</v>
      </c>
      <c r="C50" s="3211" t="s">
        <v>3445</v>
      </c>
      <c r="D50" s="3211" t="s">
        <v>3465</v>
      </c>
      <c r="E50" s="3211" t="s">
        <v>3103</v>
      </c>
      <c r="F50" s="3211" t="s">
        <v>3466</v>
      </c>
      <c r="G50" s="3211" t="s">
        <v>3714</v>
      </c>
      <c r="H50" s="3211" t="s">
        <v>3449</v>
      </c>
      <c r="I50" s="3211" t="s">
        <v>3256</v>
      </c>
      <c r="J50" s="3211" t="s">
        <v>3715</v>
      </c>
      <c r="K50" s="3211">
        <v>236154.7</v>
      </c>
      <c r="L50" s="3211">
        <v>279748</v>
      </c>
      <c r="M50" s="3211">
        <v>1.18</v>
      </c>
      <c r="N50" s="3211" t="s">
        <v>3103</v>
      </c>
      <c r="O50" s="3211" t="s">
        <v>3716</v>
      </c>
      <c r="P50" s="3211">
        <v>6000</v>
      </c>
      <c r="Q50" s="3211" t="s">
        <v>3103</v>
      </c>
      <c r="R50" s="3211" t="s">
        <v>3717</v>
      </c>
      <c r="S50" s="3211" t="s">
        <v>3717</v>
      </c>
      <c r="T50" s="3211" t="s">
        <v>3715</v>
      </c>
      <c r="U50" s="3211" t="s">
        <v>3718</v>
      </c>
      <c r="V50" s="3211">
        <v>420000</v>
      </c>
      <c r="W50" s="3211">
        <v>420000</v>
      </c>
      <c r="X50" s="3211">
        <v>1185.6600000000001</v>
      </c>
      <c r="Y50" s="3211">
        <v>15013.51</v>
      </c>
      <c r="Z50" s="3211">
        <v>15343</v>
      </c>
      <c r="AA50" s="3211">
        <v>0</v>
      </c>
      <c r="AB50" s="3211" t="s">
        <v>3623</v>
      </c>
    </row>
    <row r="51" spans="1:28" s="3212" customFormat="1">
      <c r="A51" s="3211" t="s">
        <v>3719</v>
      </c>
      <c r="B51" s="3211" t="s">
        <v>2164</v>
      </c>
      <c r="C51" s="3211" t="s">
        <v>3445</v>
      </c>
      <c r="D51" s="3211" t="s">
        <v>3465</v>
      </c>
      <c r="E51" s="3211" t="s">
        <v>3103</v>
      </c>
      <c r="F51" s="3211" t="s">
        <v>3573</v>
      </c>
      <c r="G51" s="3211" t="s">
        <v>3720</v>
      </c>
      <c r="H51" s="3211" t="s">
        <v>3449</v>
      </c>
      <c r="I51" s="3211" t="s">
        <v>3256</v>
      </c>
      <c r="J51" s="3211" t="s">
        <v>3721</v>
      </c>
      <c r="K51" s="3211">
        <v>99141.73</v>
      </c>
      <c r="L51" s="3211">
        <v>238274</v>
      </c>
      <c r="M51" s="3211">
        <v>2.4</v>
      </c>
      <c r="N51" s="3211" t="s">
        <v>3103</v>
      </c>
      <c r="O51" s="3211" t="s">
        <v>3103</v>
      </c>
      <c r="P51" s="3211" t="s">
        <v>3103</v>
      </c>
      <c r="Q51" s="3211">
        <v>228095</v>
      </c>
      <c r="R51" s="3211" t="s">
        <v>3722</v>
      </c>
      <c r="S51" s="3211" t="s">
        <v>3722</v>
      </c>
      <c r="T51" s="3211" t="s">
        <v>3721</v>
      </c>
      <c r="U51" s="3211" t="s">
        <v>3723</v>
      </c>
      <c r="V51" s="3211">
        <v>250000</v>
      </c>
      <c r="W51" s="3211">
        <v>338000</v>
      </c>
      <c r="X51" s="3211">
        <v>2272.84</v>
      </c>
      <c r="Y51" s="3211">
        <v>14185.35</v>
      </c>
      <c r="Z51" s="3211" t="s">
        <v>3103</v>
      </c>
      <c r="AA51" s="3211">
        <v>35.200000000000003</v>
      </c>
      <c r="AB51" s="3211" t="s">
        <v>3623</v>
      </c>
    </row>
    <row r="52" spans="1:28" s="3212" customFormat="1">
      <c r="A52" s="3211" t="s">
        <v>3724</v>
      </c>
      <c r="B52" s="3211" t="s">
        <v>2164</v>
      </c>
      <c r="C52" s="3211" t="s">
        <v>3445</v>
      </c>
      <c r="D52" s="3211" t="s">
        <v>3465</v>
      </c>
      <c r="E52" s="3211" t="s">
        <v>3103</v>
      </c>
      <c r="F52" s="3211" t="s">
        <v>3573</v>
      </c>
      <c r="G52" s="3211" t="s">
        <v>3725</v>
      </c>
      <c r="H52" s="3211" t="s">
        <v>3449</v>
      </c>
      <c r="I52" s="3211" t="s">
        <v>3256</v>
      </c>
      <c r="J52" s="3211" t="s">
        <v>3726</v>
      </c>
      <c r="K52" s="3211">
        <v>98996.57</v>
      </c>
      <c r="L52" s="3211">
        <v>201676</v>
      </c>
      <c r="M52" s="3211">
        <v>2.04</v>
      </c>
      <c r="N52" s="3211" t="s">
        <v>3103</v>
      </c>
      <c r="O52" s="3211" t="s">
        <v>3502</v>
      </c>
      <c r="P52" s="3211">
        <v>18000</v>
      </c>
      <c r="Q52" s="3211">
        <v>113000</v>
      </c>
      <c r="R52" s="3211" t="s">
        <v>3722</v>
      </c>
      <c r="S52" s="3211" t="s">
        <v>3722</v>
      </c>
      <c r="T52" s="3211" t="s">
        <v>3726</v>
      </c>
      <c r="U52" s="3211" t="s">
        <v>3727</v>
      </c>
      <c r="V52" s="3211">
        <v>185000</v>
      </c>
      <c r="W52" s="3211">
        <v>259000</v>
      </c>
      <c r="X52" s="3211">
        <v>1744.17</v>
      </c>
      <c r="Y52" s="3211">
        <v>12842.37</v>
      </c>
      <c r="Z52" s="3211">
        <v>14101</v>
      </c>
      <c r="AA52" s="3211">
        <v>40</v>
      </c>
      <c r="AB52" s="3211" t="s">
        <v>3623</v>
      </c>
    </row>
    <row r="53" spans="1:28" s="3212" customFormat="1">
      <c r="A53" s="3211" t="s">
        <v>3728</v>
      </c>
      <c r="B53" s="3211" t="s">
        <v>2164</v>
      </c>
      <c r="C53" s="3211" t="s">
        <v>3445</v>
      </c>
      <c r="D53" s="3211" t="s">
        <v>3491</v>
      </c>
      <c r="E53" s="3211" t="s">
        <v>3103</v>
      </c>
      <c r="F53" s="3211" t="s">
        <v>3729</v>
      </c>
      <c r="G53" s="3211" t="s">
        <v>3730</v>
      </c>
      <c r="H53" s="3211" t="s">
        <v>3449</v>
      </c>
      <c r="I53" s="3211" t="s">
        <v>3256</v>
      </c>
      <c r="J53" s="3211" t="s">
        <v>3731</v>
      </c>
      <c r="K53" s="3211">
        <v>52842</v>
      </c>
      <c r="L53" s="3211">
        <v>109346</v>
      </c>
      <c r="M53" s="3211">
        <v>2.0699999999999998</v>
      </c>
      <c r="N53" s="3211" t="s">
        <v>3103</v>
      </c>
      <c r="O53" s="3211" t="s">
        <v>3523</v>
      </c>
      <c r="P53" s="3211">
        <v>25300</v>
      </c>
      <c r="Q53" s="3211">
        <v>79244</v>
      </c>
      <c r="R53" s="3211" t="s">
        <v>3732</v>
      </c>
      <c r="S53" s="3211" t="s">
        <v>3732</v>
      </c>
      <c r="T53" s="3211" t="s">
        <v>3731</v>
      </c>
      <c r="U53" s="3211" t="s">
        <v>3733</v>
      </c>
      <c r="V53" s="3211">
        <v>90000</v>
      </c>
      <c r="W53" s="3211">
        <v>126000</v>
      </c>
      <c r="X53" s="3211">
        <v>1589.64</v>
      </c>
      <c r="Y53" s="3211">
        <v>11523.05</v>
      </c>
      <c r="Z53" s="3211">
        <v>14992</v>
      </c>
      <c r="AA53" s="3211">
        <v>40</v>
      </c>
      <c r="AB53" s="3211" t="s">
        <v>3707</v>
      </c>
    </row>
    <row r="54" spans="1:28" s="3212" customFormat="1">
      <c r="A54" s="3211" t="s">
        <v>3734</v>
      </c>
      <c r="B54" s="3211" t="s">
        <v>2164</v>
      </c>
      <c r="C54" s="3211" t="s">
        <v>3445</v>
      </c>
      <c r="D54" s="3211" t="s">
        <v>3538</v>
      </c>
      <c r="E54" s="3211" t="s">
        <v>3103</v>
      </c>
      <c r="F54" s="3211" t="s">
        <v>3709</v>
      </c>
      <c r="G54" s="3211" t="s">
        <v>3735</v>
      </c>
      <c r="H54" s="3211" t="s">
        <v>3449</v>
      </c>
      <c r="I54" s="3211" t="s">
        <v>3279</v>
      </c>
      <c r="J54" s="3211" t="s">
        <v>3736</v>
      </c>
      <c r="K54" s="3211">
        <v>139626.79999999999</v>
      </c>
      <c r="L54" s="3211">
        <v>382554</v>
      </c>
      <c r="M54" s="3211">
        <v>2.74</v>
      </c>
      <c r="N54" s="3211" t="s">
        <v>3103</v>
      </c>
      <c r="O54" s="3211" t="s">
        <v>3737</v>
      </c>
      <c r="P54" s="3211">
        <v>240000</v>
      </c>
      <c r="Q54" s="3211">
        <v>139194</v>
      </c>
      <c r="R54" s="3211" t="s">
        <v>3738</v>
      </c>
      <c r="S54" s="3211" t="s">
        <v>3738</v>
      </c>
      <c r="T54" s="3211" t="s">
        <v>3736</v>
      </c>
      <c r="U54" s="3211" t="s">
        <v>3739</v>
      </c>
      <c r="V54" s="3211">
        <v>170000</v>
      </c>
      <c r="W54" s="3211">
        <v>171700</v>
      </c>
      <c r="X54" s="3211">
        <v>819.8</v>
      </c>
      <c r="Y54" s="3211">
        <v>4488.26</v>
      </c>
      <c r="Z54" s="3211">
        <v>12045</v>
      </c>
      <c r="AA54" s="3211">
        <v>1</v>
      </c>
      <c r="AB54" s="3211" t="s">
        <v>3707</v>
      </c>
    </row>
    <row r="55" spans="1:28" s="3212" customFormat="1">
      <c r="A55" s="3211" t="s">
        <v>3740</v>
      </c>
      <c r="B55" s="3211" t="s">
        <v>2164</v>
      </c>
      <c r="C55" s="3211" t="s">
        <v>3445</v>
      </c>
      <c r="D55" s="3211" t="s">
        <v>3446</v>
      </c>
      <c r="E55" s="3211" t="s">
        <v>3103</v>
      </c>
      <c r="F55" s="3211" t="s">
        <v>3741</v>
      </c>
      <c r="G55" s="3211" t="s">
        <v>3742</v>
      </c>
      <c r="H55" s="3211" t="s">
        <v>3449</v>
      </c>
      <c r="I55" s="3211" t="s">
        <v>1903</v>
      </c>
      <c r="J55" s="3211" t="s">
        <v>3743</v>
      </c>
      <c r="K55" s="3211">
        <v>56138</v>
      </c>
      <c r="L55" s="3211">
        <v>157186</v>
      </c>
      <c r="M55" s="3211">
        <v>2.8</v>
      </c>
      <c r="N55" s="3211" t="s">
        <v>3103</v>
      </c>
      <c r="O55" s="3211" t="s">
        <v>3523</v>
      </c>
      <c r="P55" s="3211">
        <v>54000</v>
      </c>
      <c r="Q55" s="3211" t="s">
        <v>3103</v>
      </c>
      <c r="R55" s="3211" t="s">
        <v>3744</v>
      </c>
      <c r="S55" s="3211" t="s">
        <v>3744</v>
      </c>
      <c r="T55" s="3211" t="s">
        <v>3743</v>
      </c>
      <c r="U55" s="3211" t="s">
        <v>3745</v>
      </c>
      <c r="V55" s="3211">
        <v>140000</v>
      </c>
      <c r="W55" s="3211">
        <v>181000</v>
      </c>
      <c r="X55" s="3211">
        <v>2149.4699999999998</v>
      </c>
      <c r="Y55" s="3211">
        <v>11515.02</v>
      </c>
      <c r="Z55" s="3211">
        <v>17541</v>
      </c>
      <c r="AA55" s="3211">
        <v>29.29</v>
      </c>
      <c r="AB55" s="3211" t="s">
        <v>3623</v>
      </c>
    </row>
    <row r="56" spans="1:28" s="3216" customFormat="1">
      <c r="A56" s="3215" t="s">
        <v>3746</v>
      </c>
      <c r="B56" s="3215" t="s">
        <v>2164</v>
      </c>
      <c r="C56" s="3215" t="s">
        <v>3445</v>
      </c>
      <c r="D56" s="3215" t="s">
        <v>3491</v>
      </c>
      <c r="E56" s="3215" t="s">
        <v>3103</v>
      </c>
      <c r="F56" s="3215" t="s">
        <v>3747</v>
      </c>
      <c r="G56" s="3215" t="s">
        <v>3748</v>
      </c>
      <c r="H56" s="3215" t="s">
        <v>3449</v>
      </c>
      <c r="I56" s="3215" t="s">
        <v>1903</v>
      </c>
      <c r="J56" s="3215" t="s">
        <v>3749</v>
      </c>
      <c r="K56" s="3215">
        <v>103665</v>
      </c>
      <c r="L56" s="3215">
        <v>100124</v>
      </c>
      <c r="M56" s="3215">
        <v>0.97</v>
      </c>
      <c r="N56" s="3215" t="s">
        <v>3103</v>
      </c>
      <c r="O56" s="3215" t="s">
        <v>3103</v>
      </c>
      <c r="P56" s="3215" t="s">
        <v>3103</v>
      </c>
      <c r="Q56" s="3215" t="s">
        <v>3103</v>
      </c>
      <c r="R56" s="3215" t="s">
        <v>3750</v>
      </c>
      <c r="S56" s="3215" t="s">
        <v>3750</v>
      </c>
      <c r="T56" s="3215" t="s">
        <v>3749</v>
      </c>
      <c r="U56" s="3215" t="s">
        <v>3751</v>
      </c>
      <c r="V56" s="3215">
        <v>258000</v>
      </c>
      <c r="W56" s="3215">
        <v>293000</v>
      </c>
      <c r="X56" s="3215">
        <v>1884.27</v>
      </c>
      <c r="Y56" s="3215">
        <v>29263.7</v>
      </c>
      <c r="Z56" s="3215" t="s">
        <v>3103</v>
      </c>
      <c r="AA56" s="3215">
        <v>13.57</v>
      </c>
      <c r="AB56" s="3215" t="s">
        <v>3707</v>
      </c>
    </row>
    <row r="57" spans="1:28" s="3216" customFormat="1">
      <c r="A57" s="3215" t="s">
        <v>3752</v>
      </c>
      <c r="B57" s="3215" t="s">
        <v>2164</v>
      </c>
      <c r="C57" s="3215" t="s">
        <v>3472</v>
      </c>
      <c r="D57" s="3215" t="s">
        <v>3498</v>
      </c>
      <c r="E57" s="3215" t="s">
        <v>3103</v>
      </c>
      <c r="F57" s="3215" t="s">
        <v>3753</v>
      </c>
      <c r="G57" s="3215" t="s">
        <v>3754</v>
      </c>
      <c r="H57" s="3215" t="s">
        <v>3449</v>
      </c>
      <c r="I57" s="3215" t="s">
        <v>3279</v>
      </c>
      <c r="J57" s="3215" t="s">
        <v>3755</v>
      </c>
      <c r="K57" s="3215">
        <v>78813.75</v>
      </c>
      <c r="L57" s="3215">
        <v>82754</v>
      </c>
      <c r="M57" s="3215">
        <v>1.05</v>
      </c>
      <c r="N57" s="3215" t="s">
        <v>3103</v>
      </c>
      <c r="O57" s="3215" t="s">
        <v>3103</v>
      </c>
      <c r="P57" s="3215" t="s">
        <v>3103</v>
      </c>
      <c r="Q57" s="3215" t="s">
        <v>3103</v>
      </c>
      <c r="R57" s="3215" t="s">
        <v>3750</v>
      </c>
      <c r="S57" s="3215" t="s">
        <v>3750</v>
      </c>
      <c r="T57" s="3215" t="s">
        <v>3755</v>
      </c>
      <c r="U57" s="3215" t="s">
        <v>3756</v>
      </c>
      <c r="V57" s="3215">
        <v>220000</v>
      </c>
      <c r="W57" s="3215">
        <v>233000</v>
      </c>
      <c r="X57" s="3215">
        <v>1970.89</v>
      </c>
      <c r="Y57" s="3215">
        <v>28155.74</v>
      </c>
      <c r="Z57" s="3215" t="s">
        <v>3103</v>
      </c>
      <c r="AA57" s="3215">
        <v>5.91</v>
      </c>
      <c r="AB57" s="3215" t="s">
        <v>3623</v>
      </c>
    </row>
    <row r="58" spans="1:28" s="3212" customFormat="1">
      <c r="A58" s="3211" t="s">
        <v>3757</v>
      </c>
      <c r="B58" s="3211" t="s">
        <v>2164</v>
      </c>
      <c r="C58" s="3211" t="s">
        <v>3445</v>
      </c>
      <c r="D58" s="3211" t="s">
        <v>3478</v>
      </c>
      <c r="E58" s="3211" t="s">
        <v>3103</v>
      </c>
      <c r="F58" s="3211" t="s">
        <v>3758</v>
      </c>
      <c r="G58" s="3211" t="s">
        <v>3759</v>
      </c>
      <c r="H58" s="3211" t="s">
        <v>3449</v>
      </c>
      <c r="I58" s="3211" t="s">
        <v>1903</v>
      </c>
      <c r="J58" s="3211" t="s">
        <v>3760</v>
      </c>
      <c r="K58" s="3211">
        <v>46010.69</v>
      </c>
      <c r="L58" s="3211">
        <v>174841</v>
      </c>
      <c r="M58" s="3211">
        <v>3.8</v>
      </c>
      <c r="N58" s="3211" t="s">
        <v>3103</v>
      </c>
      <c r="O58" s="3211" t="s">
        <v>3523</v>
      </c>
      <c r="P58" s="3211">
        <v>15700</v>
      </c>
      <c r="Q58" s="3211">
        <v>36752</v>
      </c>
      <c r="R58" s="3211" t="s">
        <v>3761</v>
      </c>
      <c r="S58" s="3211" t="s">
        <v>3761</v>
      </c>
      <c r="T58" s="3211" t="s">
        <v>3760</v>
      </c>
      <c r="U58" s="3211" t="s">
        <v>3762</v>
      </c>
      <c r="V58" s="3211">
        <v>148600</v>
      </c>
      <c r="W58" s="3211">
        <v>416000</v>
      </c>
      <c r="X58" s="3211">
        <v>6027.58</v>
      </c>
      <c r="Y58" s="3211">
        <v>23793.040000000001</v>
      </c>
      <c r="Z58" s="3211">
        <v>26140</v>
      </c>
      <c r="AA58" s="3211">
        <v>179.95</v>
      </c>
      <c r="AB58" s="3211" t="s">
        <v>3623</v>
      </c>
    </row>
    <row r="59" spans="1:28" s="3212" customFormat="1">
      <c r="A59" s="3211" t="s">
        <v>3763</v>
      </c>
      <c r="B59" s="3211" t="s">
        <v>2164</v>
      </c>
      <c r="C59" s="3211" t="s">
        <v>3472</v>
      </c>
      <c r="D59" s="3211" t="s">
        <v>3478</v>
      </c>
      <c r="E59" s="3211" t="s">
        <v>3103</v>
      </c>
      <c r="F59" s="3211" t="s">
        <v>3764</v>
      </c>
      <c r="G59" s="3211" t="s">
        <v>3765</v>
      </c>
      <c r="H59" s="3211" t="s">
        <v>3449</v>
      </c>
      <c r="I59" s="3211" t="s">
        <v>3256</v>
      </c>
      <c r="J59" s="3211" t="s">
        <v>3766</v>
      </c>
      <c r="K59" s="3211">
        <v>30337.74</v>
      </c>
      <c r="L59" s="3211">
        <v>60675.48</v>
      </c>
      <c r="M59" s="3211" t="s">
        <v>3767</v>
      </c>
      <c r="N59" s="3211" t="s">
        <v>3103</v>
      </c>
      <c r="O59" s="3211" t="s">
        <v>3502</v>
      </c>
      <c r="P59" s="3211">
        <v>21400</v>
      </c>
      <c r="Q59" s="3211" t="s">
        <v>3103</v>
      </c>
      <c r="R59" s="3211" t="s">
        <v>3761</v>
      </c>
      <c r="S59" s="3211" t="s">
        <v>3761</v>
      </c>
      <c r="T59" s="3211" t="s">
        <v>3766</v>
      </c>
      <c r="U59" s="3211" t="s">
        <v>3768</v>
      </c>
      <c r="V59" s="3211">
        <v>65000</v>
      </c>
      <c r="W59" s="3211">
        <v>97400</v>
      </c>
      <c r="X59" s="3211">
        <v>2140.35</v>
      </c>
      <c r="Y59" s="3211">
        <v>16052.61</v>
      </c>
      <c r="Z59" s="3211">
        <v>24799</v>
      </c>
      <c r="AA59" s="3211">
        <v>49.85</v>
      </c>
      <c r="AB59" s="3211" t="s">
        <v>3623</v>
      </c>
    </row>
    <row r="60" spans="1:28" s="3212" customFormat="1">
      <c r="A60" s="3211" t="s">
        <v>3769</v>
      </c>
      <c r="B60" s="3211" t="s">
        <v>2164</v>
      </c>
      <c r="C60" s="3211" t="s">
        <v>3445</v>
      </c>
      <c r="D60" s="3211" t="s">
        <v>3465</v>
      </c>
      <c r="E60" s="3211" t="s">
        <v>3103</v>
      </c>
      <c r="F60" s="3211" t="s">
        <v>3573</v>
      </c>
      <c r="G60" s="3211" t="s">
        <v>3770</v>
      </c>
      <c r="H60" s="3211" t="s">
        <v>3449</v>
      </c>
      <c r="I60" s="3211" t="s">
        <v>3256</v>
      </c>
      <c r="J60" s="3211" t="s">
        <v>3771</v>
      </c>
      <c r="K60" s="3211">
        <v>87175.06</v>
      </c>
      <c r="L60" s="3211">
        <v>174324</v>
      </c>
      <c r="M60" s="3211">
        <v>2</v>
      </c>
      <c r="N60" s="3211" t="s">
        <v>3103</v>
      </c>
      <c r="O60" s="3211" t="s">
        <v>3103</v>
      </c>
      <c r="P60" s="3211" t="s">
        <v>3103</v>
      </c>
      <c r="Q60" s="3211">
        <v>61000</v>
      </c>
      <c r="R60" s="3211" t="s">
        <v>3772</v>
      </c>
      <c r="S60" s="3211" t="s">
        <v>3772</v>
      </c>
      <c r="T60" s="3211" t="s">
        <v>3771</v>
      </c>
      <c r="U60" s="3211" t="s">
        <v>3773</v>
      </c>
      <c r="V60" s="3211">
        <v>255000</v>
      </c>
      <c r="W60" s="3211">
        <v>357000</v>
      </c>
      <c r="X60" s="3211">
        <v>2730.14</v>
      </c>
      <c r="Y60" s="3211">
        <v>20479.11</v>
      </c>
      <c r="Z60" s="3211" t="s">
        <v>3103</v>
      </c>
      <c r="AA60" s="3211">
        <v>40</v>
      </c>
      <c r="AB60" s="3211" t="s">
        <v>3623</v>
      </c>
    </row>
    <row r="61" spans="1:28" s="3212" customFormat="1">
      <c r="A61" s="3211" t="s">
        <v>3774</v>
      </c>
      <c r="B61" s="3211" t="s">
        <v>2164</v>
      </c>
      <c r="C61" s="3211" t="s">
        <v>3445</v>
      </c>
      <c r="D61" s="3211" t="s">
        <v>3478</v>
      </c>
      <c r="E61" s="3211" t="s">
        <v>3103</v>
      </c>
      <c r="F61" s="3211" t="s">
        <v>3775</v>
      </c>
      <c r="G61" s="3211" t="s">
        <v>3776</v>
      </c>
      <c r="H61" s="3211" t="s">
        <v>3449</v>
      </c>
      <c r="I61" s="3211" t="s">
        <v>1903</v>
      </c>
      <c r="J61" s="3211" t="s">
        <v>3777</v>
      </c>
      <c r="K61" s="3211">
        <v>80118.210000000006</v>
      </c>
      <c r="L61" s="3211">
        <v>215113</v>
      </c>
      <c r="M61" s="3211">
        <v>2.68</v>
      </c>
      <c r="N61" s="3211" t="s">
        <v>3103</v>
      </c>
      <c r="O61" s="3211" t="s">
        <v>3502</v>
      </c>
      <c r="P61" s="3211">
        <v>44400</v>
      </c>
      <c r="Q61" s="3211">
        <v>103598</v>
      </c>
      <c r="R61" s="3211" t="s">
        <v>3772</v>
      </c>
      <c r="S61" s="3211" t="s">
        <v>3772</v>
      </c>
      <c r="T61" s="3211" t="s">
        <v>3777</v>
      </c>
      <c r="U61" s="3211" t="s">
        <v>3778</v>
      </c>
      <c r="V61" s="3211">
        <v>150600</v>
      </c>
      <c r="W61" s="3211">
        <v>236000</v>
      </c>
      <c r="X61" s="3211">
        <v>1963.76</v>
      </c>
      <c r="Y61" s="3211">
        <v>10970.97</v>
      </c>
      <c r="Z61" s="3211">
        <v>13824</v>
      </c>
      <c r="AA61" s="3211">
        <v>56.71</v>
      </c>
      <c r="AB61" s="3211" t="s">
        <v>3623</v>
      </c>
    </row>
    <row r="62" spans="1:28" s="3212" customFormat="1">
      <c r="A62" s="3211" t="s">
        <v>3779</v>
      </c>
      <c r="B62" s="3211" t="s">
        <v>2164</v>
      </c>
      <c r="C62" s="3211" t="s">
        <v>3445</v>
      </c>
      <c r="D62" s="3211" t="s">
        <v>3478</v>
      </c>
      <c r="E62" s="3211" t="s">
        <v>3103</v>
      </c>
      <c r="F62" s="3211" t="s">
        <v>3775</v>
      </c>
      <c r="G62" s="3211" t="s">
        <v>3776</v>
      </c>
      <c r="H62" s="3211" t="s">
        <v>3449</v>
      </c>
      <c r="I62" s="3211" t="s">
        <v>1903</v>
      </c>
      <c r="J62" s="3211" t="s">
        <v>3780</v>
      </c>
      <c r="K62" s="3211">
        <v>54041.64</v>
      </c>
      <c r="L62" s="3211">
        <v>92695</v>
      </c>
      <c r="M62" s="3211">
        <v>1.72</v>
      </c>
      <c r="N62" s="3211" t="s">
        <v>3103</v>
      </c>
      <c r="O62" s="3211" t="s">
        <v>3502</v>
      </c>
      <c r="P62" s="3211">
        <v>12600</v>
      </c>
      <c r="Q62" s="3211">
        <v>29400</v>
      </c>
      <c r="R62" s="3211" t="s">
        <v>3772</v>
      </c>
      <c r="S62" s="3211" t="s">
        <v>3772</v>
      </c>
      <c r="T62" s="3211" t="s">
        <v>3780</v>
      </c>
      <c r="U62" s="3211" t="s">
        <v>3781</v>
      </c>
      <c r="V62" s="3211">
        <v>33400</v>
      </c>
      <c r="W62" s="3211">
        <v>60500</v>
      </c>
      <c r="X62" s="3211">
        <v>746.34</v>
      </c>
      <c r="Y62" s="3211">
        <v>6526.77</v>
      </c>
      <c r="Z62" s="3211">
        <v>7554</v>
      </c>
      <c r="AA62" s="3211">
        <v>81.14</v>
      </c>
      <c r="AB62" s="3211" t="s">
        <v>3623</v>
      </c>
    </row>
    <row r="63" spans="1:28" s="3212" customFormat="1">
      <c r="A63" s="3211" t="s">
        <v>3782</v>
      </c>
      <c r="B63" s="3211" t="s">
        <v>2164</v>
      </c>
      <c r="C63" s="3211" t="s">
        <v>3445</v>
      </c>
      <c r="D63" s="3211" t="s">
        <v>3465</v>
      </c>
      <c r="E63" s="3211" t="s">
        <v>3103</v>
      </c>
      <c r="F63" s="3211" t="s">
        <v>3573</v>
      </c>
      <c r="G63" s="3211" t="s">
        <v>3783</v>
      </c>
      <c r="H63" s="3211" t="s">
        <v>3449</v>
      </c>
      <c r="I63" s="3211" t="s">
        <v>3256</v>
      </c>
      <c r="J63" s="3211" t="s">
        <v>3784</v>
      </c>
      <c r="K63" s="3211">
        <v>77404.94</v>
      </c>
      <c r="L63" s="3211">
        <v>193512</v>
      </c>
      <c r="M63" s="3211">
        <v>2.5</v>
      </c>
      <c r="N63" s="3211" t="s">
        <v>3103</v>
      </c>
      <c r="O63" s="3211" t="s">
        <v>3716</v>
      </c>
      <c r="P63" s="3211">
        <v>12000</v>
      </c>
      <c r="Q63" s="3211">
        <v>181512</v>
      </c>
      <c r="R63" s="3211" t="s">
        <v>3772</v>
      </c>
      <c r="S63" s="3211" t="s">
        <v>3772</v>
      </c>
      <c r="T63" s="3211" t="s">
        <v>3784</v>
      </c>
      <c r="U63" s="3211" t="s">
        <v>3785</v>
      </c>
      <c r="V63" s="3211">
        <v>213000</v>
      </c>
      <c r="W63" s="3211">
        <v>217400</v>
      </c>
      <c r="X63" s="3211">
        <v>1872.4</v>
      </c>
      <c r="Y63" s="3211">
        <v>11234.45</v>
      </c>
      <c r="Z63" s="3211">
        <v>11977</v>
      </c>
      <c r="AA63" s="3211">
        <v>2.0699999999999998</v>
      </c>
      <c r="AB63" s="3211" t="s">
        <v>3623</v>
      </c>
    </row>
    <row r="64" spans="1:28" s="3212" customFormat="1">
      <c r="A64" s="3211" t="s">
        <v>3786</v>
      </c>
      <c r="B64" s="3211" t="s">
        <v>2164</v>
      </c>
      <c r="C64" s="3211" t="s">
        <v>3445</v>
      </c>
      <c r="D64" s="3211" t="s">
        <v>3491</v>
      </c>
      <c r="E64" s="3211" t="s">
        <v>3103</v>
      </c>
      <c r="F64" s="3211" t="s">
        <v>3787</v>
      </c>
      <c r="G64" s="3211" t="s">
        <v>3788</v>
      </c>
      <c r="H64" s="3211" t="s">
        <v>3449</v>
      </c>
      <c r="I64" s="3211" t="s">
        <v>3279</v>
      </c>
      <c r="J64" s="3211" t="s">
        <v>3789</v>
      </c>
      <c r="K64" s="3211">
        <v>110844.6</v>
      </c>
      <c r="L64" s="3211">
        <v>163966</v>
      </c>
      <c r="M64" s="3211">
        <v>1.48</v>
      </c>
      <c r="N64" s="3211" t="s">
        <v>3103</v>
      </c>
      <c r="O64" s="3211" t="s">
        <v>3523</v>
      </c>
      <c r="P64" s="3211">
        <v>29500</v>
      </c>
      <c r="Q64" s="3211">
        <v>20000</v>
      </c>
      <c r="R64" s="3211" t="s">
        <v>3790</v>
      </c>
      <c r="S64" s="3211" t="s">
        <v>3790</v>
      </c>
      <c r="T64" s="3211" t="s">
        <v>3789</v>
      </c>
      <c r="U64" s="3211" t="s">
        <v>3791</v>
      </c>
      <c r="V64" s="3211">
        <v>155800</v>
      </c>
      <c r="W64" s="3211">
        <v>155800</v>
      </c>
      <c r="X64" s="3211">
        <v>937.05</v>
      </c>
      <c r="Y64" s="3211">
        <v>9501.9599999999991</v>
      </c>
      <c r="Z64" s="3211">
        <v>11587</v>
      </c>
      <c r="AA64" s="3211">
        <v>0</v>
      </c>
      <c r="AB64" s="3211" t="s">
        <v>3707</v>
      </c>
    </row>
  </sheetData>
  <phoneticPr fontId="2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3" t="s">
        <v>2262</v>
      </c>
      <c r="B1" s="3233"/>
      <c r="C1" s="3233"/>
      <c r="D1" s="3233"/>
      <c r="E1" s="3233"/>
      <c r="F1" s="3233"/>
      <c r="G1" s="3233"/>
      <c r="H1" s="3233"/>
      <c r="I1" s="3233"/>
      <c r="J1" s="3233"/>
      <c r="K1" s="3233"/>
      <c r="L1" s="3233"/>
      <c r="M1" s="3233"/>
      <c r="N1" s="3233"/>
      <c r="O1" s="3233"/>
      <c r="P1" s="3233"/>
      <c r="Q1" s="3233"/>
      <c r="R1" s="3233"/>
    </row>
    <row r="2" spans="1:18">
      <c r="A2" s="1782" t="s">
        <v>2264</v>
      </c>
      <c r="B2" s="1782"/>
      <c r="C2" s="1782"/>
      <c r="D2" s="1782"/>
      <c r="E2" s="1782"/>
      <c r="F2" s="1782"/>
      <c r="G2" s="1782"/>
      <c r="H2" s="1782"/>
      <c r="I2" s="1783"/>
      <c r="J2" s="1783"/>
      <c r="K2" s="1784" t="str">
        <f>"估价期日："&amp;TEXT(项目基本情况!D3,"yyyy年m月d日;;")</f>
        <v>估价期日：2017年6月12日</v>
      </c>
      <c r="L2" s="1782"/>
      <c r="M2" s="1782"/>
      <c r="N2" s="1782"/>
      <c r="O2" s="1782"/>
      <c r="P2" s="1782"/>
      <c r="Q2" s="1782"/>
      <c r="R2" s="1784" t="str">
        <f>"估价期日的国有建设用地使用权性质："&amp;项目基本情况!B16</f>
        <v>估价期日的国有建设用地使用权性质：出让</v>
      </c>
    </row>
    <row r="3" spans="1:18" ht="23.25" customHeight="1">
      <c r="A3" s="3234" t="s">
        <v>2253</v>
      </c>
      <c r="B3" s="3234" t="s">
        <v>3012</v>
      </c>
      <c r="C3" s="3235" t="s">
        <v>2254</v>
      </c>
      <c r="D3" s="3234" t="s">
        <v>3016</v>
      </c>
      <c r="E3" s="3237" t="s">
        <v>2255</v>
      </c>
      <c r="F3" s="3237"/>
      <c r="G3" s="3237"/>
      <c r="H3" s="3237" t="s">
        <v>2256</v>
      </c>
      <c r="I3" s="3237"/>
      <c r="J3" s="3237"/>
      <c r="K3" s="3235" t="s">
        <v>2257</v>
      </c>
      <c r="L3" s="3235" t="s">
        <v>2258</v>
      </c>
      <c r="M3" s="3234" t="s">
        <v>3013</v>
      </c>
      <c r="N3" s="3236" t="str">
        <f>"（分摊）"&amp;项目基本情况!B16&amp;"国有建设用地使用权面积/㎡"</f>
        <v>（分摊）出让国有建设用地使用权面积/㎡</v>
      </c>
      <c r="O3" s="3234" t="s">
        <v>2290</v>
      </c>
      <c r="P3" s="3235" t="s">
        <v>2267</v>
      </c>
      <c r="Q3" s="3235" t="s">
        <v>2291</v>
      </c>
      <c r="R3" s="3235" t="s">
        <v>2259</v>
      </c>
    </row>
    <row r="4" spans="1:18" ht="36.75" customHeight="1">
      <c r="A4" s="3234"/>
      <c r="B4" s="3234"/>
      <c r="C4" s="3235"/>
      <c r="D4" s="3234"/>
      <c r="E4" s="2663" t="s">
        <v>2266</v>
      </c>
      <c r="F4" s="2663" t="s">
        <v>3027</v>
      </c>
      <c r="G4" s="2663" t="s">
        <v>2260</v>
      </c>
      <c r="H4" s="2663" t="s">
        <v>2261</v>
      </c>
      <c r="I4" s="2663" t="s">
        <v>3028</v>
      </c>
      <c r="J4" s="2663" t="s">
        <v>2260</v>
      </c>
      <c r="K4" s="3235"/>
      <c r="L4" s="3235"/>
      <c r="M4" s="3234"/>
      <c r="N4" s="3236"/>
      <c r="O4" s="3234"/>
      <c r="P4" s="3235"/>
      <c r="Q4" s="3235"/>
      <c r="R4" s="3235"/>
    </row>
    <row r="5" spans="1:18" ht="135" customHeight="1">
      <c r="A5" s="1918" t="s">
        <v>2934</v>
      </c>
      <c r="B5" s="2885" t="s">
        <v>2932</v>
      </c>
      <c r="C5" s="2662">
        <v>22</v>
      </c>
      <c r="D5" s="2661" t="s">
        <v>2933</v>
      </c>
      <c r="E5" s="1785">
        <f>项目基本情况!B12</f>
        <v>0</v>
      </c>
      <c r="F5" s="2661">
        <v>258</v>
      </c>
      <c r="G5" s="1785">
        <f>项目基本情况!B13</f>
        <v>0</v>
      </c>
      <c r="H5" s="2661">
        <v>1.5</v>
      </c>
      <c r="I5" s="2661">
        <v>1.5</v>
      </c>
      <c r="J5" s="2661">
        <v>1.5</v>
      </c>
      <c r="K5" s="1785" t="str">
        <f>"红线外"&amp;项目基本情况!T40&amp;"、宗地红线内"&amp;项目基本情况!B35</f>
        <v>红线外七通、宗地红线内宗地内已开工建设</v>
      </c>
      <c r="L5" s="1785" t="str">
        <f>"红线外"&amp;项目基本情况!T40&amp;"、宗地红线内场地"&amp;项目基本情况!D36</f>
        <v>红线外七通、宗地红线内场地平整</v>
      </c>
      <c r="M5" s="1785">
        <f>IF(项目基本情况!B16="出让",项目基本情况!D20,"——")</f>
        <v>0</v>
      </c>
      <c r="N5" s="1785">
        <f>项目基本情况!C22</f>
        <v>114029.21</v>
      </c>
      <c r="O5" s="1785">
        <f>项目基本情况!C21</f>
        <v>507462.25</v>
      </c>
      <c r="P5" s="1785" t="e">
        <f ca="1">结果表!E42</f>
        <v>#REF!</v>
      </c>
      <c r="Q5" s="1785" t="e">
        <f ca="1">结果表!D42</f>
        <v>#REF!</v>
      </c>
      <c r="R5" s="1786" t="e">
        <f ca="1">结果表!C42</f>
        <v>#REF!</v>
      </c>
    </row>
    <row r="6" spans="1:18">
      <c r="A6" s="3230" t="s">
        <v>2220</v>
      </c>
      <c r="B6" s="3231"/>
      <c r="C6" s="3231"/>
      <c r="D6" s="3231"/>
      <c r="E6" s="3231"/>
      <c r="F6" s="3231"/>
      <c r="G6" s="3231"/>
      <c r="H6" s="3231"/>
      <c r="I6" s="3231"/>
      <c r="J6" s="3231"/>
      <c r="K6" s="3231"/>
      <c r="L6" s="3231"/>
      <c r="M6" s="3231"/>
      <c r="N6" s="3231"/>
      <c r="O6" s="3231"/>
      <c r="P6" s="3231"/>
      <c r="Q6" s="3232"/>
      <c r="R6" s="1787" t="e">
        <f ca="1">结果表!O39</f>
        <v>#REF!</v>
      </c>
    </row>
    <row r="7" spans="1:18">
      <c r="A7" s="3230" t="str">
        <f>IF(项目基本情况!E8="已注销及未注销","抵押担保权已注销时的抵押价格","——")</f>
        <v>——</v>
      </c>
      <c r="B7" s="3231"/>
      <c r="C7" s="3231"/>
      <c r="D7" s="3231"/>
      <c r="E7" s="3231"/>
      <c r="F7" s="3231"/>
      <c r="G7" s="3231"/>
      <c r="H7" s="3231"/>
      <c r="I7" s="3231"/>
      <c r="J7" s="3231"/>
      <c r="K7" s="3231"/>
      <c r="L7" s="3231"/>
      <c r="M7" s="3231"/>
      <c r="N7" s="3231"/>
      <c r="O7" s="3231"/>
      <c r="P7" s="3231"/>
      <c r="Q7" s="3232"/>
      <c r="R7" s="1787" t="str">
        <f>结果表!O40</f>
        <v>——</v>
      </c>
    </row>
    <row r="8" spans="1:18">
      <c r="A8" s="3230" t="str">
        <f>项目基本情况!E9</f>
        <v>——</v>
      </c>
      <c r="B8" s="3231"/>
      <c r="C8" s="3231"/>
      <c r="D8" s="3231"/>
      <c r="E8" s="3231"/>
      <c r="F8" s="3231"/>
      <c r="G8" s="3231"/>
      <c r="H8" s="3231"/>
      <c r="I8" s="3231"/>
      <c r="J8" s="3231"/>
      <c r="K8" s="3231"/>
      <c r="L8" s="3231"/>
      <c r="M8" s="3231"/>
      <c r="N8" s="3231"/>
      <c r="O8" s="3231"/>
      <c r="P8" s="3231"/>
      <c r="Q8" s="3232"/>
      <c r="R8" s="1787" t="str">
        <f>结果表!O41</f>
        <v>——</v>
      </c>
    </row>
    <row r="9" spans="1:18">
      <c r="A9" s="1788" t="s">
        <v>2265</v>
      </c>
      <c r="B9" s="1782"/>
      <c r="C9" s="1782"/>
      <c r="D9" s="1782"/>
      <c r="E9" s="1782"/>
      <c r="F9" s="1782"/>
      <c r="G9" s="1782"/>
      <c r="H9" s="1782"/>
      <c r="I9" s="1782"/>
      <c r="J9" s="1782"/>
      <c r="K9" s="1782"/>
      <c r="L9" s="1782"/>
      <c r="M9" s="1782"/>
      <c r="N9" s="1782"/>
      <c r="O9" s="1782"/>
      <c r="P9" s="1782"/>
      <c r="Q9" s="1782"/>
      <c r="R9" s="1782"/>
    </row>
    <row r="10" spans="1:18">
      <c r="A10" s="1789"/>
      <c r="B10" s="1782"/>
      <c r="C10" s="1782"/>
      <c r="D10" s="1782"/>
      <c r="E10" s="1782"/>
      <c r="F10" s="1782"/>
      <c r="G10" s="1782"/>
      <c r="H10" s="1782"/>
      <c r="I10" s="1782"/>
      <c r="J10" s="1782"/>
      <c r="K10" s="1782"/>
      <c r="L10" s="1782"/>
      <c r="M10" s="1782"/>
      <c r="N10" s="1782"/>
      <c r="O10" s="1782"/>
      <c r="P10" s="1782"/>
      <c r="Q10" s="1782"/>
      <c r="R10" s="1782"/>
    </row>
    <row r="11" spans="1:18">
      <c r="A11" s="1789" t="s">
        <v>2252</v>
      </c>
      <c r="B11" s="1790"/>
      <c r="C11" s="1790"/>
      <c r="D11" s="1790"/>
      <c r="E11" s="1790"/>
      <c r="F11" s="1790"/>
      <c r="G11" s="1790"/>
      <c r="H11" s="1790"/>
      <c r="I11" s="1790"/>
      <c r="J11" s="1790"/>
      <c r="K11" s="1790"/>
      <c r="L11" s="1790"/>
      <c r="M11" s="1790"/>
      <c r="N11" s="1790"/>
      <c r="O11" s="1790"/>
      <c r="P11" s="1790"/>
      <c r="Q11" s="1790"/>
      <c r="R11" s="179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6"/>
      <c r="B14" s="2"/>
      <c r="C14" s="2"/>
      <c r="D14" s="2"/>
      <c r="E14" s="2"/>
      <c r="F14" s="2"/>
      <c r="G14" s="2"/>
      <c r="H14" s="2"/>
      <c r="I14" s="2"/>
      <c r="J14" s="2"/>
      <c r="K14" s="2"/>
      <c r="L14" s="2"/>
      <c r="M14" s="2"/>
      <c r="N14" s="2"/>
      <c r="O14" s="2"/>
      <c r="P14" s="2"/>
      <c r="Q14" s="2"/>
      <c r="R14" s="2"/>
    </row>
    <row r="15" spans="1:18">
      <c r="A15" s="1768"/>
    </row>
    <row r="16" spans="1:18">
      <c r="A16" s="1768"/>
    </row>
    <row r="17" spans="1:1">
      <c r="A17" s="1768"/>
    </row>
    <row r="18" spans="1:1">
      <c r="A18" s="1768"/>
    </row>
    <row r="19" spans="1:1">
      <c r="A19" s="1768"/>
    </row>
    <row r="20" spans="1:1">
      <c r="A20" s="1767"/>
    </row>
    <row r="21" spans="1:1">
      <c r="A21" s="1767"/>
    </row>
    <row r="22" spans="1:1">
      <c r="A22" s="1768"/>
    </row>
    <row r="23" spans="1:1">
      <c r="A23" s="1768"/>
    </row>
    <row r="24" spans="1:1">
      <c r="A24" s="1768"/>
    </row>
    <row r="25" spans="1:1">
      <c r="A25" s="1768"/>
    </row>
    <row r="26" spans="1:1">
      <c r="A26" s="1768"/>
    </row>
    <row r="27" spans="1:1">
      <c r="A27" s="1768"/>
    </row>
    <row r="28" spans="1:1">
      <c r="A28" s="1768"/>
    </row>
    <row r="29" spans="1:1">
      <c r="A29" s="1768"/>
    </row>
    <row r="30" spans="1:1">
      <c r="A30" s="1768"/>
    </row>
    <row r="31" spans="1:1">
      <c r="A31" s="1768"/>
    </row>
    <row r="32" spans="1:1">
      <c r="A32" s="1768"/>
    </row>
    <row r="33" spans="1:1">
      <c r="A33" s="1768"/>
    </row>
    <row r="34" spans="1:1">
      <c r="A34" s="1768"/>
    </row>
    <row r="35" spans="1:1">
      <c r="A35" s="1768"/>
    </row>
    <row r="36" spans="1:1">
      <c r="A36" s="1768"/>
    </row>
    <row r="37" spans="1:1">
      <c r="A37" s="176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777" customWidth="1"/>
    <col min="2" max="3" width="21.375" style="1777" customWidth="1"/>
    <col min="4" max="4" width="19.875" style="1777" customWidth="1"/>
    <col min="5" max="16384" width="9" style="1777"/>
  </cols>
  <sheetData>
    <row r="1" spans="1:4">
      <c r="A1" s="3239" t="s">
        <v>2292</v>
      </c>
      <c r="B1" s="3239"/>
      <c r="C1" s="3239"/>
      <c r="D1" s="3239"/>
    </row>
    <row r="2" spans="1:4" ht="47.25" customHeight="1">
      <c r="A2" s="3240" t="str">
        <f>"1.权利限制："&amp;项目基本情况!L24&amp;"未设定租赁等其他他项权利。"</f>
        <v>1.权利限制：根据估价对象《房屋所有权证》原件、，截至估价期日，估价对象已设定抵押。未设定租赁等其他他项权利。</v>
      </c>
      <c r="B2" s="3240"/>
      <c r="C2" s="3240"/>
      <c r="D2" s="3240"/>
    </row>
    <row r="3" spans="1:4" ht="48" customHeight="1">
      <c r="A3" s="3239"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39"/>
      <c r="C3" s="3239"/>
      <c r="D3" s="3239"/>
    </row>
    <row r="4" spans="1:4" ht="36.75" customHeight="1">
      <c r="A4" s="3239" t="str">
        <f>"3.估价规划限制条件：详见"&amp;项目基本情况!E21&amp;"。"</f>
        <v>3.估价规划限制条件：详见《建设工程规划许可证》[]、《出让合同》[]。</v>
      </c>
      <c r="B4" s="3239"/>
      <c r="C4" s="3239"/>
      <c r="D4" s="3239"/>
    </row>
    <row r="5" spans="1:4">
      <c r="A5" s="3238" t="s">
        <v>2293</v>
      </c>
      <c r="B5" s="3238"/>
      <c r="C5" s="3238"/>
      <c r="D5" s="3238"/>
    </row>
    <row r="6" spans="1:4">
      <c r="A6" s="3239" t="s">
        <v>2268</v>
      </c>
      <c r="B6" s="3239"/>
      <c r="C6" s="3239"/>
      <c r="D6" s="3239"/>
    </row>
    <row r="7" spans="1:4" ht="33" customHeight="1">
      <c r="A7" s="3239" t="s">
        <v>2848</v>
      </c>
      <c r="B7" s="3239"/>
      <c r="C7" s="3239"/>
      <c r="D7" s="3239"/>
    </row>
    <row r="8" spans="1:4" ht="32.25" customHeight="1">
      <c r="A8" s="3239" t="str">
        <f>IF(项目基本情况!B8="抵押","2.本《评估意见函》仅供金融机构进行内部审核使用，不做其他目的之用。","")</f>
        <v>2.本《评估意见函》仅供金融机构进行内部审核使用，不做其他目的之用。</v>
      </c>
      <c r="B8" s="3239"/>
      <c r="C8" s="3239"/>
      <c r="D8" s="3239"/>
    </row>
    <row r="9" spans="1:4" ht="33.75" customHeight="1">
      <c r="A9" s="32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9"/>
      <c r="C9" s="3239"/>
      <c r="D9" s="3239"/>
    </row>
    <row r="10" spans="1:4">
      <c r="A10" s="3239" t="str">
        <f>IF(项目基本情况!B8="抵押","4.估价师所知悉的法定优先受偿款情况为：","")</f>
        <v>4.估价师所知悉的法定优先受偿款情况为：</v>
      </c>
      <c r="B10" s="3239"/>
      <c r="C10" s="3239"/>
      <c r="D10" s="3239"/>
    </row>
    <row r="11" spans="1:4" ht="37.5" customHeight="1">
      <c r="A11" s="3241" t="str">
        <f>IF(项目基本情况!B8="抵押","（1）"&amp;CONCATENATE(项目基本情况!L24,项目基本情况!L25,项目基本情况!L26),"")</f>
        <v>（1）根据估价对象《房屋所有权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1"/>
      <c r="C11" s="3241"/>
      <c r="D11" s="3241"/>
    </row>
    <row r="12" spans="1:4" ht="168" customHeight="1">
      <c r="A12" s="3238" t="s">
        <v>2295</v>
      </c>
      <c r="B12" s="3238"/>
      <c r="C12" s="3238"/>
      <c r="D12" s="3238"/>
    </row>
    <row r="13" spans="1:4">
      <c r="A13" s="3242" t="s">
        <v>3029</v>
      </c>
      <c r="B13" s="3242"/>
      <c r="C13" s="3242"/>
      <c r="D13" s="3242"/>
    </row>
    <row r="14" spans="1:4">
      <c r="A14" s="3241" t="str">
        <f>IF(项目基本情况!B8="抵押","综上，"&amp;结果表!K47,"")</f>
        <v>综上，本次评估不存在估价师知悉的法定优先受偿款</v>
      </c>
      <c r="B14" s="3241"/>
      <c r="C14" s="3241"/>
      <c r="D14" s="3241"/>
    </row>
    <row r="15" spans="1:4" ht="58.5" customHeight="1">
      <c r="A15" s="3239"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9"/>
      <c r="C15" s="3239"/>
      <c r="D15" s="3239"/>
    </row>
    <row r="16" spans="1:4" ht="70.5" customHeight="1">
      <c r="A16" s="3239"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9"/>
      <c r="C16" s="3239"/>
      <c r="D16" s="3239"/>
    </row>
    <row r="17" spans="1:4">
      <c r="A17" s="3239" t="s">
        <v>2982</v>
      </c>
      <c r="B17" s="3239"/>
      <c r="C17" s="3239"/>
      <c r="D17" s="3239"/>
    </row>
    <row r="18" spans="1:4">
      <c r="A18" s="3239" t="s">
        <v>2974</v>
      </c>
      <c r="B18" s="3239"/>
      <c r="C18" s="3239"/>
      <c r="D18" s="3239"/>
    </row>
    <row r="19" spans="1:4">
      <c r="A19" s="2886" t="s">
        <v>2975</v>
      </c>
      <c r="B19" s="2886" t="s">
        <v>2976</v>
      </c>
      <c r="C19" s="2886" t="s">
        <v>2977</v>
      </c>
      <c r="D19" s="2886" t="s">
        <v>2978</v>
      </c>
    </row>
    <row r="20" spans="1:4">
      <c r="A20" s="2886" t="str">
        <f>项目基本情况!B4</f>
        <v>欧红伟</v>
      </c>
      <c r="B20" s="2886">
        <f ca="1">项目基本情况!C4</f>
        <v>2000110082</v>
      </c>
      <c r="C20" s="2888"/>
      <c r="D20" s="1775" t="s">
        <v>2983</v>
      </c>
    </row>
    <row r="21" spans="1:4">
      <c r="A21" s="2886" t="str">
        <f>项目基本情况!D4</f>
        <v>梁津</v>
      </c>
      <c r="B21" s="2886">
        <f ca="1">项目基本情况!E4</f>
        <v>96010014</v>
      </c>
      <c r="C21" s="2888"/>
      <c r="D21" s="1775" t="s">
        <v>2984</v>
      </c>
    </row>
    <row r="23" spans="1:4">
      <c r="A23" s="3239" t="s">
        <v>2979</v>
      </c>
      <c r="B23" s="3239"/>
      <c r="C23" s="3239"/>
      <c r="D23" s="3239"/>
    </row>
    <row r="24" spans="1:4">
      <c r="A24" s="2886" t="s">
        <v>2975</v>
      </c>
      <c r="B24" s="2886" t="s">
        <v>2980</v>
      </c>
      <c r="C24" s="2886" t="s">
        <v>2977</v>
      </c>
      <c r="D24" s="2886" t="s">
        <v>2978</v>
      </c>
    </row>
    <row r="25" spans="1:4">
      <c r="A25" s="2889" t="s">
        <v>2981</v>
      </c>
      <c r="B25" s="2886" t="s">
        <v>1149</v>
      </c>
      <c r="C25" s="2888"/>
      <c r="D25" s="1775" t="s">
        <v>2984</v>
      </c>
    </row>
    <row r="29" spans="1:4">
      <c r="D29" s="2887" t="s">
        <v>2263</v>
      </c>
    </row>
    <row r="30" spans="1:4">
      <c r="D30" s="28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29" sqref="E29"/>
    </sheetView>
  </sheetViews>
  <sheetFormatPr defaultColWidth="14.625" defaultRowHeight="13.5"/>
  <cols>
    <col min="1" max="1" width="24.375" style="3539" customWidth="1"/>
    <col min="2" max="16384" width="14.625" style="3539"/>
  </cols>
  <sheetData>
    <row r="1" spans="1:9" ht="16.5">
      <c r="A1" s="3046" t="s">
        <v>3131</v>
      </c>
      <c r="B1" s="3046">
        <f>SUM(B14:B23)</f>
        <v>0</v>
      </c>
      <c r="C1" s="3047"/>
      <c r="D1" s="3047"/>
      <c r="E1" s="3047"/>
      <c r="F1" s="3047"/>
    </row>
    <row r="2" spans="1:9" ht="16.5">
      <c r="A2" s="3046" t="s">
        <v>3132</v>
      </c>
      <c r="B2" s="3046" t="e">
        <f>SUM(C14:C23)</f>
        <v>#DIV/0!</v>
      </c>
      <c r="C2" s="3047"/>
      <c r="D2" s="3047"/>
      <c r="E2" s="3047"/>
      <c r="F2" s="3047"/>
    </row>
    <row r="3" spans="1:9" ht="16.5">
      <c r="A3" s="3046" t="s">
        <v>3133</v>
      </c>
      <c r="B3" s="3048">
        <f>[9]项目基本情况!D3</f>
        <v>0</v>
      </c>
      <c r="C3" s="3047"/>
      <c r="D3" s="3047"/>
      <c r="E3" s="3047"/>
      <c r="F3" s="3047"/>
    </row>
    <row r="4" spans="1:9" ht="33">
      <c r="A4" s="3046" t="s">
        <v>3134</v>
      </c>
      <c r="B4" s="3046" t="s">
        <v>3135</v>
      </c>
      <c r="C4" s="3046" t="s">
        <v>3136</v>
      </c>
      <c r="D4" s="3046" t="s">
        <v>3137</v>
      </c>
      <c r="E4" s="3047"/>
      <c r="F4" s="3047"/>
    </row>
    <row r="5" spans="1:9" ht="16.5">
      <c r="A5" s="3046" t="s">
        <v>3138</v>
      </c>
      <c r="B5" s="3046" t="e">
        <f ca="1">SUM(D14:D23)</f>
        <v>#REF!</v>
      </c>
      <c r="C5" s="3046" t="e">
        <f ca="1">ROUND(B5*10000/$B$1,0)</f>
        <v>#REF!</v>
      </c>
      <c r="D5" s="3046" t="e">
        <f ca="1">ROUND(B5*10000/$B$2,0)</f>
        <v>#REF!</v>
      </c>
      <c r="E5" s="3047"/>
      <c r="F5" s="3047"/>
    </row>
    <row r="6" spans="1:9" ht="16.5">
      <c r="A6" s="3046" t="s">
        <v>3139</v>
      </c>
      <c r="B6" s="3046">
        <f>SUM(G14:G23)</f>
        <v>0</v>
      </c>
      <c r="C6" s="3046" t="e">
        <f t="shared" ref="C6:C8" si="0">ROUND(B6*10000/$B$1,0)</f>
        <v>#DIV/0!</v>
      </c>
      <c r="D6" s="3046" t="e">
        <f t="shared" ref="D6:D8" si="1">ROUND(B6*10000/$B$2,0)</f>
        <v>#DIV/0!</v>
      </c>
      <c r="E6" s="3047"/>
      <c r="F6" s="3047"/>
    </row>
    <row r="7" spans="1:9" ht="16.5">
      <c r="A7" s="3046" t="s">
        <v>3140</v>
      </c>
      <c r="B7" s="3046">
        <f>SUM(H14:H23)</f>
        <v>0</v>
      </c>
      <c r="C7" s="3046" t="e">
        <f t="shared" si="0"/>
        <v>#DIV/0!</v>
      </c>
      <c r="D7" s="3046" t="e">
        <f t="shared" si="1"/>
        <v>#DIV/0!</v>
      </c>
      <c r="E7" s="3047"/>
      <c r="F7" s="3047"/>
    </row>
    <row r="8" spans="1:9" ht="16.5">
      <c r="A8" s="3046" t="s">
        <v>3141</v>
      </c>
      <c r="B8" s="3046">
        <f>SUM(I14:I23)</f>
        <v>0</v>
      </c>
      <c r="C8" s="3046" t="e">
        <f t="shared" si="0"/>
        <v>#DIV/0!</v>
      </c>
      <c r="D8" s="3046" t="e">
        <f t="shared" si="1"/>
        <v>#DIV/0!</v>
      </c>
      <c r="E8" s="3047"/>
      <c r="F8" s="3047"/>
    </row>
    <row r="9" spans="1:9" ht="16.5">
      <c r="A9" s="3046" t="s">
        <v>3142</v>
      </c>
      <c r="B9" s="3049"/>
      <c r="C9" s="3047"/>
      <c r="D9" s="3047"/>
      <c r="E9" s="3047"/>
      <c r="F9" s="3047"/>
    </row>
    <row r="10" spans="1:9" ht="16.5">
      <c r="A10" s="3046" t="s">
        <v>3143</v>
      </c>
      <c r="B10" s="3049"/>
      <c r="C10" s="3047"/>
      <c r="D10" s="3047"/>
      <c r="E10" s="3047"/>
      <c r="F10" s="3047"/>
    </row>
    <row r="11" spans="1:9" ht="16.5">
      <c r="A11" s="3046" t="s">
        <v>3805</v>
      </c>
      <c r="B11" s="3049"/>
      <c r="C11" s="3047"/>
      <c r="D11" s="3047"/>
      <c r="E11" s="3047"/>
      <c r="F11" s="3047"/>
    </row>
    <row r="12" spans="1:9" ht="16.5">
      <c r="A12" s="3047"/>
      <c r="B12" s="3047"/>
      <c r="C12" s="3047"/>
      <c r="D12" s="3047"/>
      <c r="E12" s="3047"/>
      <c r="F12" s="3047"/>
    </row>
    <row r="13" spans="1:9" ht="33">
      <c r="A13" s="3052" t="s">
        <v>3806</v>
      </c>
      <c r="B13" s="3050" t="s">
        <v>3131</v>
      </c>
      <c r="C13" s="3050" t="s">
        <v>3132</v>
      </c>
      <c r="D13" s="3050" t="s">
        <v>3144</v>
      </c>
      <c r="E13" s="3046" t="s">
        <v>3807</v>
      </c>
      <c r="F13" s="3046" t="s">
        <v>3137</v>
      </c>
      <c r="G13" s="3050" t="s">
        <v>3145</v>
      </c>
      <c r="H13" s="3050" t="s">
        <v>3146</v>
      </c>
      <c r="I13" s="3050" t="s">
        <v>3147</v>
      </c>
    </row>
    <row r="14" spans="1:9" ht="16.5">
      <c r="A14" s="3053" t="s">
        <v>3808</v>
      </c>
      <c r="B14" s="3050">
        <f>'[9]数据-汇总表'!E3</f>
        <v>0</v>
      </c>
      <c r="C14" s="3050" t="e">
        <f>'[9]数据-汇总表'!D3</f>
        <v>#DIV/0!</v>
      </c>
      <c r="D14" s="3050" t="e">
        <f ca="1">[9]结果表!C42</f>
        <v>#REF!</v>
      </c>
      <c r="E14" s="3050" t="e">
        <f ca="1">ROUND(D14*10000/B14,0)</f>
        <v>#REF!</v>
      </c>
      <c r="F14" s="3050" t="e">
        <f ca="1">ROUND(D14*10000/C14,0)</f>
        <v>#REF!</v>
      </c>
      <c r="G14" s="3050" t="str">
        <f>[9]结果表!C44</f>
        <v>——</v>
      </c>
      <c r="H14" s="3050" t="str">
        <f>[9]结果表!C45</f>
        <v>——</v>
      </c>
      <c r="I14" s="3050" t="str">
        <f>[9]结果表!C46</f>
        <v>——</v>
      </c>
    </row>
    <row r="15" spans="1:9" ht="16.5">
      <c r="A15" s="3053" t="s">
        <v>3148</v>
      </c>
      <c r="B15" s="3054"/>
      <c r="C15" s="3054"/>
      <c r="D15" s="3054"/>
      <c r="E15" s="3050" t="e">
        <f t="shared" ref="E15:E23" si="2">ROUND(D15*10000/B15,0)</f>
        <v>#DIV/0!</v>
      </c>
      <c r="F15" s="3050" t="e">
        <f t="shared" ref="F15:F23" si="3">ROUND(D15*10000/C15,0)</f>
        <v>#DIV/0!</v>
      </c>
      <c r="G15" s="3051"/>
      <c r="H15" s="3051"/>
      <c r="I15" s="3054"/>
    </row>
    <row r="16" spans="1:9" ht="16.5">
      <c r="A16" s="3053" t="s">
        <v>3149</v>
      </c>
      <c r="B16" s="3054"/>
      <c r="C16" s="3054"/>
      <c r="D16" s="3054"/>
      <c r="E16" s="3050" t="e">
        <f t="shared" si="2"/>
        <v>#DIV/0!</v>
      </c>
      <c r="F16" s="3050" t="e">
        <f t="shared" si="3"/>
        <v>#DIV/0!</v>
      </c>
      <c r="G16" s="3051"/>
      <c r="H16" s="3051"/>
      <c r="I16" s="3054"/>
    </row>
    <row r="17" spans="1:9" ht="16.5">
      <c r="A17" s="3053" t="s">
        <v>3150</v>
      </c>
      <c r="B17" s="3054"/>
      <c r="C17" s="3054"/>
      <c r="D17" s="3054"/>
      <c r="E17" s="3050" t="e">
        <f t="shared" si="2"/>
        <v>#DIV/0!</v>
      </c>
      <c r="F17" s="3050" t="e">
        <f t="shared" si="3"/>
        <v>#DIV/0!</v>
      </c>
      <c r="G17" s="3051"/>
      <c r="H17" s="3051"/>
      <c r="I17" s="3054"/>
    </row>
    <row r="18" spans="1:9" ht="16.5">
      <c r="A18" s="3053" t="s">
        <v>3151</v>
      </c>
      <c r="B18" s="3054"/>
      <c r="C18" s="3054"/>
      <c r="D18" s="3054"/>
      <c r="E18" s="3050" t="e">
        <f t="shared" si="2"/>
        <v>#DIV/0!</v>
      </c>
      <c r="F18" s="3050" t="e">
        <f t="shared" si="3"/>
        <v>#DIV/0!</v>
      </c>
      <c r="G18" s="3054"/>
      <c r="H18" s="3054"/>
      <c r="I18" s="3054"/>
    </row>
    <row r="19" spans="1:9" ht="16.5">
      <c r="A19" s="3053" t="s">
        <v>3152</v>
      </c>
      <c r="B19" s="3054"/>
      <c r="C19" s="3054"/>
      <c r="D19" s="3054"/>
      <c r="E19" s="3050" t="e">
        <f t="shared" si="2"/>
        <v>#DIV/0!</v>
      </c>
      <c r="F19" s="3050" t="e">
        <f t="shared" si="3"/>
        <v>#DIV/0!</v>
      </c>
      <c r="G19" s="3054"/>
      <c r="H19" s="3054"/>
      <c r="I19" s="3054"/>
    </row>
    <row r="20" spans="1:9" ht="16.5">
      <c r="A20" s="3053" t="s">
        <v>3153</v>
      </c>
      <c r="B20" s="3054"/>
      <c r="C20" s="3054"/>
      <c r="D20" s="3054"/>
      <c r="E20" s="3050" t="e">
        <f t="shared" si="2"/>
        <v>#DIV/0!</v>
      </c>
      <c r="F20" s="3050" t="e">
        <f t="shared" si="3"/>
        <v>#DIV/0!</v>
      </c>
      <c r="G20" s="3054"/>
      <c r="H20" s="3054"/>
      <c r="I20" s="3054"/>
    </row>
    <row r="21" spans="1:9" ht="16.5">
      <c r="A21" s="3053" t="s">
        <v>3154</v>
      </c>
      <c r="B21" s="3054"/>
      <c r="C21" s="3054"/>
      <c r="D21" s="3054"/>
      <c r="E21" s="3050" t="e">
        <f t="shared" si="2"/>
        <v>#DIV/0!</v>
      </c>
      <c r="F21" s="3050" t="e">
        <f t="shared" si="3"/>
        <v>#DIV/0!</v>
      </c>
      <c r="G21" s="3054"/>
      <c r="H21" s="3054"/>
      <c r="I21" s="3054"/>
    </row>
    <row r="22" spans="1:9" ht="16.5">
      <c r="A22" s="3053" t="s">
        <v>3155</v>
      </c>
      <c r="B22" s="3054"/>
      <c r="C22" s="3054"/>
      <c r="D22" s="3054"/>
      <c r="E22" s="3050" t="e">
        <f t="shared" si="2"/>
        <v>#DIV/0!</v>
      </c>
      <c r="F22" s="3050" t="e">
        <f t="shared" si="3"/>
        <v>#DIV/0!</v>
      </c>
      <c r="G22" s="3054"/>
      <c r="H22" s="3054"/>
      <c r="I22" s="3054"/>
    </row>
    <row r="23" spans="1:9" ht="16.5">
      <c r="A23" s="3053" t="s">
        <v>3156</v>
      </c>
      <c r="B23" s="3054"/>
      <c r="C23" s="3054"/>
      <c r="D23" s="3054"/>
      <c r="E23" s="3046" t="e">
        <f t="shared" si="2"/>
        <v>#DIV/0!</v>
      </c>
      <c r="F23" s="3046" t="e">
        <f t="shared" si="3"/>
        <v>#DIV/0!</v>
      </c>
      <c r="G23" s="3054"/>
      <c r="H23" s="3054"/>
      <c r="I23" s="3054"/>
    </row>
  </sheetData>
  <sheetProtection password="C66D" sheet="1" objects="1" scenarios="1"/>
  <phoneticPr fontId="23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44" customWidth="1"/>
    <col min="2" max="16384" width="14.5" style="1142"/>
  </cols>
  <sheetData>
    <row r="1" spans="1:7" s="1140" customFormat="1" ht="18.75">
      <c r="A1" s="1139" t="s">
        <v>77</v>
      </c>
    </row>
    <row r="3" spans="1:7" ht="14.25">
      <c r="A3" s="1141" t="s">
        <v>78</v>
      </c>
      <c r="B3" s="1142" t="s">
        <v>79</v>
      </c>
      <c r="G3" s="1143"/>
    </row>
    <row r="4" spans="1:7">
      <c r="G4" s="1143"/>
    </row>
    <row r="5" spans="1:7" ht="14.25">
      <c r="A5" s="1145" t="s">
        <v>57</v>
      </c>
      <c r="B5" s="1142" t="s">
        <v>58</v>
      </c>
      <c r="G5" s="1143"/>
    </row>
    <row r="6" spans="1:7">
      <c r="G6" s="1143"/>
    </row>
    <row r="7" spans="1:7" ht="14.25">
      <c r="A7" s="1146" t="s">
        <v>59</v>
      </c>
      <c r="B7" s="1142" t="s">
        <v>60</v>
      </c>
      <c r="G7" s="1143"/>
    </row>
    <row r="8" spans="1:7">
      <c r="G8" s="1143"/>
    </row>
    <row r="9" spans="1:7">
      <c r="A9" s="1147" t="s">
        <v>61</v>
      </c>
      <c r="B9" s="1142" t="s">
        <v>62</v>
      </c>
    </row>
    <row r="11" spans="1:7">
      <c r="A11" s="1148" t="s">
        <v>63</v>
      </c>
      <c r="B11" s="1149" t="s">
        <v>1061</v>
      </c>
    </row>
    <row r="13" spans="1:7">
      <c r="A13" s="1150" t="s">
        <v>64</v>
      </c>
    </row>
    <row r="15" spans="1:7" ht="14.25">
      <c r="A15" s="3250" t="s">
        <v>65</v>
      </c>
      <c r="B15" s="3251" t="s">
        <v>1034</v>
      </c>
      <c r="C15" s="3247"/>
    </row>
    <row r="16" spans="1:7" ht="14.25">
      <c r="A16" s="3250"/>
      <c r="B16" s="3248" t="s">
        <v>66</v>
      </c>
      <c r="C16" s="1151" t="s">
        <v>65</v>
      </c>
    </row>
    <row r="17" spans="1:3" ht="14.25">
      <c r="A17" s="3250"/>
      <c r="B17" s="3248"/>
      <c r="C17" s="1151" t="s">
        <v>67</v>
      </c>
    </row>
    <row r="18" spans="1:3" ht="14.25">
      <c r="A18" s="3250"/>
      <c r="B18" s="3248"/>
      <c r="C18" s="1151" t="s">
        <v>68</v>
      </c>
    </row>
    <row r="19" spans="1:3" ht="14.25">
      <c r="A19" s="3250"/>
      <c r="B19" s="3246" t="s">
        <v>69</v>
      </c>
      <c r="C19" s="3247"/>
    </row>
    <row r="20" spans="1:3" ht="14.25">
      <c r="A20" s="1152" t="s">
        <v>70</v>
      </c>
      <c r="B20" s="1153"/>
      <c r="C20" s="1154"/>
    </row>
    <row r="21" spans="1:3" ht="14.25">
      <c r="A21" s="3249" t="s">
        <v>71</v>
      </c>
      <c r="B21" s="3246" t="s">
        <v>72</v>
      </c>
      <c r="C21" s="3247"/>
    </row>
    <row r="22" spans="1:3" ht="14.25">
      <c r="A22" s="3249"/>
      <c r="B22" s="3246" t="s">
        <v>73</v>
      </c>
      <c r="C22" s="3247"/>
    </row>
    <row r="23" spans="1:3" ht="14.25">
      <c r="A23" s="3249"/>
      <c r="B23" s="3246" t="s">
        <v>74</v>
      </c>
      <c r="C23" s="3247"/>
    </row>
    <row r="24" spans="1:3" ht="14.25">
      <c r="A24" s="3249"/>
      <c r="B24" s="3252" t="s">
        <v>75</v>
      </c>
      <c r="C24" s="1155" t="s">
        <v>1025</v>
      </c>
    </row>
    <row r="25" spans="1:3" ht="14.25">
      <c r="A25" s="3249"/>
      <c r="B25" s="3253"/>
      <c r="C25" s="1155" t="s">
        <v>1026</v>
      </c>
    </row>
    <row r="26" spans="1:3" ht="14.25">
      <c r="A26" s="3249"/>
      <c r="B26" s="3253"/>
      <c r="C26" s="1155" t="s">
        <v>1027</v>
      </c>
    </row>
    <row r="27" spans="1:3" ht="14.25">
      <c r="A27" s="3249"/>
      <c r="B27" s="3253"/>
      <c r="C27" s="1155" t="s">
        <v>1028</v>
      </c>
    </row>
    <row r="28" spans="1:3" ht="14.25">
      <c r="A28" s="3249"/>
      <c r="B28" s="3253"/>
      <c r="C28" s="1155" t="s">
        <v>1029</v>
      </c>
    </row>
    <row r="29" spans="1:3" ht="14.25">
      <c r="A29" s="3249"/>
      <c r="B29" s="3253"/>
      <c r="C29" s="1155" t="s">
        <v>1030</v>
      </c>
    </row>
    <row r="30" spans="1:3" ht="14.25">
      <c r="A30" s="3249"/>
      <c r="B30" s="3253"/>
      <c r="C30" s="1155" t="s">
        <v>1031</v>
      </c>
    </row>
    <row r="31" spans="1:3" ht="14.25">
      <c r="A31" s="3249"/>
      <c r="B31" s="3253"/>
      <c r="C31" s="1155" t="s">
        <v>1032</v>
      </c>
    </row>
    <row r="32" spans="1:3" ht="14.25">
      <c r="A32" s="3249"/>
      <c r="B32" s="3253"/>
      <c r="C32" s="1155" t="s">
        <v>1849</v>
      </c>
    </row>
    <row r="33" spans="1:3" ht="14.25">
      <c r="A33" s="3249"/>
      <c r="B33" s="3243" t="s">
        <v>1855</v>
      </c>
      <c r="C33" s="1155" t="s">
        <v>1850</v>
      </c>
    </row>
    <row r="34" spans="1:3" ht="14.25">
      <c r="A34" s="3249"/>
      <c r="B34" s="3244"/>
      <c r="C34" s="1160" t="s">
        <v>1851</v>
      </c>
    </row>
    <row r="35" spans="1:3" ht="14.25">
      <c r="A35" s="3249"/>
      <c r="B35" s="3244"/>
      <c r="C35" s="1161" t="s">
        <v>1852</v>
      </c>
    </row>
    <row r="36" spans="1:3" ht="14.25">
      <c r="A36" s="3249"/>
      <c r="B36" s="3244"/>
      <c r="C36" s="1161" t="s">
        <v>1853</v>
      </c>
    </row>
    <row r="37" spans="1:3" ht="14.25">
      <c r="A37" s="3249"/>
      <c r="B37" s="3245"/>
      <c r="C37" s="1162" t="s">
        <v>1854</v>
      </c>
    </row>
    <row r="38" spans="1:3">
      <c r="A38" s="1156" t="s">
        <v>1033</v>
      </c>
    </row>
    <row r="41" spans="1:3">
      <c r="A41" s="1156" t="s">
        <v>80</v>
      </c>
    </row>
    <row r="42" spans="1:3" ht="14.25">
      <c r="A42" s="1157" t="s">
        <v>1041</v>
      </c>
    </row>
    <row r="43" spans="1:3" ht="14.25">
      <c r="A43" s="1158" t="s">
        <v>81</v>
      </c>
    </row>
    <row r="44" spans="1:3" ht="14.25">
      <c r="A44" s="1157" t="s">
        <v>1040</v>
      </c>
    </row>
    <row r="45" spans="1:3" ht="14.25">
      <c r="A45" s="1159" t="s">
        <v>1042</v>
      </c>
    </row>
    <row r="46" spans="1:3" ht="14.25">
      <c r="A46" s="1158" t="s">
        <v>76</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22" customWidth="1"/>
    <col min="2" max="5" width="22.625" style="2322"/>
    <col min="6" max="6" width="25.625" style="2322" customWidth="1"/>
    <col min="7" max="16384" width="22.625" style="2322"/>
  </cols>
  <sheetData>
    <row r="2" spans="1:6" ht="20.25" customHeight="1">
      <c r="A2" s="2319" t="s">
        <v>2121</v>
      </c>
      <c r="B2" s="1638">
        <f ca="1">TODAY()</f>
        <v>42927</v>
      </c>
      <c r="C2" s="2320" t="s">
        <v>2122</v>
      </c>
      <c r="D2" s="2321"/>
    </row>
    <row r="3" spans="1:6" ht="20.25" customHeight="1">
      <c r="A3" s="2323" t="s">
        <v>2123</v>
      </c>
      <c r="B3" s="2324" t="s">
        <v>2124</v>
      </c>
      <c r="C3" s="2324" t="s">
        <v>2125</v>
      </c>
      <c r="D3" s="2325" t="s">
        <v>2126</v>
      </c>
      <c r="E3" s="2324" t="s">
        <v>2127</v>
      </c>
      <c r="F3" s="2324" t="s">
        <v>2125</v>
      </c>
    </row>
    <row r="4" spans="1:6" ht="20.25" customHeight="1">
      <c r="A4" s="2324" t="s">
        <v>2128</v>
      </c>
      <c r="B4" s="2324">
        <f ca="1">IF(C4&lt;B2,"已过期",1119970066)</f>
        <v>1119970066</v>
      </c>
      <c r="C4" s="3024">
        <v>43849</v>
      </c>
      <c r="D4" s="2324" t="s">
        <v>2128</v>
      </c>
      <c r="E4" s="2324">
        <f ca="1">IF(F4&lt;B2,"已过期",96010014)</f>
        <v>96010014</v>
      </c>
      <c r="F4" s="3025">
        <v>47118</v>
      </c>
    </row>
    <row r="5" spans="1:6" ht="20.25" customHeight="1">
      <c r="A5" s="2324" t="s">
        <v>2129</v>
      </c>
      <c r="B5" s="2324">
        <f ca="1">IF(C5&lt;B2,"已过期",1119970074)</f>
        <v>1119970074</v>
      </c>
      <c r="C5" s="3024">
        <v>43849</v>
      </c>
      <c r="D5" s="2324" t="s">
        <v>2129</v>
      </c>
      <c r="E5" s="2324">
        <f ca="1">IF(F5&lt;B2,"已过期",2002110027)</f>
        <v>2002110027</v>
      </c>
      <c r="F5" s="3025">
        <v>46752</v>
      </c>
    </row>
    <row r="6" spans="1:6" ht="20.25" customHeight="1">
      <c r="A6" s="2324" t="s">
        <v>2130</v>
      </c>
      <c r="B6" s="2324">
        <f ca="1">IF(C6&lt;B2,"已过期",1119970111)</f>
        <v>1119970111</v>
      </c>
      <c r="C6" s="3024">
        <v>43849</v>
      </c>
      <c r="D6" s="2324" t="s">
        <v>2130</v>
      </c>
      <c r="E6" s="2324">
        <f ca="1">IF(F6&lt;B2,"已过期",94010078)</f>
        <v>94010078</v>
      </c>
      <c r="F6" s="3025">
        <v>46387</v>
      </c>
    </row>
    <row r="7" spans="1:6" ht="20.25" customHeight="1">
      <c r="A7" s="2324" t="s">
        <v>2131</v>
      </c>
      <c r="B7" s="2324">
        <f ca="1">IF(C7&lt;B2,"已过期",1120050019)</f>
        <v>1120050019</v>
      </c>
      <c r="C7" s="3024">
        <v>43359</v>
      </c>
      <c r="D7" s="2324" t="s">
        <v>2131</v>
      </c>
      <c r="E7" s="2324">
        <f ca="1">IF(F7&lt;B2,"已过期",2002110030)</f>
        <v>2002110030</v>
      </c>
      <c r="F7" s="3025">
        <v>46387</v>
      </c>
    </row>
    <row r="8" spans="1:6" ht="20.25" customHeight="1">
      <c r="A8" s="2324" t="s">
        <v>2132</v>
      </c>
      <c r="B8" s="2324">
        <f ca="1">IF(C8&lt;B2,"已过期",1120000080)</f>
        <v>1120000080</v>
      </c>
      <c r="C8" s="3024">
        <v>43849</v>
      </c>
      <c r="D8" s="2324" t="s">
        <v>2132</v>
      </c>
      <c r="E8" s="2324">
        <f ca="1">IF(F8&lt;B2,"已过期",2000110082)</f>
        <v>2000110082</v>
      </c>
      <c r="F8" s="3025">
        <v>46387</v>
      </c>
    </row>
    <row r="9" spans="1:6" ht="20.25" customHeight="1">
      <c r="A9" s="2324" t="s">
        <v>2133</v>
      </c>
      <c r="B9" s="2324">
        <f ca="1">IF(C9&lt;B2,"已过期",1419970001)</f>
        <v>1419970001</v>
      </c>
      <c r="C9" s="3024">
        <v>43867</v>
      </c>
      <c r="D9" s="2324" t="s">
        <v>2133</v>
      </c>
      <c r="E9" s="2324">
        <f ca="1">IF(F9&lt;B2,"已过期",2002110125)</f>
        <v>2002110125</v>
      </c>
      <c r="F9" s="3025">
        <v>47118</v>
      </c>
    </row>
    <row r="10" spans="1:6" ht="20.25" customHeight="1">
      <c r="A10" s="2324" t="s">
        <v>2134</v>
      </c>
      <c r="B10" s="2324">
        <f ca="1">IF(C10&lt;B2,"已过期",1120060040)</f>
        <v>1120060040</v>
      </c>
      <c r="C10" s="3024">
        <v>43483</v>
      </c>
      <c r="D10" s="2324" t="s">
        <v>2134</v>
      </c>
      <c r="E10" s="2324">
        <f ca="1">IF(F10&lt;B2,"已过期",2004110096)</f>
        <v>2004110096</v>
      </c>
      <c r="F10" s="3025">
        <v>47118</v>
      </c>
    </row>
    <row r="11" spans="1:6" ht="20.25" customHeight="1">
      <c r="A11" s="2324" t="s">
        <v>2135</v>
      </c>
      <c r="B11" s="2324">
        <f ca="1">IF(C11&lt;B2,"已过期",1120100036)</f>
        <v>1120100036</v>
      </c>
      <c r="C11" s="3024">
        <v>43622</v>
      </c>
      <c r="D11" s="2324" t="s">
        <v>2135</v>
      </c>
      <c r="E11" s="2324">
        <f ca="1">IF(F11&lt;B2,"已过期",2010110070)</f>
        <v>2010110070</v>
      </c>
      <c r="F11" s="3025">
        <v>47907</v>
      </c>
    </row>
    <row r="12" spans="1:6" ht="20.25" customHeight="1">
      <c r="A12" s="2324"/>
      <c r="B12" s="2324"/>
      <c r="C12" s="3024"/>
      <c r="D12" s="2324"/>
      <c r="E12" s="2324"/>
      <c r="F12" s="2324"/>
    </row>
    <row r="13" spans="1:6" ht="20.25" customHeight="1">
      <c r="A13" s="2324" t="s">
        <v>2136</v>
      </c>
      <c r="B13" s="2324">
        <f ca="1">IF(C13&lt;B2,"已过期",1120070131)</f>
        <v>1120070131</v>
      </c>
      <c r="C13" s="3024">
        <v>43814</v>
      </c>
      <c r="D13" s="2324" t="s">
        <v>2136</v>
      </c>
      <c r="E13" s="2324">
        <v>2014110011</v>
      </c>
      <c r="F13" s="3025">
        <v>49302</v>
      </c>
    </row>
    <row r="14" spans="1:6" ht="20.25" customHeight="1">
      <c r="A14" s="2324" t="s">
        <v>2137</v>
      </c>
      <c r="B14" s="2324">
        <f ca="1">IF(C14&lt;B2,"已过期",1120130020)</f>
        <v>1120130020</v>
      </c>
      <c r="C14" s="3024">
        <v>43622</v>
      </c>
      <c r="D14" s="2324"/>
      <c r="E14" s="2324"/>
      <c r="F14" s="2324"/>
    </row>
    <row r="15" spans="1:6" ht="20.25" customHeight="1">
      <c r="A15" s="2324" t="s">
        <v>2845</v>
      </c>
      <c r="B15" s="2324">
        <v>1120070085</v>
      </c>
      <c r="C15" s="3024">
        <v>43814</v>
      </c>
      <c r="D15" s="2324" t="s">
        <v>2845</v>
      </c>
      <c r="E15" s="2324">
        <v>2004110128</v>
      </c>
      <c r="F15" s="3025">
        <v>47118</v>
      </c>
    </row>
    <row r="16" spans="1:6" ht="20.25" customHeight="1">
      <c r="A16" s="2324" t="s">
        <v>2138</v>
      </c>
      <c r="B16" s="2324">
        <f ca="1">IF(C16&lt;B2,"已过期",1120140022)</f>
        <v>1120140022</v>
      </c>
      <c r="C16" s="3024">
        <v>42987</v>
      </c>
      <c r="D16" s="2324" t="s">
        <v>2138</v>
      </c>
      <c r="E16" s="2324">
        <f ca="1">IF(F16&lt;B2,"已过期",2008110059)</f>
        <v>2008110059</v>
      </c>
      <c r="F16" s="3025">
        <v>47177</v>
      </c>
    </row>
    <row r="17" spans="1:7" ht="20.25" customHeight="1">
      <c r="A17" s="2324" t="s">
        <v>2139</v>
      </c>
      <c r="B17" s="2324">
        <f ca="1">IF(C17&lt;B2,"已过期",1120140020)</f>
        <v>1120140020</v>
      </c>
      <c r="C17" s="3024">
        <v>42987</v>
      </c>
      <c r="D17" s="2324"/>
      <c r="E17" s="2324"/>
      <c r="F17" s="3025"/>
    </row>
    <row r="18" spans="1:7" ht="20.25" customHeight="1">
      <c r="A18" s="2324" t="s">
        <v>2140</v>
      </c>
      <c r="B18" s="2324">
        <f ca="1">IF(C18&lt;B2,"已过期",1120140024)</f>
        <v>1120140024</v>
      </c>
      <c r="C18" s="3024">
        <v>42987</v>
      </c>
      <c r="D18" s="2324" t="s">
        <v>2140</v>
      </c>
      <c r="E18" s="2324">
        <f ca="1">IF(F18&lt;B2,"已过期",2011110048)</f>
        <v>2011110048</v>
      </c>
      <c r="F18" s="3025">
        <v>48302</v>
      </c>
    </row>
    <row r="19" spans="1:7" ht="20.25" customHeight="1">
      <c r="A19" s="2324" t="s">
        <v>2141</v>
      </c>
      <c r="B19" s="2324">
        <f ca="1">IF(C19&lt;B2,"已过期",1120140019)</f>
        <v>1120140019</v>
      </c>
      <c r="C19" s="3024">
        <v>42987</v>
      </c>
      <c r="D19" s="2324"/>
      <c r="E19" s="2324"/>
      <c r="F19" s="2324"/>
    </row>
    <row r="20" spans="1:7" ht="20.25" customHeight="1">
      <c r="A20" s="2324"/>
      <c r="B20" s="2324"/>
      <c r="C20" s="3024"/>
      <c r="D20" s="2324"/>
      <c r="E20" s="2324"/>
      <c r="F20" s="2324"/>
    </row>
    <row r="21" spans="1:7" ht="20.25" customHeight="1">
      <c r="A21" s="2324"/>
      <c r="B21" s="2324"/>
      <c r="C21" s="3024"/>
      <c r="D21" s="2324" t="s">
        <v>2142</v>
      </c>
      <c r="E21" s="2324">
        <f ca="1">IF(F21&lt;B2,"已过期",2011110090)</f>
        <v>2011110090</v>
      </c>
      <c r="F21" s="3025">
        <v>48302</v>
      </c>
    </row>
    <row r="22" spans="1:7" ht="20.25" customHeight="1">
      <c r="A22" s="2324" t="s">
        <v>2143</v>
      </c>
      <c r="B22" s="2324">
        <f ca="1">IF(C22&lt;B2,"已过期",1120020033)</f>
        <v>1120020033</v>
      </c>
      <c r="C22" s="3024">
        <v>43304</v>
      </c>
      <c r="D22" s="2324" t="s">
        <v>2143</v>
      </c>
      <c r="E22" s="2324">
        <f ca="1">IF(F22&lt;B2,"已过期",2000110137)</f>
        <v>2000110137</v>
      </c>
      <c r="F22" s="3025">
        <v>46387</v>
      </c>
    </row>
    <row r="23" spans="1:7" ht="20.25" customHeight="1">
      <c r="A23" s="2324" t="s">
        <v>2144</v>
      </c>
      <c r="B23" s="2324">
        <f ca="1">IF(C23&lt;B2,"已过期",1120130048)</f>
        <v>1120130048</v>
      </c>
      <c r="C23" s="3024">
        <v>43686</v>
      </c>
      <c r="D23" s="2324"/>
      <c r="E23" s="2324"/>
      <c r="F23" s="2324"/>
    </row>
    <row r="24" spans="1:7" s="2328" customFormat="1" ht="20.25" customHeight="1">
      <c r="A24" s="2326" t="s">
        <v>2278</v>
      </c>
      <c r="B24" s="2326" t="s">
        <v>2278</v>
      </c>
      <c r="C24" s="3024"/>
      <c r="D24" s="3026" t="s">
        <v>2278</v>
      </c>
      <c r="E24" s="2326" t="s">
        <v>2278</v>
      </c>
      <c r="F24" s="2327"/>
    </row>
    <row r="25" spans="1:7" ht="20.25" customHeight="1">
      <c r="A25" s="3254" t="s">
        <v>2145</v>
      </c>
      <c r="B25" s="3254"/>
      <c r="C25" s="3254"/>
      <c r="D25" s="3254"/>
      <c r="E25" s="3254"/>
      <c r="F25" s="3254"/>
      <c r="G25" s="3254"/>
    </row>
    <row r="26" spans="1:7" ht="20.25" customHeight="1">
      <c r="A26" s="3255" t="s">
        <v>2146</v>
      </c>
      <c r="B26" s="3255"/>
      <c r="C26" s="3255"/>
      <c r="D26" s="3255" t="s">
        <v>2147</v>
      </c>
      <c r="E26" s="3255"/>
      <c r="F26" s="3255"/>
    </row>
    <row r="27" spans="1:7" s="2332" customFormat="1" ht="20.25" customHeight="1">
      <c r="A27" s="2329" t="s">
        <v>2148</v>
      </c>
      <c r="B27" s="2330" t="s">
        <v>2149</v>
      </c>
      <c r="C27" s="2330" t="s">
        <v>2150</v>
      </c>
      <c r="D27" s="2331" t="s">
        <v>2148</v>
      </c>
      <c r="E27" s="2330" t="s">
        <v>2149</v>
      </c>
      <c r="F27" s="2330" t="s">
        <v>2150</v>
      </c>
    </row>
    <row r="28" spans="1:7" s="2332" customFormat="1" ht="20.25" customHeight="1">
      <c r="A28" s="2333" t="s">
        <v>2151</v>
      </c>
      <c r="B28" s="2333" t="s">
        <v>2152</v>
      </c>
      <c r="C28" s="2334">
        <v>43725</v>
      </c>
      <c r="D28" s="2333" t="s">
        <v>2153</v>
      </c>
      <c r="E28" s="2333" t="s">
        <v>2154</v>
      </c>
      <c r="F28" s="2335">
        <v>44377</v>
      </c>
    </row>
    <row r="29" spans="1:7" s="2332" customFormat="1" ht="20.25" customHeight="1">
      <c r="A29" s="2333"/>
      <c r="B29" s="2333"/>
      <c r="C29" s="2336"/>
      <c r="D29" s="2333" t="s">
        <v>2155</v>
      </c>
      <c r="E29" s="2337" t="s">
        <v>2531</v>
      </c>
      <c r="F29" s="2338">
        <v>42916</v>
      </c>
    </row>
    <row r="30" spans="1:7" ht="20.25" customHeight="1">
      <c r="C30" s="2339"/>
      <c r="D30" s="2339"/>
    </row>
  </sheetData>
  <sheetProtection sheet="1" objects="1" scenarios="1"/>
  <mergeCells count="3">
    <mergeCell ref="A25:G25"/>
    <mergeCell ref="A26:C26"/>
    <mergeCell ref="D26:F26"/>
  </mergeCells>
  <phoneticPr fontId="3" type="noConversion"/>
  <conditionalFormatting sqref="C24:D24">
    <cfRule type="expression" dxfId="198" priority="71">
      <formula>AND($C24-TODAY()&lt;30,TODAY()&lt;$C24)</formula>
    </cfRule>
  </conditionalFormatting>
  <conditionalFormatting sqref="C28">
    <cfRule type="expression" dxfId="197" priority="70">
      <formula>AND($C28-TODAY()&lt;30,TODAY()&lt;$C28)</formula>
    </cfRule>
  </conditionalFormatting>
  <conditionalFormatting sqref="C28 F4">
    <cfRule type="cellIs" dxfId="196" priority="72" stopIfTrue="1" operator="lessThan">
      <formula>$B$2</formula>
    </cfRule>
  </conditionalFormatting>
  <conditionalFormatting sqref="F5">
    <cfRule type="cellIs" dxfId="195" priority="68" stopIfTrue="1" operator="lessThan">
      <formula>$B$2</formula>
    </cfRule>
  </conditionalFormatting>
  <conditionalFormatting sqref="F6 F8 F10">
    <cfRule type="cellIs" dxfId="194" priority="66" stopIfTrue="1" operator="lessThan">
      <formula>$B$2</formula>
    </cfRule>
  </conditionalFormatting>
  <conditionalFormatting sqref="C24:D24">
    <cfRule type="expression" dxfId="193" priority="64">
      <formula>AND($C24-TODAY()&lt;30,TODAY()&lt;$C24)</formula>
    </cfRule>
  </conditionalFormatting>
  <conditionalFormatting sqref="F7 F9 F11 C24:D24">
    <cfRule type="cellIs" dxfId="192" priority="65" stopIfTrue="1" operator="lessThan">
      <formula>$B$2</formula>
    </cfRule>
  </conditionalFormatting>
  <conditionalFormatting sqref="F16">
    <cfRule type="cellIs" dxfId="191" priority="38" stopIfTrue="1" operator="lessThan">
      <formula>$B$2</formula>
    </cfRule>
  </conditionalFormatting>
  <conditionalFormatting sqref="F18">
    <cfRule type="cellIs" dxfId="190" priority="37" stopIfTrue="1" operator="lessThan">
      <formula>$B$2</formula>
    </cfRule>
  </conditionalFormatting>
  <conditionalFormatting sqref="F22">
    <cfRule type="cellIs" dxfId="189" priority="36" stopIfTrue="1" operator="lessThan">
      <formula>$B$2</formula>
    </cfRule>
  </conditionalFormatting>
  <conditionalFormatting sqref="F21">
    <cfRule type="cellIs" dxfId="188" priority="35" stopIfTrue="1" operator="lessThan">
      <formula>$B$2</formula>
    </cfRule>
  </conditionalFormatting>
  <conditionalFormatting sqref="F17">
    <cfRule type="cellIs" dxfId="187" priority="34" stopIfTrue="1" operator="lessThan">
      <formula>$B$2</formula>
    </cfRule>
  </conditionalFormatting>
  <conditionalFormatting sqref="B4:B14 E4:E14 E16:E23 B16:B23">
    <cfRule type="cellIs" dxfId="186" priority="33" stopIfTrue="1" operator="equal">
      <formula>"已过期"</formula>
    </cfRule>
  </conditionalFormatting>
  <conditionalFormatting sqref="F28">
    <cfRule type="cellIs" dxfId="185" priority="30" stopIfTrue="1" operator="lessThan">
      <formula>$B$2</formula>
    </cfRule>
  </conditionalFormatting>
  <conditionalFormatting sqref="F29">
    <cfRule type="cellIs" dxfId="184" priority="28" stopIfTrue="1" operator="lessThan">
      <formula>$B$2</formula>
    </cfRule>
  </conditionalFormatting>
  <conditionalFormatting sqref="F28">
    <cfRule type="expression" dxfId="183" priority="74">
      <formula>AND($E28-TODAY()&lt;30,TODAY()&lt;$E28)</formula>
    </cfRule>
  </conditionalFormatting>
  <conditionalFormatting sqref="F29">
    <cfRule type="expression" dxfId="182" priority="75" stopIfTrue="1">
      <formula>AND($E29-TODAY()&lt;30,TODAY()&lt;$E29)</formula>
    </cfRule>
  </conditionalFormatting>
  <conditionalFormatting sqref="C5">
    <cfRule type="expression" dxfId="181" priority="25">
      <formula>AND($C5-TODAY()&lt;30,TODAY()&lt;$C5)</formula>
    </cfRule>
  </conditionalFormatting>
  <conditionalFormatting sqref="C5">
    <cfRule type="cellIs" dxfId="180" priority="26" stopIfTrue="1" operator="lessThan">
      <formula>$B$2</formula>
    </cfRule>
  </conditionalFormatting>
  <conditionalFormatting sqref="C4:C6">
    <cfRule type="expression" dxfId="179" priority="23">
      <formula>AND($C4-TODAY()&lt;30,TODAY()&lt;$C4)</formula>
    </cfRule>
  </conditionalFormatting>
  <conditionalFormatting sqref="C4:C6">
    <cfRule type="cellIs" dxfId="178" priority="24" stopIfTrue="1" operator="lessThan">
      <formula>$B$2</formula>
    </cfRule>
  </conditionalFormatting>
  <conditionalFormatting sqref="C8:C9">
    <cfRule type="expression" dxfId="177" priority="21">
      <formula>AND($C8-TODAY()&lt;30,TODAY()&lt;$C8)</formula>
    </cfRule>
  </conditionalFormatting>
  <conditionalFormatting sqref="C8:C9">
    <cfRule type="cellIs" dxfId="176" priority="22" stopIfTrue="1" operator="lessThan">
      <formula>$B$2</formula>
    </cfRule>
  </conditionalFormatting>
  <conditionalFormatting sqref="B15 E15">
    <cfRule type="cellIs" dxfId="175" priority="9" stopIfTrue="1" operator="equal">
      <formula>"已过期"</formula>
    </cfRule>
  </conditionalFormatting>
  <conditionalFormatting sqref="F15">
    <cfRule type="cellIs" dxfId="174" priority="6" stopIfTrue="1" operator="lessThan">
      <formula>$B$2</formula>
    </cfRule>
  </conditionalFormatting>
  <conditionalFormatting sqref="C7">
    <cfRule type="expression" dxfId="173" priority="4">
      <formula>AND($C7-TODAY()&lt;30,TODAY()&lt;$C7)</formula>
    </cfRule>
  </conditionalFormatting>
  <conditionalFormatting sqref="C7">
    <cfRule type="cellIs" dxfId="172" priority="5" stopIfTrue="1" operator="lessThan">
      <formula>$B$2</formula>
    </cfRule>
  </conditionalFormatting>
  <conditionalFormatting sqref="C10:C23">
    <cfRule type="expression" dxfId="171" priority="2">
      <formula>AND($C10-TODAY()&lt;30,TODAY()&lt;$C10)</formula>
    </cfRule>
  </conditionalFormatting>
  <conditionalFormatting sqref="C10:C23">
    <cfRule type="cellIs" dxfId="170" priority="3" stopIfTrue="1" operator="lessThan">
      <formula>$B$2</formula>
    </cfRule>
  </conditionalFormatting>
  <conditionalFormatting sqref="F13">
    <cfRule type="cellIs" dxfId="169" priority="1" stopIfTrue="1" operator="lessThan">
      <formula>$B$2</formula>
    </cfRule>
  </conditionalFormatting>
  <pageMargins left="0.7" right="0.7" top="0.75" bottom="0.75" header="0.3" footer="0.3"/>
  <pageSetup paperSize="9"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150</vt:i4>
      </vt:variant>
    </vt:vector>
  </HeadingPairs>
  <TitlesOfParts>
    <vt:vector size="194" baseType="lpstr">
      <vt:lpstr>致函链接</vt:lpstr>
      <vt:lpstr>预评函-封皮</vt:lpstr>
      <vt:lpstr>预评函-1</vt:lpstr>
      <vt:lpstr>预评函-1 (储备)</vt:lpstr>
      <vt:lpstr>预评函-2</vt:lpstr>
      <vt:lpstr>预评函-3</vt:lpstr>
      <vt:lpstr>系统读取表 (2)</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不动产比较法-住宅 (2)</vt:lpstr>
      <vt:lpstr>典型户型修正 (2)</vt:lpstr>
      <vt:lpstr>不动产比较法-商业</vt:lpstr>
      <vt:lpstr>典型户型修正</vt:lpstr>
      <vt:lpstr>不动产比较法-办公</vt:lpstr>
      <vt:lpstr>不动产比较法-工业</vt:lpstr>
      <vt:lpstr>不动产比较法-车位</vt:lpstr>
      <vt:lpstr>不动产比较法-仓储</vt:lpstr>
      <vt:lpstr>存贷款利率</vt:lpstr>
      <vt:lpstr>Sheet1</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2017-07-11T05:37:38Z</dcterms:modified>
</cp:coreProperties>
</file>