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收益法-地下车库" sheetId="85" r:id="rId24"/>
    <sheet name="收益法-众创空间" sheetId="84" r:id="rId25"/>
    <sheet name="收益法-办公自用" sheetId="83" state="hidden" r:id="rId26"/>
    <sheet name="收益法-办公出租" sheetId="82" state="hidden" r:id="rId27"/>
    <sheet name="收益法-商业自用" sheetId="81" r:id="rId28"/>
    <sheet name="收益法-商业出租" sheetId="15" r:id="rId29"/>
    <sheet name="收益法 (元)" sheetId="67" state="hidden" r:id="rId30"/>
    <sheet name="收益法（汇总）" sheetId="70" r:id="rId31"/>
    <sheet name="酒店收入计算" sheetId="66" state="hidden" r:id="rId32"/>
    <sheet name="比较法-办公" sheetId="34"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比较法-商业" sheetId="33" state="hidden" r:id="rId53"/>
    <sheet name="Sheet1" sheetId="86" state="hidden" r:id="rId54"/>
  </sheets>
  <externalReferences>
    <externalReference r:id="rId55"/>
  </externalReferences>
  <definedNames>
    <definedName name="_xlnm._FilterDatabase" localSheetId="32"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52"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6">'收益法-办公出租'!$A$1:$AK$69</definedName>
    <definedName name="_xlnm.Print_Area" localSheetId="25">'收益法-办公自用'!$A$1:$AK$69</definedName>
    <definedName name="_xlnm.Print_Area" localSheetId="37">'收益法-车库'!$A$1:$AK$69</definedName>
    <definedName name="_xlnm.Print_Area" localSheetId="23">'收益法-地下车库'!$A$1:$AK$69</definedName>
    <definedName name="_xlnm.Print_Area" localSheetId="35">'收益法-联排'!$A$1:$AK$69</definedName>
    <definedName name="_xlnm.Print_Area" localSheetId="28">'收益法-商业出租'!$A$1:$AK$69</definedName>
    <definedName name="_xlnm.Print_Area" localSheetId="27">'收益法-商业自用'!$A$1:$AK$69</definedName>
    <definedName name="_xlnm.Print_Area" localSheetId="24">'收益法-众创空间'!$A$1:$AK$69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U6" i="1"/>
  <c r="G24" i="6"/>
  <c r="F23" i="6"/>
  <c r="F20" i="6"/>
  <c r="F19" i="6"/>
  <c r="J18" i="80"/>
  <c r="H18" i="80"/>
  <c r="O4" i="80"/>
  <c r="N4" i="80"/>
  <c r="M4" i="80"/>
  <c r="AL13" i="3"/>
  <c r="K13" i="3"/>
  <c r="U20" i="1" l="1"/>
  <c r="H6" i="80"/>
  <c r="H5" i="80"/>
  <c r="H4" i="80"/>
  <c r="B20" i="80"/>
  <c r="B12" i="33" l="1"/>
  <c r="AD6" i="1"/>
  <c r="B45" i="34"/>
  <c r="I37" i="34"/>
  <c r="G37" i="34"/>
  <c r="E37" i="34"/>
  <c r="U21" i="1" l="1"/>
  <c r="Q72" i="85" l="1"/>
  <c r="Q59" i="85"/>
  <c r="K59" i="85"/>
  <c r="P74" i="85" s="1"/>
  <c r="F59" i="85"/>
  <c r="Q58" i="85"/>
  <c r="Q51" i="85"/>
  <c r="J50" i="85"/>
  <c r="M47" i="85"/>
  <c r="D46" i="85"/>
  <c r="F34" i="85"/>
  <c r="F62" i="85" s="1"/>
  <c r="F33" i="85"/>
  <c r="F61" i="85" s="1"/>
  <c r="F32" i="85"/>
  <c r="F60" i="85" s="1"/>
  <c r="F31" i="85"/>
  <c r="F28" i="85"/>
  <c r="F23" i="85"/>
  <c r="D24" i="85" s="1"/>
  <c r="D23" i="85"/>
  <c r="D22" i="85"/>
  <c r="F21" i="85"/>
  <c r="M20" i="85"/>
  <c r="F20" i="85"/>
  <c r="M19" i="85"/>
  <c r="M18" i="85"/>
  <c r="F18" i="85"/>
  <c r="M17" i="85"/>
  <c r="F17" i="85"/>
  <c r="F15" i="85"/>
  <c r="Q72" i="84"/>
  <c r="Q59" i="84"/>
  <c r="K59" i="84"/>
  <c r="P74" i="84" s="1"/>
  <c r="F59" i="84"/>
  <c r="Q58" i="84"/>
  <c r="Q51" i="84"/>
  <c r="J50" i="84"/>
  <c r="M47" i="84"/>
  <c r="D46" i="84"/>
  <c r="F34" i="84"/>
  <c r="F62" i="84" s="1"/>
  <c r="F33" i="84"/>
  <c r="F61" i="84" s="1"/>
  <c r="F32" i="84"/>
  <c r="F60" i="84" s="1"/>
  <c r="F31" i="84"/>
  <c r="F28" i="84"/>
  <c r="F23" i="84"/>
  <c r="D24" i="84" s="1"/>
  <c r="D23" i="84"/>
  <c r="D22" i="84"/>
  <c r="F21" i="84"/>
  <c r="M20" i="84"/>
  <c r="F20" i="84"/>
  <c r="M19" i="84"/>
  <c r="M18" i="84"/>
  <c r="F18" i="84"/>
  <c r="M17" i="84"/>
  <c r="F17" i="84"/>
  <c r="F15" i="84"/>
  <c r="P74" i="83"/>
  <c r="Q72" i="83"/>
  <c r="Q59" i="83"/>
  <c r="K59" i="83"/>
  <c r="P61" i="83" s="1"/>
  <c r="F59" i="83"/>
  <c r="Q58" i="83"/>
  <c r="Q51" i="83"/>
  <c r="J50" i="83"/>
  <c r="M47" i="83"/>
  <c r="D46" i="83"/>
  <c r="F34" i="83"/>
  <c r="F62" i="83" s="1"/>
  <c r="F33" i="83"/>
  <c r="F61" i="83" s="1"/>
  <c r="F32" i="83"/>
  <c r="F60" i="83" s="1"/>
  <c r="F31" i="83"/>
  <c r="F28" i="83"/>
  <c r="F23" i="83"/>
  <c r="D24" i="83" s="1"/>
  <c r="D23" i="83"/>
  <c r="D22" i="83"/>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P74" i="8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3" i="4"/>
  <c r="P61" i="85" l="1"/>
  <c r="P61" i="84"/>
  <c r="P61" i="82"/>
  <c r="D3" i="4" l="1"/>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O13" i="3"/>
  <c r="BP13" i="3"/>
  <c r="BQ13" i="3"/>
  <c r="BQ5" i="3" s="1"/>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s="1"/>
  <c r="B22" i="1"/>
  <c r="E1" i="73" s="1"/>
  <c r="F23" i="78"/>
  <c r="F21" i="78"/>
  <c r="B43" i="1"/>
  <c r="B41" i="1" s="1"/>
  <c r="C42" i="1"/>
  <c r="L1" i="73"/>
  <c r="F33" i="78"/>
  <c r="B52" i="1"/>
  <c r="F34" i="78"/>
  <c r="M47" i="78"/>
  <c r="J50" i="78"/>
  <c r="J51" i="78"/>
  <c r="D9" i="1"/>
  <c r="D6" i="1"/>
  <c r="K59" i="78"/>
  <c r="P74" i="78"/>
  <c r="Q72" i="78"/>
  <c r="F61" i="78"/>
  <c r="F62" i="78"/>
  <c r="P61" i="78"/>
  <c r="J53" i="78"/>
  <c r="Q52" i="78" s="1"/>
  <c r="Q59" i="78"/>
  <c r="B24" i="1"/>
  <c r="F59" i="78"/>
  <c r="Q58" i="78"/>
  <c r="Q51" i="78"/>
  <c r="D46" i="78"/>
  <c r="F31" i="78"/>
  <c r="AG9" i="1"/>
  <c r="M19" i="78"/>
  <c r="M20" i="78"/>
  <c r="D24" i="78"/>
  <c r="D23" i="78"/>
  <c r="D22" i="78"/>
  <c r="M17" i="78"/>
  <c r="F15" i="77"/>
  <c r="F17" i="77"/>
  <c r="F18" i="77"/>
  <c r="F20" i="77"/>
  <c r="F23" i="77"/>
  <c r="F21" i="77"/>
  <c r="F33" i="77"/>
  <c r="F34" i="77"/>
  <c r="M47" i="77"/>
  <c r="J50" i="77"/>
  <c r="J51" i="77"/>
  <c r="K59" i="77"/>
  <c r="P74" i="77"/>
  <c r="Q72" i="77"/>
  <c r="F61" i="77"/>
  <c r="F62" i="77"/>
  <c r="P61" i="77"/>
  <c r="J53" i="77"/>
  <c r="F1" i="77" s="1"/>
  <c r="Q59" i="77"/>
  <c r="F59" i="77"/>
  <c r="Q58" i="77"/>
  <c r="Q52" i="77"/>
  <c r="Q51" i="77"/>
  <c r="D46" i="77"/>
  <c r="F31" i="77"/>
  <c r="M19" i="77"/>
  <c r="M20" i="77"/>
  <c r="D24" i="77"/>
  <c r="D23" i="77"/>
  <c r="D22" i="77"/>
  <c r="M17" i="77"/>
  <c r="H13" i="3"/>
  <c r="H5" i="3" s="1"/>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s="1"/>
  <c r="C21" i="34"/>
  <c r="Q21" i="33"/>
  <c r="Z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s="1"/>
  <c r="G83" i="33"/>
  <c r="J21" i="33"/>
  <c r="AC21" i="33" s="1"/>
  <c r="F83" i="21"/>
  <c r="H21" i="21"/>
  <c r="F38" i="69"/>
  <c r="E37" i="69"/>
  <c r="F36" i="69"/>
  <c r="F35" i="69"/>
  <c r="F21" i="69"/>
  <c r="C21" i="69"/>
  <c r="F20" i="69"/>
  <c r="E10" i="69"/>
  <c r="E9" i="69"/>
  <c r="F7" i="69"/>
  <c r="C7" i="69" s="1"/>
  <c r="AC21" i="37"/>
  <c r="W21" i="37"/>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1" i="1"/>
  <c r="F12" i="1"/>
  <c r="F13" i="1"/>
  <c r="G13" i="1" s="1"/>
  <c r="D10" i="1"/>
  <c r="D11" i="1"/>
  <c r="D12" i="1"/>
  <c r="D13" i="1"/>
  <c r="D7" i="1"/>
  <c r="D8" i="1"/>
  <c r="B8" i="1"/>
  <c r="E8" i="1" s="1"/>
  <c r="A10" i="1"/>
  <c r="G1" i="77" s="1"/>
  <c r="A11" i="1"/>
  <c r="A12" i="1"/>
  <c r="A13" i="1"/>
  <c r="F3" i="35"/>
  <c r="B11" i="1"/>
  <c r="E11" i="1"/>
  <c r="B7" i="1"/>
  <c r="E7"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c r="F33" i="9"/>
  <c r="B37" i="48"/>
  <c r="B2" i="72" s="1"/>
  <c r="B13" i="53"/>
  <c r="B29" i="72" s="1"/>
  <c r="R35" i="4"/>
  <c r="Q35" i="4"/>
  <c r="P35" i="4"/>
  <c r="O35" i="4"/>
  <c r="N35" i="4"/>
  <c r="M35" i="4"/>
  <c r="L35" i="4"/>
  <c r="K34" i="4"/>
  <c r="T34" i="4"/>
  <c r="I15" i="4"/>
  <c r="H15" i="4"/>
  <c r="E15" i="4"/>
  <c r="F9" i="1" s="1"/>
  <c r="G9" i="1" s="1"/>
  <c r="D15" i="4"/>
  <c r="F7" i="1"/>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O10" i="1"/>
  <c r="B23" i="1"/>
  <c r="D78" i="9"/>
  <c r="E19" i="6"/>
  <c r="K6" i="1" s="1"/>
  <c r="E20" i="6"/>
  <c r="E21" i="6"/>
  <c r="K8" i="1" s="1"/>
  <c r="M8" i="1" s="1"/>
  <c r="F23" i="15"/>
  <c r="D24" i="15" s="1"/>
  <c r="O8" i="1"/>
  <c r="P8" i="1"/>
  <c r="O13" i="1"/>
  <c r="P13" i="1"/>
  <c r="E22" i="6"/>
  <c r="E23"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F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4" i="6" s="1"/>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c r="H23" i="34"/>
  <c r="U23" i="34" s="1"/>
  <c r="J23" i="34"/>
  <c r="F19" i="34"/>
  <c r="H17" i="34"/>
  <c r="U17" i="34" s="1"/>
  <c r="F15" i="34"/>
  <c r="S15" i="34" s="1"/>
  <c r="J15" i="34"/>
  <c r="W15" i="34" s="1"/>
  <c r="H15" i="34"/>
  <c r="AB15" i="34" s="1"/>
  <c r="J28" i="34"/>
  <c r="W28" i="34"/>
  <c r="F41" i="33"/>
  <c r="AA41" i="33"/>
  <c r="E113" i="33"/>
  <c r="F32" i="33"/>
  <c r="AA32" i="33" s="1"/>
  <c r="J19" i="33"/>
  <c r="AC19" i="33" s="1"/>
  <c r="J15" i="33"/>
  <c r="AC15" i="33" s="1"/>
  <c r="F11" i="33"/>
  <c r="AA11"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U31" i="33" s="1"/>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AC13" i="36"/>
  <c r="W13" i="36"/>
  <c r="S11" i="36"/>
  <c r="W11" i="36"/>
  <c r="W11" i="35"/>
  <c r="AB46" i="34"/>
  <c r="AC30" i="34"/>
  <c r="AA14" i="34"/>
  <c r="S45" i="33"/>
  <c r="AB45" i="33"/>
  <c r="AB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AC32" i="36"/>
  <c r="AC33" i="36"/>
  <c r="U35" i="35"/>
  <c r="AA12" i="35"/>
  <c r="W23" i="35"/>
  <c r="W14" i="37"/>
  <c r="AB28" i="37"/>
  <c r="U33" i="37"/>
  <c r="U39" i="37"/>
  <c r="W26" i="37"/>
  <c r="AC8" i="37"/>
  <c r="U26" i="37"/>
  <c r="AB13" i="34"/>
  <c r="AA13"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BO5" i="3"/>
  <c r="BM5" i="3"/>
  <c r="F29" i="6"/>
  <c r="BJ5" i="3"/>
  <c r="BH5" i="3"/>
  <c r="BF5" i="3"/>
  <c r="BD5" i="3"/>
  <c r="E8" i="6" s="1"/>
  <c r="AC5" i="3"/>
  <c r="BS5" i="3"/>
  <c r="BP5" i="3"/>
  <c r="BN5" i="3"/>
  <c r="BK5" i="3"/>
  <c r="BI5" i="3"/>
  <c r="BG5" i="3"/>
  <c r="BE5" i="3"/>
  <c r="E11" i="6" s="1"/>
  <c r="BC5" i="3"/>
  <c r="BT5" i="3"/>
  <c r="BB5" i="3"/>
  <c r="BR5" i="3"/>
  <c r="G28" i="6" s="1"/>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s="1"/>
  <c r="AC11" i="39"/>
  <c r="W37" i="37"/>
  <c r="W44" i="34"/>
  <c r="AC44" i="34"/>
  <c r="S15" i="37"/>
  <c r="U13" i="37"/>
  <c r="U12" i="40"/>
  <c r="AA12" i="40"/>
  <c r="J37" i="33"/>
  <c r="W37" i="33" s="1"/>
  <c r="F106" i="33"/>
  <c r="G106" i="33"/>
  <c r="H106" i="33"/>
  <c r="I106" i="33"/>
  <c r="J106" i="33"/>
  <c r="K106" i="33"/>
  <c r="L106" i="33"/>
  <c r="M106" i="33"/>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s="1"/>
  <c r="F35" i="33"/>
  <c r="S35" i="33"/>
  <c r="F39" i="34"/>
  <c r="S39" i="34" s="1"/>
  <c r="J39" i="34"/>
  <c r="W39" i="34" s="1"/>
  <c r="F40" i="34"/>
  <c r="S40" i="34" s="1"/>
  <c r="F43" i="34"/>
  <c r="AA43" i="34" s="1"/>
  <c r="H44" i="34"/>
  <c r="AB44" i="34"/>
  <c r="AC38" i="39"/>
  <c r="F39" i="39"/>
  <c r="S39" i="39"/>
  <c r="J39" i="39"/>
  <c r="AC39" i="39"/>
  <c r="E97" i="39"/>
  <c r="F97" i="39"/>
  <c r="G97" i="39"/>
  <c r="C40" i="11"/>
  <c r="H75" i="43"/>
  <c r="H74" i="43"/>
  <c r="H50" i="43"/>
  <c r="H49"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O9" i="1"/>
  <c r="P9" i="1"/>
  <c r="D93" i="9"/>
  <c r="G29" i="6"/>
  <c r="E29" i="6"/>
  <c r="AC26" i="33"/>
  <c r="W27" i="34"/>
  <c r="AC27" i="34"/>
  <c r="AB34" i="36"/>
  <c r="U34" i="36"/>
  <c r="AB33" i="36"/>
  <c r="U33" i="36"/>
  <c r="AC12" i="39"/>
  <c r="W12" i="39"/>
  <c r="AC39" i="40"/>
  <c r="W39" i="40"/>
  <c r="W12" i="33"/>
  <c r="AC12" i="33"/>
  <c r="AA32" i="36"/>
  <c r="S32" i="36"/>
  <c r="AA39" i="34"/>
  <c r="F28" i="6"/>
  <c r="F30" i="6" s="1"/>
  <c r="U30" i="33"/>
  <c r="AC13" i="34"/>
  <c r="AA47" i="34"/>
  <c r="W28" i="37"/>
  <c r="S19" i="39"/>
  <c r="F12" i="33"/>
  <c r="H12" i="39"/>
  <c r="AB12" i="39"/>
  <c r="F39" i="40"/>
  <c r="S12" i="1"/>
  <c r="R12" i="1"/>
  <c r="B12" i="1"/>
  <c r="E12" i="1"/>
  <c r="B10" i="1"/>
  <c r="E10" i="1" s="1"/>
  <c r="D1" i="66"/>
  <c r="E10" i="66"/>
  <c r="K12" i="1"/>
  <c r="M12" i="1" s="1"/>
  <c r="O12" i="1"/>
  <c r="P12" i="1"/>
  <c r="S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B35" i="34"/>
  <c r="S43" i="34"/>
  <c r="AB41" i="34"/>
  <c r="AA45" i="34"/>
  <c r="W34" i="34"/>
  <c r="U28" i="34"/>
  <c r="S17" i="34"/>
  <c r="AA29" i="34"/>
  <c r="U27" i="34"/>
  <c r="U15" i="34"/>
  <c r="S13" i="34"/>
  <c r="H67" i="34"/>
  <c r="H10" i="34"/>
  <c r="AB10" i="34" s="1"/>
  <c r="F11" i="34"/>
  <c r="S11" i="34" s="1"/>
  <c r="F70" i="34"/>
  <c r="W42" i="33"/>
  <c r="AA35" i="33"/>
  <c r="S27" i="33"/>
  <c r="S32" i="33"/>
  <c r="AA29" i="33"/>
  <c r="H41" i="33"/>
  <c r="F121" i="33"/>
  <c r="G121" i="33"/>
  <c r="H121" i="33"/>
  <c r="I121" i="33"/>
  <c r="J121" i="33"/>
  <c r="K121" i="33"/>
  <c r="L121" i="33"/>
  <c r="M121" i="33"/>
  <c r="U42" i="33"/>
  <c r="F36" i="33"/>
  <c r="G111" i="33"/>
  <c r="G108" i="33"/>
  <c r="H108" i="33"/>
  <c r="I108" i="33"/>
  <c r="J108" i="33"/>
  <c r="K108" i="33"/>
  <c r="L108" i="33"/>
  <c r="M108" i="33"/>
  <c r="J35" i="33"/>
  <c r="W35" i="33" s="1"/>
  <c r="S37" i="33"/>
  <c r="AA37" i="33"/>
  <c r="S39" i="33"/>
  <c r="F101" i="33"/>
  <c r="G101" i="33"/>
  <c r="H101" i="33"/>
  <c r="I101" i="33"/>
  <c r="J101" i="33"/>
  <c r="K101" i="33"/>
  <c r="L101" i="33"/>
  <c r="M101" i="33"/>
  <c r="J32" i="33"/>
  <c r="AC32" i="33" s="1"/>
  <c r="S46" i="33"/>
  <c r="W43" i="33"/>
  <c r="S43" i="33"/>
  <c r="F91" i="33"/>
  <c r="H27" i="33"/>
  <c r="F87" i="33"/>
  <c r="H25" i="33"/>
  <c r="F25" i="33"/>
  <c r="S25" i="33" s="1"/>
  <c r="J23" i="33"/>
  <c r="F85" i="33"/>
  <c r="H23" i="33"/>
  <c r="F81" i="33"/>
  <c r="F19" i="33"/>
  <c r="S19" i="33"/>
  <c r="W19" i="33"/>
  <c r="J17" i="33"/>
  <c r="W17" i="33" s="1"/>
  <c r="F79" i="33"/>
  <c r="S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A24" i="51"/>
  <c r="B18" i="72"/>
  <c r="U29" i="34"/>
  <c r="E5" i="6"/>
  <c r="D9" i="11" s="1"/>
  <c r="C9" i="11" s="1"/>
  <c r="P10" i="1"/>
  <c r="E32" i="6"/>
  <c r="L19"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C16" i="43" s="1"/>
  <c r="C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C65" i="40" s="1"/>
  <c r="M47" i="9"/>
  <c r="G19" i="43"/>
  <c r="P23" i="43" s="1"/>
  <c r="B71" i="39" s="1"/>
  <c r="T35" i="4"/>
  <c r="A19" i="51"/>
  <c r="B14" i="72"/>
  <c r="C46" i="36"/>
  <c r="D46" i="36" s="1"/>
  <c r="E46" i="36" s="1"/>
  <c r="F46" i="36" s="1"/>
  <c r="G46" i="36" s="1"/>
  <c r="H46" i="36" s="1"/>
  <c r="I46" i="36" s="1"/>
  <c r="C59" i="34"/>
  <c r="D59" i="34"/>
  <c r="C52" i="37"/>
  <c r="D52" i="37"/>
  <c r="A4" i="51"/>
  <c r="B6" i="72" s="1"/>
  <c r="C48" i="35"/>
  <c r="D48" i="35" s="1"/>
  <c r="E48" i="35" s="1"/>
  <c r="F48" i="35" s="1"/>
  <c r="G48" i="35" s="1"/>
  <c r="H48" i="35" s="1"/>
  <c r="I48" i="35" s="1"/>
  <c r="J48" i="35" s="1"/>
  <c r="C4" i="12"/>
  <c r="H62" i="43"/>
  <c r="H66" i="43"/>
  <c r="H61" i="43"/>
  <c r="H65" i="43"/>
  <c r="H60" i="43"/>
  <c r="H64" i="43"/>
  <c r="H59" i="43"/>
  <c r="H63" i="43"/>
  <c r="H67" i="43"/>
  <c r="H55" i="43"/>
  <c r="H51" i="43"/>
  <c r="H56" i="43"/>
  <c r="H76" i="43"/>
  <c r="H72" i="43"/>
  <c r="H77" i="43"/>
  <c r="L20" i="6"/>
  <c r="B6" i="1"/>
  <c r="E6" i="1" s="1"/>
  <c r="O11" i="1"/>
  <c r="P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A31" i="34"/>
  <c r="AA30" i="34"/>
  <c r="AB45" i="34"/>
  <c r="AB47" i="34"/>
  <c r="AB36" i="34"/>
  <c r="W33" i="34"/>
  <c r="AC14" i="34"/>
  <c r="AC32" i="34"/>
  <c r="AC29" i="34"/>
  <c r="W29" i="34"/>
  <c r="W46" i="34"/>
  <c r="AC46" i="34"/>
  <c r="S32" i="34"/>
  <c r="AA32" i="34"/>
  <c r="U30" i="34"/>
  <c r="AB30" i="34"/>
  <c r="AC40" i="34"/>
  <c r="AA19" i="34"/>
  <c r="S19" i="34"/>
  <c r="AA36" i="34"/>
  <c r="S36" i="34"/>
  <c r="AA8" i="34"/>
  <c r="S8" i="34"/>
  <c r="AB9" i="34"/>
  <c r="U9" i="34"/>
  <c r="S46" i="34"/>
  <c r="AA46" i="34"/>
  <c r="U32" i="34"/>
  <c r="AB32" i="34"/>
  <c r="U14" i="34"/>
  <c r="AB14" i="34"/>
  <c r="W23" i="34"/>
  <c r="AC23" i="34"/>
  <c r="AC35" i="34"/>
  <c r="W35" i="34"/>
  <c r="U12" i="34"/>
  <c r="AC37" i="33"/>
  <c r="W46" i="33"/>
  <c r="S33" i="33"/>
  <c r="AB34" i="33"/>
  <c r="U44" i="33"/>
  <c r="AB44" i="33"/>
  <c r="AA30" i="33"/>
  <c r="AC14" i="33"/>
  <c r="W14" i="33"/>
  <c r="AC30" i="33"/>
  <c r="W30" i="33"/>
  <c r="W13" i="33"/>
  <c r="AC13" i="33"/>
  <c r="U15" i="33"/>
  <c r="S11"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J53" i="67"/>
  <c r="F1" i="67" s="1"/>
  <c r="O6" i="1"/>
  <c r="P6" i="1"/>
  <c r="K15"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AC35" i="33"/>
  <c r="H111" i="33"/>
  <c r="I111" i="33"/>
  <c r="J111" i="33"/>
  <c r="K111" i="33"/>
  <c r="L111" i="33"/>
  <c r="M111" i="33"/>
  <c r="J36" i="33"/>
  <c r="H36" i="33"/>
  <c r="S36" i="33"/>
  <c r="AA36" i="33"/>
  <c r="U27" i="33"/>
  <c r="AB27" i="33"/>
  <c r="G91" i="33"/>
  <c r="H91" i="33"/>
  <c r="I91" i="33"/>
  <c r="J91" i="33"/>
  <c r="K91" i="33"/>
  <c r="L91" i="33"/>
  <c r="M91" i="33"/>
  <c r="J27" i="33"/>
  <c r="AC27" i="33" s="1"/>
  <c r="U25" i="33"/>
  <c r="AB25" i="33"/>
  <c r="G87" i="33"/>
  <c r="H87" i="33"/>
  <c r="I87" i="33"/>
  <c r="J87" i="33"/>
  <c r="K87" i="33"/>
  <c r="L87" i="33"/>
  <c r="M87" i="33"/>
  <c r="J25" i="33"/>
  <c r="AC25" i="33" s="1"/>
  <c r="AB23" i="33"/>
  <c r="U23" i="33"/>
  <c r="F23" i="33"/>
  <c r="G85" i="33"/>
  <c r="AC23" i="33"/>
  <c r="W23" i="33"/>
  <c r="AA19" i="33"/>
  <c r="H19" i="33"/>
  <c r="U19" i="33" s="1"/>
  <c r="G81" i="33"/>
  <c r="G79" i="33"/>
  <c r="H17" i="33"/>
  <c r="F17" i="33"/>
  <c r="S17" i="33" s="1"/>
  <c r="AC17" i="33"/>
  <c r="U10" i="33"/>
  <c r="AB10" i="33"/>
  <c r="AC10" i="33"/>
  <c r="W10" i="33"/>
  <c r="AC37" i="21"/>
  <c r="U33" i="21"/>
  <c r="S37" i="21"/>
  <c r="AA23" i="21"/>
  <c r="AB15" i="21"/>
  <c r="J23" i="21"/>
  <c r="F85" i="21"/>
  <c r="G85" i="21"/>
  <c r="H23" i="21"/>
  <c r="S13" i="21"/>
  <c r="D6" i="52"/>
  <c r="D121" i="9"/>
  <c r="D7" i="52"/>
  <c r="K120" i="9"/>
  <c r="O14" i="1"/>
  <c r="P14" i="1"/>
  <c r="M20" i="43"/>
  <c r="C19" i="43" s="1"/>
  <c r="J59" i="9"/>
  <c r="J61" i="9"/>
  <c r="R22" i="31"/>
  <c r="B21" i="31"/>
  <c r="P22" i="43"/>
  <c r="E52" i="37"/>
  <c r="F58" i="21"/>
  <c r="E59" i="34"/>
  <c r="F59" i="34" s="1"/>
  <c r="D63" i="40"/>
  <c r="E63" i="40" s="1"/>
  <c r="B5" i="62"/>
  <c r="B73" i="72" s="1"/>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s="1"/>
  <c r="U32" i="39"/>
  <c r="AB32" i="39"/>
  <c r="AC32" i="39"/>
  <c r="W32" i="39"/>
  <c r="W19" i="37"/>
  <c r="AC19" i="37"/>
  <c r="W23" i="37"/>
  <c r="AC23" i="37"/>
  <c r="AB11" i="37"/>
  <c r="U11" i="37"/>
  <c r="H63" i="37"/>
  <c r="I63" i="37"/>
  <c r="J63" i="37"/>
  <c r="K63" i="37"/>
  <c r="L63" i="37"/>
  <c r="M63" i="37"/>
  <c r="J11" i="37"/>
  <c r="W10" i="37"/>
  <c r="AC10" i="37"/>
  <c r="U11" i="34"/>
  <c r="AB11" i="34"/>
  <c r="AC10" i="34"/>
  <c r="H70" i="34"/>
  <c r="I70" i="34"/>
  <c r="J70" i="34"/>
  <c r="K70" i="34"/>
  <c r="L70" i="34"/>
  <c r="M70" i="34"/>
  <c r="J11" i="34"/>
  <c r="AC36" i="33"/>
  <c r="W36" i="33"/>
  <c r="U36" i="33"/>
  <c r="AB36" i="33"/>
  <c r="AA23" i="33"/>
  <c r="S23" i="33"/>
  <c r="U17" i="33"/>
  <c r="AB17" i="33"/>
  <c r="U23" i="21"/>
  <c r="AB23" i="21"/>
  <c r="AC23" i="21"/>
  <c r="W23" i="21"/>
  <c r="P7" i="1"/>
  <c r="G59" i="34"/>
  <c r="H59" i="34" s="1"/>
  <c r="I59" i="34" s="1"/>
  <c r="G58" i="21"/>
  <c r="H58" i="21" s="1"/>
  <c r="D65" i="40"/>
  <c r="G39" i="43"/>
  <c r="I39" i="43" s="1"/>
  <c r="AC11" i="37"/>
  <c r="W11" i="37"/>
  <c r="W11" i="34"/>
  <c r="AC11" i="34"/>
  <c r="C13" i="12"/>
  <c r="F34" i="11"/>
  <c r="F11" i="12"/>
  <c r="F34" i="68"/>
  <c r="C36" i="68" s="1"/>
  <c r="H109" i="9"/>
  <c r="H110" i="9" s="1"/>
  <c r="D18" i="53" s="1"/>
  <c r="B35" i="72" s="1"/>
  <c r="D124" i="9"/>
  <c r="D10" i="52" s="1"/>
  <c r="H14" i="74"/>
  <c r="B7" i="74" s="1"/>
  <c r="J7" i="33"/>
  <c r="W7" i="33" s="1"/>
  <c r="F7" i="33"/>
  <c r="S7" i="33" s="1"/>
  <c r="H7" i="33"/>
  <c r="AB7" i="33" s="1"/>
  <c r="T48" i="33" s="1"/>
  <c r="G48" i="33" s="1"/>
  <c r="H112" i="9"/>
  <c r="D21" i="53"/>
  <c r="B39" i="72" s="1"/>
  <c r="H111" i="9"/>
  <c r="D126" i="9" s="1"/>
  <c r="D19" i="53"/>
  <c r="B38" i="72" s="1"/>
  <c r="D59" i="9"/>
  <c r="M55" i="9"/>
  <c r="G1" i="85" l="1"/>
  <c r="G1" i="82"/>
  <c r="G1" i="81"/>
  <c r="G1" i="83"/>
  <c r="G1" i="84"/>
  <c r="E10" i="6"/>
  <c r="I4" i="6"/>
  <c r="G3" i="43" s="1"/>
  <c r="I101" i="43" s="1"/>
  <c r="I103" i="43" s="1"/>
  <c r="E14" i="6"/>
  <c r="E64" i="39" s="1"/>
  <c r="K11" i="1"/>
  <c r="M11" i="1" s="1"/>
  <c r="E7" i="12"/>
  <c r="G27" i="6"/>
  <c r="BA13" i="3"/>
  <c r="BA5" i="3" s="1"/>
  <c r="E65" i="40"/>
  <c r="F63" i="40"/>
  <c r="AA7" i="33"/>
  <c r="R48" i="33" s="1"/>
  <c r="AC7" i="33"/>
  <c r="V48" i="33" s="1"/>
  <c r="I48" i="33" s="1"/>
  <c r="P25" i="43"/>
  <c r="O19" i="43"/>
  <c r="P21" i="43"/>
  <c r="P24" i="43"/>
  <c r="B66" i="40" s="1"/>
  <c r="J51" i="85"/>
  <c r="J51" i="83"/>
  <c r="J51" i="82"/>
  <c r="J51" i="81"/>
  <c r="J51" i="84"/>
  <c r="C28" i="83"/>
  <c r="C28" i="82"/>
  <c r="C28" i="85"/>
  <c r="C28" i="81"/>
  <c r="C28" i="84"/>
  <c r="C7" i="79"/>
  <c r="C58" i="79" s="1"/>
  <c r="F10" i="1"/>
  <c r="F6" i="1"/>
  <c r="G6" i="1" s="1"/>
  <c r="F8" i="1"/>
  <c r="AC12" i="34"/>
  <c r="S42" i="33"/>
  <c r="U39" i="33"/>
  <c r="U38" i="33"/>
  <c r="W38" i="33"/>
  <c r="S38" i="33"/>
  <c r="U37" i="33"/>
  <c r="U35" i="33"/>
  <c r="U32" i="33"/>
  <c r="W32" i="33"/>
  <c r="S28" i="33"/>
  <c r="AB28" i="33"/>
  <c r="W27" i="33"/>
  <c r="S26" i="33"/>
  <c r="AB26" i="33"/>
  <c r="W25" i="33"/>
  <c r="AA25" i="33"/>
  <c r="AB19" i="33"/>
  <c r="AA17" i="33"/>
  <c r="W15" i="33"/>
  <c r="AB12" i="33"/>
  <c r="S9" i="33"/>
  <c r="S8" i="33"/>
  <c r="AA44" i="33"/>
  <c r="S31" i="33"/>
  <c r="AA31" i="33"/>
  <c r="AB29" i="33"/>
  <c r="AC31" i="33"/>
  <c r="AA14" i="33"/>
  <c r="AA11" i="34"/>
  <c r="AC42" i="34"/>
  <c r="AC45" i="34"/>
  <c r="F124" i="34"/>
  <c r="G124" i="34" s="1"/>
  <c r="H124" i="34" s="1"/>
  <c r="I124" i="34" s="1"/>
  <c r="J124" i="34" s="1"/>
  <c r="K124" i="34" s="1"/>
  <c r="L124" i="34" s="1"/>
  <c r="M124" i="34" s="1"/>
  <c r="H43" i="34"/>
  <c r="F112" i="34"/>
  <c r="F25" i="34"/>
  <c r="G88" i="34"/>
  <c r="H88" i="34" s="1"/>
  <c r="I88" i="34" s="1"/>
  <c r="J88" i="34" s="1"/>
  <c r="K88" i="34" s="1"/>
  <c r="L88" i="34" s="1"/>
  <c r="M88" i="34" s="1"/>
  <c r="W25" i="34"/>
  <c r="U38" i="34"/>
  <c r="W21" i="34"/>
  <c r="AC17" i="34"/>
  <c r="U39" i="34"/>
  <c r="S35" i="34"/>
  <c r="S23" i="34"/>
  <c r="AA40" i="34"/>
  <c r="W43" i="34"/>
  <c r="AB40" i="34"/>
  <c r="AC36" i="34"/>
  <c r="U25" i="34"/>
  <c r="AB23" i="34"/>
  <c r="S21" i="34"/>
  <c r="C29" i="39"/>
  <c r="B66" i="43"/>
  <c r="AA12" i="34"/>
  <c r="U10" i="34"/>
  <c r="S10" i="34"/>
  <c r="S9" i="34"/>
  <c r="W8" i="34"/>
  <c r="W47" i="34"/>
  <c r="W31" i="34"/>
  <c r="G7" i="1"/>
  <c r="M6" i="1"/>
  <c r="K4" i="4"/>
  <c r="B46" i="48" s="1"/>
  <c r="B4" i="72" s="1"/>
  <c r="C94" i="9"/>
  <c r="C92" i="9"/>
  <c r="F32" i="78"/>
  <c r="F60" i="78" s="1"/>
  <c r="F28" i="77"/>
  <c r="C28" i="77" s="1"/>
  <c r="F32" i="77"/>
  <c r="F60" i="77" s="1"/>
  <c r="F52" i="9"/>
  <c r="M18" i="67"/>
  <c r="F28" i="15"/>
  <c r="C28" i="15" s="1"/>
  <c r="F54" i="9"/>
  <c r="F28" i="78"/>
  <c r="C28" i="78" s="1"/>
  <c r="M18" i="78"/>
  <c r="M18" i="77"/>
  <c r="F53" i="9"/>
  <c r="F30" i="68"/>
  <c r="F30" i="11"/>
  <c r="F28" i="67"/>
  <c r="C28" i="67" s="1"/>
  <c r="F31" i="12"/>
  <c r="C31" i="12" s="1"/>
  <c r="F32" i="67"/>
  <c r="F60" i="67" s="1"/>
  <c r="F30" i="69"/>
  <c r="F32" i="15"/>
  <c r="F60" i="15" s="1"/>
  <c r="M18" i="15"/>
  <c r="D68" i="9"/>
  <c r="Q52" i="67"/>
  <c r="F1" i="78"/>
  <c r="C36" i="69"/>
  <c r="AR13" i="1"/>
  <c r="T13" i="1"/>
  <c r="B23" i="49"/>
  <c r="E22" i="49"/>
  <c r="E8" i="49"/>
  <c r="B7" i="49"/>
  <c r="E5" i="49"/>
  <c r="E11" i="49"/>
  <c r="E59" i="40"/>
  <c r="AQ12" i="1"/>
  <c r="T12" i="1"/>
  <c r="AR12" i="1"/>
  <c r="F27" i="6"/>
  <c r="F31" i="6" s="1"/>
  <c r="E51" i="40"/>
  <c r="E56" i="39"/>
  <c r="G13" i="3"/>
  <c r="BL13" i="3"/>
  <c r="BL5" i="3" s="1"/>
  <c r="B8" i="49"/>
  <c r="B4" i="49"/>
  <c r="E10" i="49"/>
  <c r="E16" i="49"/>
  <c r="B5" i="49"/>
  <c r="B14" i="49"/>
  <c r="B22" i="49"/>
  <c r="K10" i="1"/>
  <c r="G1" i="78"/>
  <c r="K9" i="1"/>
  <c r="Q16" i="1" s="1"/>
  <c r="F27" i="69" s="1"/>
  <c r="C29" i="69" s="1"/>
  <c r="D27" i="69" s="1"/>
  <c r="O16" i="1"/>
  <c r="L27" i="6"/>
  <c r="P16" i="1"/>
  <c r="C11" i="12" s="1"/>
  <c r="C12" i="12" s="1"/>
  <c r="E28" i="6"/>
  <c r="G30" i="6"/>
  <c r="G31" i="6" s="1"/>
  <c r="AQ13" i="1"/>
  <c r="E15" i="6"/>
  <c r="E60" i="40" s="1"/>
  <c r="D101" i="43"/>
  <c r="S3" i="43"/>
  <c r="T3" i="43" s="1"/>
  <c r="V3" i="43" s="1"/>
  <c r="M101" i="43"/>
  <c r="M104" i="43" s="1"/>
  <c r="S5" i="43"/>
  <c r="T5" i="43" s="1"/>
  <c r="V5" i="43" s="1"/>
  <c r="D3" i="34"/>
  <c r="D9" i="69"/>
  <c r="C9" i="69" s="1"/>
  <c r="E12" i="6"/>
  <c r="E62" i="39" s="1"/>
  <c r="E13" i="6"/>
  <c r="D9" i="68"/>
  <c r="C9" i="68" s="1"/>
  <c r="D19" i="12"/>
  <c r="C19" i="12" s="1"/>
  <c r="C36" i="11"/>
  <c r="E61" i="39"/>
  <c r="E56" i="40"/>
  <c r="G101" i="43"/>
  <c r="J101" i="43"/>
  <c r="F22" i="43"/>
  <c r="F101" i="43"/>
  <c r="E22" i="43"/>
  <c r="H101" i="43"/>
  <c r="S2" i="43"/>
  <c r="T2" i="43" s="1"/>
  <c r="V2" i="43" s="1"/>
  <c r="AH11" i="43"/>
  <c r="AH13" i="43" s="1"/>
  <c r="AD11" i="43"/>
  <c r="AD13" i="43" s="1"/>
  <c r="Z11" i="43"/>
  <c r="Z13" i="43" s="1"/>
  <c r="AI11" i="43"/>
  <c r="AI13" i="43" s="1"/>
  <c r="AE11" i="43"/>
  <c r="AE13" i="43" s="1"/>
  <c r="AA11" i="43"/>
  <c r="AA13" i="43" s="1"/>
  <c r="C23" i="43"/>
  <c r="C21" i="43" s="1"/>
  <c r="C29" i="43" s="1"/>
  <c r="S7" i="43"/>
  <c r="T7" i="43" s="1"/>
  <c r="V7" i="43" s="1"/>
  <c r="E4" i="49"/>
  <c r="B6" i="49"/>
  <c r="E9" i="49"/>
  <c r="E21" i="49"/>
  <c r="B11" i="49"/>
  <c r="B13" i="49"/>
  <c r="B9" i="49"/>
  <c r="E6" i="49"/>
  <c r="E7" i="49"/>
  <c r="B16" i="49"/>
  <c r="B10" i="49"/>
  <c r="G11" i="1"/>
  <c r="C34" i="43"/>
  <c r="C36" i="43"/>
  <c r="I14" i="74"/>
  <c r="B8" i="74" s="1"/>
  <c r="D127" i="9"/>
  <c r="D13" i="52" s="1"/>
  <c r="D12" i="52"/>
  <c r="D20" i="53"/>
  <c r="B40" i="72" s="1"/>
  <c r="D125" i="9"/>
  <c r="D11" i="52" s="1"/>
  <c r="D16" i="53"/>
  <c r="C23" i="12"/>
  <c r="I52" i="33"/>
  <c r="J52" i="33" s="1"/>
  <c r="E48" i="33"/>
  <c r="I53" i="33" s="1"/>
  <c r="J53" i="33" s="1"/>
  <c r="R49" i="33"/>
  <c r="G52" i="33"/>
  <c r="H52" i="33" s="1"/>
  <c r="G53" i="33"/>
  <c r="H53" i="33" s="1"/>
  <c r="U7" i="33"/>
  <c r="J59" i="34"/>
  <c r="K59" i="34" s="1"/>
  <c r="L59" i="34" s="1"/>
  <c r="M59" i="34" s="1"/>
  <c r="N59" i="34" s="1"/>
  <c r="O59" i="34" s="1"/>
  <c r="F7" i="34"/>
  <c r="K48" i="35"/>
  <c r="L48" i="35" s="1"/>
  <c r="M48" i="35" s="1"/>
  <c r="N48" i="35" s="1"/>
  <c r="O48" i="35" s="1"/>
  <c r="F7" i="35"/>
  <c r="J46" i="36"/>
  <c r="K46" i="36" s="1"/>
  <c r="L46" i="36" s="1"/>
  <c r="M46" i="36" s="1"/>
  <c r="N46" i="36" s="1"/>
  <c r="O46" i="36" s="1"/>
  <c r="H7" i="36"/>
  <c r="I58" i="21"/>
  <c r="J58" i="21" s="1"/>
  <c r="K58" i="21" s="1"/>
  <c r="L58" i="21" s="1"/>
  <c r="M58" i="21" s="1"/>
  <c r="N58" i="21" s="1"/>
  <c r="O58" i="21" s="1"/>
  <c r="J7" i="21"/>
  <c r="C33" i="43"/>
  <c r="C35" i="43"/>
  <c r="C38" i="43"/>
  <c r="T11" i="43"/>
  <c r="V11" i="43" s="1"/>
  <c r="T16" i="43"/>
  <c r="V16" i="43" s="1"/>
  <c r="T14" i="43"/>
  <c r="V14" i="43" s="1"/>
  <c r="T12" i="43"/>
  <c r="V12" i="43" s="1"/>
  <c r="T9" i="43"/>
  <c r="V9" i="43" s="1"/>
  <c r="T8" i="43"/>
  <c r="V8" i="43" s="1"/>
  <c r="T15" i="43"/>
  <c r="V15" i="43" s="1"/>
  <c r="T13" i="43"/>
  <c r="V13" i="43" s="1"/>
  <c r="T10" i="43"/>
  <c r="V10" i="43" s="1"/>
  <c r="C39" i="43"/>
  <c r="E39" i="43" s="1"/>
  <c r="C37" i="43"/>
  <c r="C70" i="39"/>
  <c r="D68" i="39"/>
  <c r="F52" i="37"/>
  <c r="D58" i="79"/>
  <c r="E58" i="79" s="1"/>
  <c r="F58" i="79" s="1"/>
  <c r="G58" i="79" s="1"/>
  <c r="H58" i="79" s="1"/>
  <c r="I58" i="79" s="1"/>
  <c r="J58" i="79" s="1"/>
  <c r="K58" i="79" s="1"/>
  <c r="L58" i="79" s="1"/>
  <c r="M58" i="79" s="1"/>
  <c r="N58" i="79" s="1"/>
  <c r="O58" i="79" s="1"/>
  <c r="J7" i="79"/>
  <c r="K1" i="73"/>
  <c r="L48" i="85"/>
  <c r="M9" i="85"/>
  <c r="F16" i="85"/>
  <c r="M6" i="85"/>
  <c r="F38" i="85"/>
  <c r="F6" i="85"/>
  <c r="M24" i="85"/>
  <c r="F8" i="85"/>
  <c r="F26" i="85"/>
  <c r="F13" i="85"/>
  <c r="M23" i="85"/>
  <c r="F36" i="85"/>
  <c r="F37" i="85"/>
  <c r="M22" i="85"/>
  <c r="M8" i="85"/>
  <c r="F7" i="85"/>
  <c r="F40" i="85"/>
  <c r="M27" i="85"/>
  <c r="F9" i="85"/>
  <c r="M26" i="85"/>
  <c r="J15" i="85"/>
  <c r="L47" i="85"/>
  <c r="M28" i="85"/>
  <c r="F42" i="85"/>
  <c r="C76" i="85"/>
  <c r="F7" i="81"/>
  <c r="F43" i="81"/>
  <c r="L48" i="81"/>
  <c r="M29" i="81"/>
  <c r="M24" i="81"/>
  <c r="F37" i="81"/>
  <c r="M27" i="81"/>
  <c r="F26" i="81"/>
  <c r="L47" i="81"/>
  <c r="M9" i="81"/>
  <c r="F13" i="81"/>
  <c r="M8" i="81"/>
  <c r="M6" i="81"/>
  <c r="J15" i="81"/>
  <c r="M22" i="81"/>
  <c r="F16" i="81"/>
  <c r="F42" i="81"/>
  <c r="M26" i="81"/>
  <c r="M23" i="81"/>
  <c r="M28" i="81"/>
  <c r="F38" i="81"/>
  <c r="F6" i="81"/>
  <c r="F40" i="81"/>
  <c r="F36" i="81"/>
  <c r="F8" i="81"/>
  <c r="C76" i="81"/>
  <c r="F9" i="81"/>
  <c r="F7" i="84"/>
  <c r="M27" i="84"/>
  <c r="F40" i="84"/>
  <c r="J15" i="84"/>
  <c r="F16" i="84"/>
  <c r="F8" i="84"/>
  <c r="M24" i="84"/>
  <c r="F37" i="84"/>
  <c r="M23" i="84"/>
  <c r="M6" i="84"/>
  <c r="F26" i="84"/>
  <c r="F38" i="84"/>
  <c r="M28" i="84"/>
  <c r="F13" i="84"/>
  <c r="M22" i="84"/>
  <c r="F36" i="84"/>
  <c r="F6" i="84"/>
  <c r="L47" i="84"/>
  <c r="M9" i="84"/>
  <c r="M8" i="84"/>
  <c r="F42" i="84"/>
  <c r="F9" i="84"/>
  <c r="M26" i="84"/>
  <c r="C76" i="84"/>
  <c r="F43" i="82"/>
  <c r="F7" i="82"/>
  <c r="M29" i="82"/>
  <c r="F37" i="82"/>
  <c r="F8" i="82"/>
  <c r="M28" i="82"/>
  <c r="F26" i="82"/>
  <c r="M9" i="82"/>
  <c r="F36" i="82"/>
  <c r="F16" i="82"/>
  <c r="F42" i="82"/>
  <c r="F9" i="82"/>
  <c r="L47" i="82"/>
  <c r="J15" i="82"/>
  <c r="M26" i="82"/>
  <c r="M8" i="82"/>
  <c r="F40" i="82"/>
  <c r="M23" i="82"/>
  <c r="M24" i="82"/>
  <c r="M6" i="82"/>
  <c r="F38" i="82"/>
  <c r="F6" i="82"/>
  <c r="F13" i="82"/>
  <c r="M22" i="82"/>
  <c r="C76" i="82"/>
  <c r="L48" i="83"/>
  <c r="F42" i="83"/>
  <c r="F38" i="83"/>
  <c r="M9" i="83"/>
  <c r="F6" i="83"/>
  <c r="M27" i="83"/>
  <c r="M28" i="83"/>
  <c r="F16" i="83"/>
  <c r="F40" i="83"/>
  <c r="M24" i="83"/>
  <c r="L47" i="83"/>
  <c r="F13" i="83"/>
  <c r="M22" i="83"/>
  <c r="F37" i="83"/>
  <c r="M26" i="83"/>
  <c r="M8" i="83"/>
  <c r="F26" i="83"/>
  <c r="F36" i="83"/>
  <c r="M6" i="83"/>
  <c r="M23" i="83"/>
  <c r="J15" i="83"/>
  <c r="C76" i="83"/>
  <c r="F8" i="83"/>
  <c r="F9" i="83"/>
  <c r="M29" i="85"/>
  <c r="L48" i="84"/>
  <c r="F43" i="85"/>
  <c r="L48" i="82"/>
  <c r="F51" i="83" l="1"/>
  <c r="Q71" i="83"/>
  <c r="F64" i="83"/>
  <c r="C27" i="83"/>
  <c r="F65" i="83"/>
  <c r="L58" i="83"/>
  <c r="Q73" i="83" s="1"/>
  <c r="F68" i="83"/>
  <c r="F66" i="83"/>
  <c r="J53" i="83"/>
  <c r="Q71" i="82"/>
  <c r="C6" i="82"/>
  <c r="F66" i="82"/>
  <c r="F68" i="82"/>
  <c r="F64" i="82"/>
  <c r="C27" i="82"/>
  <c r="F51" i="82"/>
  <c r="F65" i="82"/>
  <c r="M7" i="82"/>
  <c r="J6" i="82" s="1"/>
  <c r="F50" i="82"/>
  <c r="F71" i="82"/>
  <c r="Q71" i="84"/>
  <c r="C6" i="84"/>
  <c r="F64" i="84"/>
  <c r="F66" i="84"/>
  <c r="C27" i="84"/>
  <c r="F65" i="84"/>
  <c r="F51" i="84"/>
  <c r="F68" i="84"/>
  <c r="F50" i="84"/>
  <c r="C49" i="84" s="1"/>
  <c r="M7" i="84"/>
  <c r="J6" i="84" s="1"/>
  <c r="Q71" i="81"/>
  <c r="F51" i="81"/>
  <c r="F64" i="81"/>
  <c r="F68" i="81"/>
  <c r="C6" i="81"/>
  <c r="F66" i="81"/>
  <c r="L58" i="81"/>
  <c r="C27" i="81"/>
  <c r="F65" i="81"/>
  <c r="J53" i="81"/>
  <c r="F1" i="81" s="1"/>
  <c r="I54" i="81"/>
  <c r="F71" i="81"/>
  <c r="M7" i="81"/>
  <c r="J6" i="81" s="1"/>
  <c r="F50" i="81"/>
  <c r="C49" i="81" s="1"/>
  <c r="Q71" i="85"/>
  <c r="L58" i="85"/>
  <c r="Q73" i="85" s="1"/>
  <c r="F68" i="85"/>
  <c r="M7" i="85"/>
  <c r="J6" i="85" s="1"/>
  <c r="F50" i="85"/>
  <c r="F65" i="85"/>
  <c r="F64" i="85"/>
  <c r="C27" i="85"/>
  <c r="F51" i="85"/>
  <c r="C49" i="85" s="1"/>
  <c r="C6" i="85"/>
  <c r="F66" i="85"/>
  <c r="J57" i="85"/>
  <c r="J55" i="85" s="1"/>
  <c r="J58" i="85" s="1"/>
  <c r="Q50" i="85" s="1"/>
  <c r="I54" i="85"/>
  <c r="L56" i="85"/>
  <c r="J53" i="85"/>
  <c r="F1" i="85" s="1"/>
  <c r="J22" i="43"/>
  <c r="S4" i="43"/>
  <c r="T4" i="43" s="1"/>
  <c r="V4" i="43" s="1"/>
  <c r="Y11" i="43"/>
  <c r="Y13" i="43" s="1"/>
  <c r="AC11" i="43"/>
  <c r="AC13" i="43" s="1"/>
  <c r="AG11" i="43"/>
  <c r="AG13" i="43" s="1"/>
  <c r="Z7" i="43"/>
  <c r="AB11" i="43"/>
  <c r="AB13" i="43" s="1"/>
  <c r="AF11" i="43"/>
  <c r="AF13" i="43" s="1"/>
  <c r="AJ11" i="43"/>
  <c r="AJ13" i="43" s="1"/>
  <c r="G22" i="43"/>
  <c r="L101" i="43"/>
  <c r="L105" i="43" s="1"/>
  <c r="N101" i="43"/>
  <c r="K101" i="43"/>
  <c r="K102" i="43" s="1"/>
  <c r="N104" i="46"/>
  <c r="C101" i="43"/>
  <c r="C107" i="43" s="1"/>
  <c r="B113" i="43"/>
  <c r="S6" i="43"/>
  <c r="T6" i="43" s="1"/>
  <c r="V6" i="43" s="1"/>
  <c r="E101" i="43"/>
  <c r="E106" i="43" s="1"/>
  <c r="H22" i="43"/>
  <c r="E103" i="43"/>
  <c r="AZ13" i="3"/>
  <c r="AZ5" i="3" s="1"/>
  <c r="E3" i="6" s="1"/>
  <c r="E27" i="6"/>
  <c r="K26" i="6" s="1"/>
  <c r="M26" i="6" s="1"/>
  <c r="I26" i="6" s="1"/>
  <c r="S26" i="6" s="1"/>
  <c r="F71" i="85"/>
  <c r="E65" i="39"/>
  <c r="G63" i="40"/>
  <c r="F65" i="40"/>
  <c r="N59" i="81"/>
  <c r="M59" i="81"/>
  <c r="L59" i="81"/>
  <c r="L59" i="83"/>
  <c r="N59" i="83"/>
  <c r="M59" i="83"/>
  <c r="J7" i="34"/>
  <c r="H7" i="34"/>
  <c r="J57" i="83"/>
  <c r="J55" i="83" s="1"/>
  <c r="J58" i="83" s="1"/>
  <c r="Q50" i="83" s="1"/>
  <c r="I54" i="83"/>
  <c r="J57" i="81"/>
  <c r="J55" i="81" s="1"/>
  <c r="J58" i="81" s="1"/>
  <c r="Q50" i="81" s="1"/>
  <c r="N59" i="84"/>
  <c r="M59" i="84"/>
  <c r="L59" i="84"/>
  <c r="N59" i="82"/>
  <c r="M59" i="82"/>
  <c r="L59" i="82"/>
  <c r="N59" i="85"/>
  <c r="M59" i="85"/>
  <c r="L59" i="85"/>
  <c r="J53" i="82"/>
  <c r="Q52" i="82" s="1"/>
  <c r="J57" i="82"/>
  <c r="J55" i="82" s="1"/>
  <c r="J58" i="82" s="1"/>
  <c r="Q50" i="82" s="1"/>
  <c r="L58" i="82"/>
  <c r="Q73" i="82" s="1"/>
  <c r="I54" i="82"/>
  <c r="L58" i="84"/>
  <c r="Q60" i="84" s="1"/>
  <c r="I54" i="84"/>
  <c r="L56" i="84"/>
  <c r="J53" i="84"/>
  <c r="Q52" i="84" s="1"/>
  <c r="J57" i="84"/>
  <c r="J55" i="84" s="1"/>
  <c r="J58" i="84" s="1"/>
  <c r="Q50" i="84" s="1"/>
  <c r="G8" i="1"/>
  <c r="G10" i="1"/>
  <c r="AB43" i="34"/>
  <c r="U43" i="34"/>
  <c r="H37" i="34"/>
  <c r="G112" i="34"/>
  <c r="S25" i="34"/>
  <c r="AA25" i="34"/>
  <c r="L56" i="81"/>
  <c r="Q52" i="81"/>
  <c r="L56" i="82"/>
  <c r="Q60" i="85"/>
  <c r="Q52" i="85"/>
  <c r="Q60" i="83"/>
  <c r="L56" i="83"/>
  <c r="Q52" i="83"/>
  <c r="F1" i="83"/>
  <c r="Q60" i="81"/>
  <c r="Q73" i="81"/>
  <c r="E104" i="43"/>
  <c r="I106" i="43"/>
  <c r="H16" i="1"/>
  <c r="M9" i="1"/>
  <c r="M10" i="1"/>
  <c r="C30" i="68"/>
  <c r="C48" i="68"/>
  <c r="C48" i="69"/>
  <c r="C30" i="69"/>
  <c r="C48" i="11"/>
  <c r="C30" i="11"/>
  <c r="C17" i="4"/>
  <c r="B4" i="52" s="1"/>
  <c r="B43" i="72" s="1"/>
  <c r="D3" i="21"/>
  <c r="D3" i="79"/>
  <c r="D19" i="11"/>
  <c r="C19" i="11" s="1"/>
  <c r="C20" i="11" s="1"/>
  <c r="G5" i="3"/>
  <c r="B3" i="3" s="1"/>
  <c r="E13" i="3" s="1"/>
  <c r="M109" i="43"/>
  <c r="F27" i="68"/>
  <c r="C29" i="68" s="1"/>
  <c r="D27" i="68" s="1"/>
  <c r="E102" i="43"/>
  <c r="E109" i="43"/>
  <c r="E107" i="43"/>
  <c r="K20" i="6"/>
  <c r="M20" i="6" s="1"/>
  <c r="I20" i="6" s="1"/>
  <c r="I102" i="43"/>
  <c r="K23" i="6"/>
  <c r="S10" i="1" s="1"/>
  <c r="E10" i="70" s="1"/>
  <c r="K25" i="6"/>
  <c r="M25" i="6" s="1"/>
  <c r="I25" i="6" s="1"/>
  <c r="S25" i="6" s="1"/>
  <c r="M106" i="43"/>
  <c r="M107" i="43"/>
  <c r="F27" i="11"/>
  <c r="C28" i="11" s="1"/>
  <c r="C27" i="11" s="1"/>
  <c r="C15" i="12"/>
  <c r="C47" i="69"/>
  <c r="D45" i="69" s="1"/>
  <c r="F28" i="12"/>
  <c r="C29" i="12" s="1"/>
  <c r="D28" i="12" s="1"/>
  <c r="M105" i="43"/>
  <c r="D37" i="11"/>
  <c r="C37" i="11" s="1"/>
  <c r="D3" i="33"/>
  <c r="K14" i="1"/>
  <c r="E30" i="6"/>
  <c r="E31" i="6" s="1"/>
  <c r="I109" i="43"/>
  <c r="I107" i="43"/>
  <c r="I104" i="43"/>
  <c r="I105" i="43"/>
  <c r="M102" i="43"/>
  <c r="M103" i="43"/>
  <c r="D109" i="43"/>
  <c r="D103" i="43"/>
  <c r="D104" i="43"/>
  <c r="D107" i="43"/>
  <c r="D105" i="43"/>
  <c r="D106" i="43"/>
  <c r="D102" i="43"/>
  <c r="E57" i="40"/>
  <c r="E16" i="6"/>
  <c r="E58" i="40"/>
  <c r="E63" i="39"/>
  <c r="E66" i="39" s="1"/>
  <c r="L102" i="43"/>
  <c r="L104" i="43"/>
  <c r="L106" i="43"/>
  <c r="L103" i="43"/>
  <c r="N102" i="43"/>
  <c r="N105" i="43"/>
  <c r="N104" i="43"/>
  <c r="N103" i="43"/>
  <c r="N107" i="43"/>
  <c r="N109" i="43"/>
  <c r="N106" i="43"/>
  <c r="K103" i="43"/>
  <c r="K105" i="43"/>
  <c r="K106" i="43"/>
  <c r="K104" i="43"/>
  <c r="H102" i="43"/>
  <c r="H103" i="43"/>
  <c r="H104" i="43"/>
  <c r="H107" i="43"/>
  <c r="H106" i="43"/>
  <c r="H105" i="43"/>
  <c r="H109" i="43"/>
  <c r="D22" i="43"/>
  <c r="F104" i="43"/>
  <c r="F102" i="43"/>
  <c r="F105" i="43"/>
  <c r="F106" i="43"/>
  <c r="F103" i="43"/>
  <c r="F109" i="43"/>
  <c r="F107" i="43"/>
  <c r="J104" i="43"/>
  <c r="J107" i="43"/>
  <c r="J102" i="43"/>
  <c r="J103" i="43"/>
  <c r="J109" i="43"/>
  <c r="J105" i="43"/>
  <c r="J106" i="43"/>
  <c r="G105" i="43"/>
  <c r="G107" i="43"/>
  <c r="G104" i="43"/>
  <c r="G106" i="43"/>
  <c r="G109" i="43"/>
  <c r="G102" i="43"/>
  <c r="G103" i="43"/>
  <c r="C104" i="43"/>
  <c r="C103" i="43"/>
  <c r="C106"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E36" i="43"/>
  <c r="G36" i="43"/>
  <c r="I36" i="43" s="1"/>
  <c r="E34" i="43"/>
  <c r="G34" i="43"/>
  <c r="I34" i="43" s="1"/>
  <c r="C30" i="43"/>
  <c r="E30" i="43" s="1"/>
  <c r="E29" i="43"/>
  <c r="D17" i="53"/>
  <c r="B36" i="72" s="1"/>
  <c r="B34" i="72"/>
  <c r="H7" i="79"/>
  <c r="F7" i="79"/>
  <c r="D70" i="39"/>
  <c r="E68" i="39"/>
  <c r="E37" i="43"/>
  <c r="G37" i="43"/>
  <c r="I37" i="43" s="1"/>
  <c r="G35" i="43"/>
  <c r="I35" i="43" s="1"/>
  <c r="E35" i="43"/>
  <c r="W7" i="34"/>
  <c r="AC7" i="34"/>
  <c r="H7" i="21"/>
  <c r="F7" i="21"/>
  <c r="J7" i="36"/>
  <c r="F7" i="36"/>
  <c r="J7" i="35"/>
  <c r="H7" i="35"/>
  <c r="S7" i="34"/>
  <c r="AA7" i="34"/>
  <c r="C49" i="33"/>
  <c r="C48" i="33"/>
  <c r="AC7" i="79"/>
  <c r="V48" i="79" s="1"/>
  <c r="I48" i="79" s="1"/>
  <c r="W7" i="79"/>
  <c r="G52" i="37"/>
  <c r="H52" i="37" s="1"/>
  <c r="I52" i="37" s="1"/>
  <c r="J52" i="37" s="1"/>
  <c r="K52" i="37" s="1"/>
  <c r="L52" i="37" s="1"/>
  <c r="M52" i="37" s="1"/>
  <c r="N52" i="37" s="1"/>
  <c r="O52" i="37" s="1"/>
  <c r="G38" i="43"/>
  <c r="I38" i="43" s="1"/>
  <c r="E38" i="43"/>
  <c r="G33" i="43"/>
  <c r="I33" i="43" s="1"/>
  <c r="E33" i="43"/>
  <c r="H7" i="37"/>
  <c r="AC7" i="21"/>
  <c r="V48" i="21" s="1"/>
  <c r="I48" i="21" s="1"/>
  <c r="W7" i="21"/>
  <c r="U7" i="36"/>
  <c r="AB7" i="36"/>
  <c r="T36" i="36" s="1"/>
  <c r="G36" i="36" s="1"/>
  <c r="AA7" i="35"/>
  <c r="R38" i="35" s="1"/>
  <c r="S7" i="35"/>
  <c r="U7" i="34"/>
  <c r="AB7" i="34"/>
  <c r="E53" i="33"/>
  <c r="F53" i="33" s="1"/>
  <c r="E52" i="33"/>
  <c r="F52" i="33" s="1"/>
  <c r="C105" i="43" l="1"/>
  <c r="C109" i="43"/>
  <c r="K109" i="43"/>
  <c r="K107" i="43"/>
  <c r="L107" i="43"/>
  <c r="L109" i="43"/>
  <c r="C49" i="82"/>
  <c r="K22" i="6"/>
  <c r="E105" i="43"/>
  <c r="K21" i="6"/>
  <c r="K19" i="6"/>
  <c r="K27" i="6" s="1"/>
  <c r="K24" i="6"/>
  <c r="D3" i="37"/>
  <c r="M18" i="9"/>
  <c r="B118" i="9" s="1"/>
  <c r="B14" i="74" s="1"/>
  <c r="B1" i="74" s="1"/>
  <c r="L18" i="9"/>
  <c r="D14" i="12"/>
  <c r="E6" i="6"/>
  <c r="Q61" i="85"/>
  <c r="Q74" i="85"/>
  <c r="Q61" i="84"/>
  <c r="Q74" i="84"/>
  <c r="Q74" i="83"/>
  <c r="Q61" i="83"/>
  <c r="Q61" i="82"/>
  <c r="Q74" i="82"/>
  <c r="Q74" i="81"/>
  <c r="Q61" i="81"/>
  <c r="H63" i="40"/>
  <c r="G65" i="40"/>
  <c r="F1" i="84"/>
  <c r="Q60" i="82"/>
  <c r="F1" i="82"/>
  <c r="Q73" i="84"/>
  <c r="G16" i="1"/>
  <c r="F10" i="39" s="1"/>
  <c r="T49" i="34"/>
  <c r="G49" i="34" s="1"/>
  <c r="H112" i="34"/>
  <c r="I112" i="34" s="1"/>
  <c r="J112" i="34" s="1"/>
  <c r="K112" i="34" s="1"/>
  <c r="L112" i="34" s="1"/>
  <c r="M112" i="34" s="1"/>
  <c r="F37" i="34"/>
  <c r="J37" i="34"/>
  <c r="U37" i="34"/>
  <c r="AB37" i="34"/>
  <c r="C47" i="68"/>
  <c r="D45" i="68" s="1"/>
  <c r="S7" i="1"/>
  <c r="T7" i="1" s="1"/>
  <c r="M23" i="6"/>
  <c r="I23" i="6" s="1"/>
  <c r="S23" i="6" s="1"/>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98" i="3"/>
  <c r="E61" i="3"/>
  <c r="E290" i="3"/>
  <c r="E117" i="3"/>
  <c r="E45" i="3"/>
  <c r="E224" i="3"/>
  <c r="E193" i="3"/>
  <c r="E313" i="3"/>
  <c r="E519" i="3"/>
  <c r="E532" i="3"/>
  <c r="E573" i="3"/>
  <c r="E529" i="3"/>
  <c r="E458" i="3"/>
  <c r="E474" i="3"/>
  <c r="E527" i="3"/>
  <c r="E438" i="3"/>
  <c r="E457" i="3"/>
  <c r="E288" i="3"/>
  <c r="E562"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9" i="3"/>
  <c r="E161" i="3"/>
  <c r="E277" i="3"/>
  <c r="E133" i="3"/>
  <c r="K6" i="3"/>
  <c r="E560" i="3"/>
  <c r="E472" i="3"/>
  <c r="E406" i="3"/>
  <c r="E465" i="3"/>
  <c r="E587" i="3"/>
  <c r="E54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67" i="3"/>
  <c r="E144" i="3"/>
  <c r="E184" i="3"/>
  <c r="E233" i="3"/>
  <c r="E355" i="3"/>
  <c r="E381" i="3"/>
  <c r="E51" i="3"/>
  <c r="E19" i="3"/>
  <c r="E81" i="3"/>
  <c r="E118" i="3"/>
  <c r="E264" i="3"/>
  <c r="E283" i="3"/>
  <c r="E309" i="3"/>
  <c r="E513" i="3"/>
  <c r="E21" i="3"/>
  <c r="E135" i="3"/>
  <c r="E120" i="3"/>
  <c r="E177" i="3"/>
  <c r="E330" i="3"/>
  <c r="Q6" i="3"/>
  <c r="E437" i="3"/>
  <c r="E481" i="3"/>
  <c r="E424" i="3"/>
  <c r="E344"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33" i="3"/>
  <c r="E87" i="3"/>
  <c r="E127" i="3"/>
  <c r="E250" i="3"/>
  <c r="E284" i="3"/>
  <c r="E341" i="3"/>
  <c r="Y6" i="3"/>
  <c r="E68" i="3"/>
  <c r="E63"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AY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S20" i="6"/>
  <c r="F10" i="40"/>
  <c r="S10" i="40" s="1"/>
  <c r="AQ10" i="1"/>
  <c r="T10" i="1"/>
  <c r="AR10" i="1"/>
  <c r="C47" i="11"/>
  <c r="D45" i="11" s="1"/>
  <c r="C29" i="11"/>
  <c r="D27" i="11" s="1"/>
  <c r="M14" i="1"/>
  <c r="K16" i="1"/>
  <c r="C34" i="69"/>
  <c r="C26" i="43"/>
  <c r="B2" i="43" s="1"/>
  <c r="C115" i="43"/>
  <c r="D113" i="43" s="1"/>
  <c r="C27" i="43"/>
  <c r="E38" i="35"/>
  <c r="R39" i="35"/>
  <c r="I52" i="21"/>
  <c r="J52" i="21" s="1"/>
  <c r="J7" i="37"/>
  <c r="I52" i="79"/>
  <c r="J52" i="79" s="1"/>
  <c r="W7" i="35"/>
  <c r="AC7" i="35"/>
  <c r="V38" i="35" s="1"/>
  <c r="I38" i="35" s="1"/>
  <c r="AC7" i="36"/>
  <c r="V36" i="36" s="1"/>
  <c r="I36" i="36" s="1"/>
  <c r="W7" i="36"/>
  <c r="AB7" i="21"/>
  <c r="T48" i="21" s="1"/>
  <c r="G48" i="21" s="1"/>
  <c r="U7" i="21"/>
  <c r="AB7" i="79"/>
  <c r="T48" i="79" s="1"/>
  <c r="G48" i="79" s="1"/>
  <c r="U7" i="79"/>
  <c r="G53" i="34"/>
  <c r="H53" i="34" s="1"/>
  <c r="G40" i="36"/>
  <c r="H40" i="36" s="1"/>
  <c r="U7" i="37"/>
  <c r="AB7" i="37"/>
  <c r="T42" i="37" s="1"/>
  <c r="G42" i="37" s="1"/>
  <c r="U7" i="35"/>
  <c r="AB7" i="35"/>
  <c r="T38" i="35" s="1"/>
  <c r="G38" i="35" s="1"/>
  <c r="S7" i="36"/>
  <c r="AA7" i="36"/>
  <c r="R36" i="36" s="1"/>
  <c r="S7" i="21"/>
  <c r="AA7" i="21"/>
  <c r="R48" i="21" s="1"/>
  <c r="E70" i="39"/>
  <c r="F68" i="39"/>
  <c r="S7" i="79"/>
  <c r="AA7" i="79"/>
  <c r="R48" i="79" s="1"/>
  <c r="F7" i="37"/>
  <c r="M22" i="6" l="1"/>
  <c r="I22" i="6" s="1"/>
  <c r="S22" i="6" s="1"/>
  <c r="S9" i="1"/>
  <c r="D10" i="68"/>
  <c r="D10" i="69"/>
  <c r="D20" i="12"/>
  <c r="C20" i="12" s="1"/>
  <c r="C18" i="12" s="1"/>
  <c r="D10" i="11"/>
  <c r="C10" i="11" s="1"/>
  <c r="M19" i="6"/>
  <c r="S6" i="1"/>
  <c r="D17" i="12"/>
  <c r="C17" i="12" s="1"/>
  <c r="C14" i="12"/>
  <c r="C16" i="12" s="1"/>
  <c r="C7" i="74"/>
  <c r="C8" i="74"/>
  <c r="S11" i="1"/>
  <c r="M24" i="6"/>
  <c r="I24" i="6" s="1"/>
  <c r="S24" i="6" s="1"/>
  <c r="M21" i="6"/>
  <c r="I21" i="6" s="1"/>
  <c r="S21" i="6" s="1"/>
  <c r="S8" i="1"/>
  <c r="I63" i="40"/>
  <c r="H65" i="40"/>
  <c r="H10" i="39"/>
  <c r="J10" i="39"/>
  <c r="AC10" i="39" s="1"/>
  <c r="H10" i="40"/>
  <c r="J10" i="40"/>
  <c r="S10" i="39"/>
  <c r="AA10" i="39"/>
  <c r="AQ7" i="1"/>
  <c r="AR7" i="1"/>
  <c r="AA37" i="34"/>
  <c r="R49" i="34" s="1"/>
  <c r="S37" i="34"/>
  <c r="AC37" i="34"/>
  <c r="V49" i="34" s="1"/>
  <c r="I49" i="34" s="1"/>
  <c r="W37" i="34"/>
  <c r="AA10" i="40"/>
  <c r="E7" i="70"/>
  <c r="H6" i="3"/>
  <c r="AY103" i="3"/>
  <c r="AY82" i="3"/>
  <c r="AY191" i="3"/>
  <c r="AY132" i="3"/>
  <c r="AY31" i="3"/>
  <c r="AY292" i="3"/>
  <c r="AY147" i="3"/>
  <c r="AY220" i="3"/>
  <c r="AY350" i="3"/>
  <c r="AY486" i="3"/>
  <c r="AY425" i="3"/>
  <c r="AY199" i="3"/>
  <c r="AY244" i="3"/>
  <c r="AY355" i="3"/>
  <c r="AY481" i="3"/>
  <c r="AY404" i="3"/>
  <c r="AY562" i="3"/>
  <c r="BO6" i="3"/>
  <c r="AY98" i="3"/>
  <c r="AY18" i="3"/>
  <c r="AY171" i="3"/>
  <c r="AY90" i="3"/>
  <c r="AY163" i="3"/>
  <c r="AY75" i="3"/>
  <c r="AY237" i="3"/>
  <c r="AY387" i="3"/>
  <c r="AY334" i="3"/>
  <c r="AY526" i="3"/>
  <c r="AY390" i="3"/>
  <c r="AY447" i="3"/>
  <c r="AY574" i="3"/>
  <c r="AY444" i="3"/>
  <c r="AY269" i="3"/>
  <c r="AY311" i="3"/>
  <c r="AY535" i="3"/>
  <c r="AY540" i="3"/>
  <c r="AY557" i="3"/>
  <c r="AY436" i="3"/>
  <c r="AY326" i="3"/>
  <c r="AY379" i="3"/>
  <c r="AY229" i="3"/>
  <c r="AY43" i="3"/>
  <c r="AY412" i="3"/>
  <c r="AY489" i="3"/>
  <c r="AY363" i="3"/>
  <c r="AY252" i="3"/>
  <c r="AY204" i="3"/>
  <c r="AY123" i="3"/>
  <c r="AY74" i="3"/>
  <c r="AY139" i="3"/>
  <c r="AY196" i="3"/>
  <c r="AY67"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34" i="3"/>
  <c r="AY95" i="3"/>
  <c r="AY111" i="3"/>
  <c r="AY382" i="3"/>
  <c r="AY460" i="3"/>
  <c r="AY300" i="3"/>
  <c r="AY327" i="3"/>
  <c r="AY401"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207" i="3"/>
  <c r="AY42" i="3"/>
  <c r="AY168" i="3"/>
  <c r="AY366" i="3"/>
  <c r="AY441" i="3"/>
  <c r="AY260" i="3"/>
  <c r="AY310" i="3"/>
  <c r="AY549" i="3"/>
  <c r="AY555" i="3"/>
  <c r="AY85" i="3"/>
  <c r="AY68" i="3"/>
  <c r="AY25" i="3"/>
  <c r="AY178" i="3"/>
  <c r="AY157" i="3"/>
  <c r="AY117" i="3"/>
  <c r="AY271" i="3"/>
  <c r="AY254" i="3"/>
  <c r="AY211" i="3"/>
  <c r="AY365" i="3"/>
  <c r="BI6" i="3"/>
  <c r="AY57" i="3"/>
  <c r="AY24" i="3"/>
  <c r="AY197" i="3"/>
  <c r="AY177" i="3"/>
  <c r="AY114" i="3"/>
  <c r="AY573" i="3"/>
  <c r="AY478" i="3"/>
  <c r="AY212" i="3"/>
  <c r="AY497" i="3"/>
  <c r="AY319" i="3"/>
  <c r="AY284" i="3"/>
  <c r="AY183" i="3"/>
  <c r="AY160" i="3"/>
  <c r="AY83" i="3"/>
  <c r="AY155" i="3"/>
  <c r="AY131" i="3"/>
  <c r="AY268" i="3"/>
  <c r="AY318" i="3"/>
  <c r="AY106" i="3"/>
  <c r="AY395" i="3"/>
  <c r="AY452" i="3"/>
  <c r="AY569" i="3"/>
  <c r="AY97" i="3"/>
  <c r="AY61" i="3"/>
  <c r="AY44" i="3"/>
  <c r="AY190" i="3"/>
  <c r="AY154" i="3"/>
  <c r="AY133" i="3"/>
  <c r="AY283" i="3"/>
  <c r="AY247" i="3"/>
  <c r="AY230" i="3"/>
  <c r="AY397" i="3"/>
  <c r="AY360" i="3"/>
  <c r="AY109" i="3"/>
  <c r="AY87" i="3"/>
  <c r="AY152" i="3"/>
  <c r="AY303" i="3"/>
  <c r="AY217" i="3"/>
  <c r="AY544" i="3"/>
  <c r="AY69" i="3"/>
  <c r="AY198" i="3"/>
  <c r="AY141" i="3"/>
  <c r="AY255" i="3"/>
  <c r="AY384" i="3"/>
  <c r="BB6"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124" i="3"/>
  <c r="AY236" i="3"/>
  <c r="AY26" i="3"/>
  <c r="AY420" i="3"/>
  <c r="AY89" i="3"/>
  <c r="AY36" i="3"/>
  <c r="AY146" i="3"/>
  <c r="AY302" i="3"/>
  <c r="AY222" i="3"/>
  <c r="BS6"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394"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83"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6"/>
  <c r="AY417" i="3"/>
  <c r="AY343" i="3"/>
  <c r="AY116" i="3"/>
  <c r="AY455" i="3"/>
  <c r="AY209" i="3"/>
  <c r="AY261" i="3"/>
  <c r="AY289" i="3"/>
  <c r="AY50" i="3"/>
  <c r="AY23" i="3"/>
  <c r="AY59" i="3"/>
  <c r="AY58" i="3"/>
  <c r="AY371" i="3"/>
  <c r="AY428" i="3"/>
  <c r="AY245" i="3"/>
  <c r="AY342" i="3"/>
  <c r="AY513" i="3"/>
  <c r="BE6" i="3"/>
  <c r="AY92" i="3"/>
  <c r="AY76" i="3"/>
  <c r="AY33" i="3"/>
  <c r="AY185" i="3"/>
  <c r="AY165" i="3"/>
  <c r="AY125" i="3"/>
  <c r="AY278" i="3"/>
  <c r="AY262" i="3"/>
  <c r="AY219" i="3"/>
  <c r="AY374" i="3"/>
  <c r="BH6" i="3"/>
  <c r="AY73" i="3"/>
  <c r="AY144" i="3"/>
  <c r="AY253" i="3"/>
  <c r="AY529" i="3"/>
  <c r="AY463" i="3"/>
  <c r="AY105" i="3"/>
  <c r="AY52" i="3"/>
  <c r="AY162" i="3"/>
  <c r="AY291" i="3"/>
  <c r="AY238" i="3"/>
  <c r="AY368"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51" i="3"/>
  <c r="AY281" i="3"/>
  <c r="AY473" i="3"/>
  <c r="AY372" i="3"/>
  <c r="AY533" i="3"/>
  <c r="AY53" i="3"/>
  <c r="AY182" i="3"/>
  <c r="AY126" i="3"/>
  <c r="AY239" i="3"/>
  <c r="AY389" i="3"/>
  <c r="AY93" i="3"/>
  <c r="AY202" i="3"/>
  <c r="AY145"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16"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C35" i="69"/>
  <c r="C38" i="69"/>
  <c r="M16" i="1"/>
  <c r="G53" i="79"/>
  <c r="H53" i="79" s="1"/>
  <c r="G52" i="79"/>
  <c r="H52" i="79" s="1"/>
  <c r="G52" i="21"/>
  <c r="H52" i="21" s="1"/>
  <c r="G53" i="21"/>
  <c r="H53" i="21" s="1"/>
  <c r="I40" i="36"/>
  <c r="J40" i="36" s="1"/>
  <c r="B3" i="43"/>
  <c r="E43" i="35"/>
  <c r="F43" i="35" s="1"/>
  <c r="E42" i="35"/>
  <c r="F42" i="35" s="1"/>
  <c r="AA7" i="37"/>
  <c r="R42" i="37" s="1"/>
  <c r="S7" i="37"/>
  <c r="E48" i="79"/>
  <c r="R49" i="79"/>
  <c r="G68" i="39"/>
  <c r="F70" i="39"/>
  <c r="E48" i="21"/>
  <c r="R49" i="21"/>
  <c r="R37" i="36"/>
  <c r="E36" i="36"/>
  <c r="G42" i="35"/>
  <c r="H42" i="35" s="1"/>
  <c r="G43" i="35"/>
  <c r="H43" i="35" s="1"/>
  <c r="G46" i="37"/>
  <c r="H46" i="37" s="1"/>
  <c r="G41" i="36"/>
  <c r="H41" i="36" s="1"/>
  <c r="I42" i="35"/>
  <c r="J42" i="35" s="1"/>
  <c r="I43" i="35"/>
  <c r="J43" i="35" s="1"/>
  <c r="W7" i="37"/>
  <c r="AC7" i="37"/>
  <c r="V42" i="37" s="1"/>
  <c r="I42" i="37" s="1"/>
  <c r="C39" i="35"/>
  <c r="C38" i="35"/>
  <c r="F13" i="78"/>
  <c r="F9" i="78"/>
  <c r="M22" i="78"/>
  <c r="M8" i="77"/>
  <c r="F36" i="15"/>
  <c r="M22" i="77"/>
  <c r="F16" i="15"/>
  <c r="M29" i="78"/>
  <c r="E2" i="68"/>
  <c r="M24" i="67"/>
  <c r="F26" i="77"/>
  <c r="F42" i="15"/>
  <c r="F7" i="78"/>
  <c r="L47" i="78"/>
  <c r="F7" i="83"/>
  <c r="F13" i="67"/>
  <c r="F43" i="83"/>
  <c r="M6" i="77"/>
  <c r="C16" i="81"/>
  <c r="F9" i="67"/>
  <c r="C16" i="85"/>
  <c r="F16" i="77"/>
  <c r="D2" i="37"/>
  <c r="E2" i="69"/>
  <c r="F16" i="67"/>
  <c r="D6" i="73"/>
  <c r="M24" i="15"/>
  <c r="D4" i="73"/>
  <c r="F8" i="77"/>
  <c r="E12" i="76"/>
  <c r="AE9" i="1"/>
  <c r="L47" i="77"/>
  <c r="M28" i="78"/>
  <c r="F36" i="78"/>
  <c r="M23" i="67"/>
  <c r="F6" i="15"/>
  <c r="F36" i="67"/>
  <c r="E7" i="76"/>
  <c r="E6" i="76"/>
  <c r="C14" i="84"/>
  <c r="C17" i="81"/>
  <c r="F26" i="15"/>
  <c r="F4" i="73"/>
  <c r="M6" i="15"/>
  <c r="F16" i="78"/>
  <c r="L47" i="15"/>
  <c r="F36" i="77"/>
  <c r="F40" i="77"/>
  <c r="M29" i="77"/>
  <c r="C76" i="77"/>
  <c r="E9" i="76"/>
  <c r="B10" i="76"/>
  <c r="F7" i="73"/>
  <c r="J15" i="78"/>
  <c r="F13" i="15"/>
  <c r="M26" i="67"/>
  <c r="L47" i="67"/>
  <c r="L48" i="78"/>
  <c r="F37" i="77"/>
  <c r="L48" i="15"/>
  <c r="M9" i="15"/>
  <c r="B9" i="76"/>
  <c r="AE11" i="1"/>
  <c r="F40" i="78"/>
  <c r="M23" i="15"/>
  <c r="F42" i="78"/>
  <c r="F40" i="15"/>
  <c r="F41" i="83"/>
  <c r="C76" i="15"/>
  <c r="B13" i="76"/>
  <c r="F37" i="67"/>
  <c r="F42" i="77"/>
  <c r="D5" i="73"/>
  <c r="F43" i="15"/>
  <c r="M29" i="15"/>
  <c r="F9" i="77"/>
  <c r="F3" i="73"/>
  <c r="M6" i="67"/>
  <c r="AE8" i="1"/>
  <c r="B7" i="76"/>
  <c r="L48" i="77"/>
  <c r="C14" i="81"/>
  <c r="E13" i="76"/>
  <c r="F20" i="31"/>
  <c r="F41" i="82"/>
  <c r="M28" i="67"/>
  <c r="D2" i="79"/>
  <c r="F9" i="15"/>
  <c r="L48" i="67"/>
  <c r="M9" i="67"/>
  <c r="M29" i="67"/>
  <c r="F38" i="15"/>
  <c r="F6" i="67"/>
  <c r="F37" i="15"/>
  <c r="D2" i="33"/>
  <c r="AO13" i="1"/>
  <c r="F38" i="67"/>
  <c r="D2" i="36"/>
  <c r="F13" i="77"/>
  <c r="M8" i="67"/>
  <c r="M28" i="77"/>
  <c r="M22" i="67"/>
  <c r="B11" i="76"/>
  <c r="M26" i="15"/>
  <c r="D7" i="73"/>
  <c r="D2" i="34"/>
  <c r="J15" i="67"/>
  <c r="D2" i="35"/>
  <c r="F26" i="67"/>
  <c r="M8" i="15"/>
  <c r="E11" i="76"/>
  <c r="F6" i="73"/>
  <c r="B12" i="76"/>
  <c r="C16" i="83"/>
  <c r="M28" i="15"/>
  <c r="J15" i="15"/>
  <c r="F43" i="77"/>
  <c r="E8" i="76"/>
  <c r="F42" i="67"/>
  <c r="F8" i="78"/>
  <c r="AE7" i="1"/>
  <c r="F41" i="81" s="1"/>
  <c r="M29" i="84"/>
  <c r="M6" i="78"/>
  <c r="F5" i="73"/>
  <c r="F8" i="15"/>
  <c r="AE10" i="1"/>
  <c r="F41" i="15"/>
  <c r="B6" i="76"/>
  <c r="F38" i="77"/>
  <c r="F7" i="77"/>
  <c r="M9" i="78"/>
  <c r="C16" i="84"/>
  <c r="F38" i="78"/>
  <c r="C17" i="82"/>
  <c r="M24" i="77"/>
  <c r="F43" i="84"/>
  <c r="C17" i="85"/>
  <c r="M29" i="83"/>
  <c r="F37" i="78"/>
  <c r="C16" i="82"/>
  <c r="M22" i="15"/>
  <c r="AO12" i="1"/>
  <c r="F40" i="67"/>
  <c r="D35" i="9"/>
  <c r="M26" i="78"/>
  <c r="M26" i="77"/>
  <c r="J15" i="77"/>
  <c r="F7" i="15"/>
  <c r="C76" i="78"/>
  <c r="F26" i="78"/>
  <c r="D2" i="21"/>
  <c r="F6" i="78"/>
  <c r="M9" i="77"/>
  <c r="E10" i="76"/>
  <c r="D34" i="9"/>
  <c r="F7" i="67"/>
  <c r="M23" i="78"/>
  <c r="M8" i="78"/>
  <c r="F43" i="78"/>
  <c r="D3" i="73"/>
  <c r="B8" i="76"/>
  <c r="M23" i="77"/>
  <c r="F43" i="67"/>
  <c r="F6" i="77"/>
  <c r="C76" i="67"/>
  <c r="M24" i="78"/>
  <c r="F8" i="67"/>
  <c r="F41" i="84"/>
  <c r="F41" i="78"/>
  <c r="F41" i="77"/>
  <c r="F41" i="67"/>
  <c r="S16" i="1" l="1"/>
  <c r="E9" i="70"/>
  <c r="T9" i="1"/>
  <c r="AQ9" i="1"/>
  <c r="AR9" i="1"/>
  <c r="C21" i="12"/>
  <c r="E8" i="70"/>
  <c r="AR8" i="1"/>
  <c r="AQ8" i="1"/>
  <c r="T8" i="1"/>
  <c r="E6" i="70"/>
  <c r="T6" i="1"/>
  <c r="AR6" i="1"/>
  <c r="AQ6" i="1"/>
  <c r="D19" i="69"/>
  <c r="C10" i="69"/>
  <c r="C8" i="69" s="1"/>
  <c r="C5" i="69" s="1"/>
  <c r="E11" i="70"/>
  <c r="T11" i="1"/>
  <c r="AQ11" i="1"/>
  <c r="AR11" i="1"/>
  <c r="I19" i="6"/>
  <c r="M27" i="6"/>
  <c r="C10" i="68"/>
  <c r="D19" i="68"/>
  <c r="M27" i="15"/>
  <c r="M27" i="82"/>
  <c r="W10" i="39"/>
  <c r="J63" i="40"/>
  <c r="I65" i="40"/>
  <c r="C15" i="81"/>
  <c r="C18" i="81"/>
  <c r="F69" i="81"/>
  <c r="I54" i="77"/>
  <c r="L56" i="77"/>
  <c r="J57" i="77"/>
  <c r="J55" i="77" s="1"/>
  <c r="J58" i="77" s="1"/>
  <c r="Q50" i="77" s="1"/>
  <c r="F51" i="67"/>
  <c r="F69" i="82"/>
  <c r="AG8" i="1"/>
  <c r="Q71" i="67"/>
  <c r="B20" i="31"/>
  <c r="C6" i="77"/>
  <c r="F71" i="15"/>
  <c r="F71" i="67"/>
  <c r="F65" i="67"/>
  <c r="F71" i="78"/>
  <c r="Q71" i="15"/>
  <c r="F69" i="78"/>
  <c r="M7" i="67"/>
  <c r="J6" i="67" s="1"/>
  <c r="F50" i="67"/>
  <c r="F69" i="83"/>
  <c r="F68" i="15"/>
  <c r="F69" i="77"/>
  <c r="C6" i="78"/>
  <c r="F68" i="78"/>
  <c r="C27" i="78"/>
  <c r="Q71" i="78"/>
  <c r="M7" i="15"/>
  <c r="J6" i="15" s="1"/>
  <c r="F50" i="15"/>
  <c r="J53" i="15"/>
  <c r="L56" i="15" s="1"/>
  <c r="J57" i="15"/>
  <c r="J55" i="15" s="1"/>
  <c r="J58" i="15" s="1"/>
  <c r="Q50" i="15" s="1"/>
  <c r="I54" i="15"/>
  <c r="F65" i="77"/>
  <c r="J57" i="78"/>
  <c r="J55" i="78" s="1"/>
  <c r="J58" i="78" s="1"/>
  <c r="Q50" i="78" s="1"/>
  <c r="L56" i="78"/>
  <c r="I54" i="78"/>
  <c r="F68" i="67"/>
  <c r="L59" i="67"/>
  <c r="L58" i="67"/>
  <c r="Q73" i="67" s="1"/>
  <c r="M59" i="67"/>
  <c r="N59" i="67"/>
  <c r="B12" i="70"/>
  <c r="F65" i="78"/>
  <c r="F71" i="84"/>
  <c r="Q71" i="77"/>
  <c r="F68" i="77"/>
  <c r="F64" i="77"/>
  <c r="F66" i="78"/>
  <c r="L58" i="15"/>
  <c r="Q60" i="15" s="1"/>
  <c r="N59" i="15"/>
  <c r="L59" i="15"/>
  <c r="Q74" i="15" s="1"/>
  <c r="M59" i="15"/>
  <c r="M7" i="77"/>
  <c r="J6" i="77" s="1"/>
  <c r="F50" i="77"/>
  <c r="I1" i="73"/>
  <c r="B39" i="1" s="1"/>
  <c r="M11" i="67" s="1"/>
  <c r="J10" i="67" s="1"/>
  <c r="F66" i="77"/>
  <c r="C27" i="15"/>
  <c r="B2" i="76"/>
  <c r="F69" i="15"/>
  <c r="C18" i="84"/>
  <c r="C15" i="84"/>
  <c r="E2" i="76"/>
  <c r="F51" i="15"/>
  <c r="C49" i="15" s="1"/>
  <c r="F64" i="67"/>
  <c r="C6" i="15"/>
  <c r="F64" i="78"/>
  <c r="F51" i="78"/>
  <c r="F70" i="67"/>
  <c r="M59" i="77"/>
  <c r="L59" i="77"/>
  <c r="Q61" i="77" s="1"/>
  <c r="N59" i="77"/>
  <c r="L58" i="77"/>
  <c r="Q60" i="77" s="1"/>
  <c r="F71" i="77"/>
  <c r="F51" i="77"/>
  <c r="E20" i="43"/>
  <c r="O17" i="43" s="1"/>
  <c r="F69" i="67"/>
  <c r="C27" i="67"/>
  <c r="F71" i="83"/>
  <c r="F50" i="83"/>
  <c r="C49" i="83" s="1"/>
  <c r="C6" i="83"/>
  <c r="M7" i="83"/>
  <c r="J6" i="83" s="1"/>
  <c r="M59" i="78"/>
  <c r="L59" i="78"/>
  <c r="Q74" i="78" s="1"/>
  <c r="N59" i="78"/>
  <c r="L58" i="78"/>
  <c r="Q73" i="78" s="1"/>
  <c r="F50" i="78"/>
  <c r="M7" i="78"/>
  <c r="J6" i="78" s="1"/>
  <c r="F66" i="67"/>
  <c r="B13" i="70"/>
  <c r="C27" i="77"/>
  <c r="B2" i="33"/>
  <c r="B3" i="33" s="1"/>
  <c r="F65" i="15"/>
  <c r="C6" i="67"/>
  <c r="F66" i="15"/>
  <c r="F64" i="15"/>
  <c r="L56" i="67"/>
  <c r="I54" i="67"/>
  <c r="J57" i="67"/>
  <c r="J55" i="67" s="1"/>
  <c r="J58" i="67" s="1"/>
  <c r="Q50" i="67" s="1"/>
  <c r="B2" i="35"/>
  <c r="B3" i="35" s="1"/>
  <c r="AB10" i="40"/>
  <c r="U10" i="40"/>
  <c r="AB10" i="39"/>
  <c r="U10" i="39"/>
  <c r="F69" i="84"/>
  <c r="AC10" i="40"/>
  <c r="W10" i="40"/>
  <c r="G54" i="34"/>
  <c r="H54" i="34" s="1"/>
  <c r="I53" i="34"/>
  <c r="J53" i="34" s="1"/>
  <c r="E49" i="34"/>
  <c r="R50" i="34"/>
  <c r="D25" i="6"/>
  <c r="D22" i="6"/>
  <c r="D24" i="6"/>
  <c r="D5" i="6"/>
  <c r="D10" i="6"/>
  <c r="E61" i="40"/>
  <c r="D8" i="6"/>
  <c r="D14" i="6"/>
  <c r="D11" i="6"/>
  <c r="D29" i="6"/>
  <c r="D12" i="6"/>
  <c r="M19" i="9"/>
  <c r="C118" i="9" s="1"/>
  <c r="C14" i="74" s="1"/>
  <c r="B2" i="74" s="1"/>
  <c r="D15" i="6"/>
  <c r="D21" i="6"/>
  <c r="D20" i="6"/>
  <c r="D9" i="6"/>
  <c r="D28" i="6"/>
  <c r="D19" i="6"/>
  <c r="C18" i="4"/>
  <c r="D23" i="6"/>
  <c r="D6" i="6"/>
  <c r="L19" i="9"/>
  <c r="D13" i="6"/>
  <c r="D26" i="6"/>
  <c r="H24" i="6"/>
  <c r="H26" i="6"/>
  <c r="R26" i="6" s="1"/>
  <c r="H21" i="6"/>
  <c r="H23" i="6"/>
  <c r="R23" i="6" s="1"/>
  <c r="R10" i="1" s="1"/>
  <c r="H19" i="6"/>
  <c r="H20" i="6"/>
  <c r="H22" i="6"/>
  <c r="H25" i="6"/>
  <c r="N16" i="1"/>
  <c r="L16" i="1"/>
  <c r="C34" i="68"/>
  <c r="C34" i="11"/>
  <c r="I46" i="37"/>
  <c r="J46" i="37" s="1"/>
  <c r="C49" i="79"/>
  <c r="B2" i="79" s="1"/>
  <c r="B3" i="79" s="1"/>
  <c r="C48" i="79"/>
  <c r="G47" i="37"/>
  <c r="H47" i="37" s="1"/>
  <c r="E40" i="36"/>
  <c r="F40" i="36" s="1"/>
  <c r="E41" i="36"/>
  <c r="F41" i="36" s="1"/>
  <c r="C48" i="21"/>
  <c r="C49" i="21"/>
  <c r="B2" i="21" s="1"/>
  <c r="B3" i="21" s="1"/>
  <c r="H68" i="39"/>
  <c r="G70" i="39"/>
  <c r="E53" i="79"/>
  <c r="F53" i="79" s="1"/>
  <c r="E52" i="79"/>
  <c r="F52" i="79" s="1"/>
  <c r="I53" i="79"/>
  <c r="J53" i="79" s="1"/>
  <c r="I41" i="36"/>
  <c r="J41" i="36" s="1"/>
  <c r="C36" i="36"/>
  <c r="C37" i="36"/>
  <c r="B2" i="36" s="1"/>
  <c r="B3" i="36" s="1"/>
  <c r="E52" i="21"/>
  <c r="F52" i="21" s="1"/>
  <c r="E53" i="21"/>
  <c r="F53" i="21" s="1"/>
  <c r="I53" i="21"/>
  <c r="J53" i="21" s="1"/>
  <c r="E42" i="37"/>
  <c r="I47" i="37" s="1"/>
  <c r="J47" i="37" s="1"/>
  <c r="R43" i="37"/>
  <c r="C14" i="77"/>
  <c r="C14" i="78"/>
  <c r="M27" i="78"/>
  <c r="M27" i="77"/>
  <c r="M27" i="67"/>
  <c r="C14" i="83"/>
  <c r="C14" i="82"/>
  <c r="C14" i="15"/>
  <c r="C14" i="85"/>
  <c r="G1" i="73"/>
  <c r="C17" i="78"/>
  <c r="C16" i="77"/>
  <c r="C17" i="15"/>
  <c r="C16" i="67"/>
  <c r="C17" i="77"/>
  <c r="C16" i="78"/>
  <c r="C16" i="15"/>
  <c r="C17" i="84"/>
  <c r="F41" i="85"/>
  <c r="C17" i="67"/>
  <c r="C14" i="67"/>
  <c r="C17" i="83"/>
  <c r="Q61" i="15" l="1"/>
  <c r="E2" i="70"/>
  <c r="C18" i="78"/>
  <c r="C15" i="78"/>
  <c r="C18" i="77"/>
  <c r="C15" i="77"/>
  <c r="F1" i="15"/>
  <c r="C18" i="83"/>
  <c r="C15" i="83"/>
  <c r="Q52" i="15"/>
  <c r="C22" i="12"/>
  <c r="C30" i="12" s="1"/>
  <c r="C28" i="12" s="1"/>
  <c r="C18" i="85"/>
  <c r="C15" i="85"/>
  <c r="C18" i="15"/>
  <c r="C15" i="15"/>
  <c r="C18" i="82"/>
  <c r="C15" i="82"/>
  <c r="S19" i="6"/>
  <c r="S27" i="6" s="1"/>
  <c r="I27" i="6"/>
  <c r="D37" i="69"/>
  <c r="C37" i="69" s="1"/>
  <c r="C33" i="69" s="1"/>
  <c r="C19" i="69"/>
  <c r="D37" i="68"/>
  <c r="C37" i="68" s="1"/>
  <c r="C19" i="68"/>
  <c r="C20" i="68" s="1"/>
  <c r="C28" i="68" s="1"/>
  <c r="C27" i="68" s="1"/>
  <c r="T16" i="1"/>
  <c r="C49" i="67"/>
  <c r="F69" i="85"/>
  <c r="B40" i="1"/>
  <c r="F24" i="84" s="1"/>
  <c r="C24" i="84" s="1"/>
  <c r="D30" i="6"/>
  <c r="F24" i="78"/>
  <c r="C24" i="78" s="1"/>
  <c r="M17" i="43"/>
  <c r="C19" i="81"/>
  <c r="C20" i="81" s="1"/>
  <c r="C26" i="81" s="1"/>
  <c r="F11" i="15"/>
  <c r="C53" i="15" s="1"/>
  <c r="C48" i="15" s="1"/>
  <c r="B3" i="76"/>
  <c r="P17" i="43"/>
  <c r="N17" i="43"/>
  <c r="J5" i="67"/>
  <c r="J26" i="67" s="1"/>
  <c r="J29" i="67" s="1"/>
  <c r="C19" i="82"/>
  <c r="C20" i="82" s="1"/>
  <c r="C26" i="82" s="1"/>
  <c r="Q73" i="15"/>
  <c r="F11" i="84"/>
  <c r="C10" i="84" s="1"/>
  <c r="C5" i="84" s="1"/>
  <c r="C38" i="84" s="1"/>
  <c r="R22" i="6"/>
  <c r="R9" i="1" s="1"/>
  <c r="R21" i="6"/>
  <c r="R8" i="1" s="1"/>
  <c r="R25" i="6"/>
  <c r="M11" i="83"/>
  <c r="J10" i="83" s="1"/>
  <c r="J5" i="83" s="1"/>
  <c r="J24" i="83" s="1"/>
  <c r="F11" i="85"/>
  <c r="C53" i="85" s="1"/>
  <c r="C48" i="85" s="1"/>
  <c r="C60" i="85" s="1"/>
  <c r="R20" i="6"/>
  <c r="R7" i="1" s="1"/>
  <c r="Q73" i="77"/>
  <c r="M11" i="77"/>
  <c r="J10" i="77" s="1"/>
  <c r="J5" i="77" s="1"/>
  <c r="J24" i="77" s="1"/>
  <c r="Q60" i="78"/>
  <c r="F11" i="67"/>
  <c r="C10" i="67" s="1"/>
  <c r="C5" i="67" s="1"/>
  <c r="M11" i="85"/>
  <c r="J10" i="85" s="1"/>
  <c r="J5" i="85" s="1"/>
  <c r="J24" i="85" s="1"/>
  <c r="M11" i="81"/>
  <c r="J10" i="81" s="1"/>
  <c r="J5" i="81" s="1"/>
  <c r="J18" i="81" s="1"/>
  <c r="J24" i="67"/>
  <c r="F11" i="77"/>
  <c r="C10" i="77" s="1"/>
  <c r="C5" i="77" s="1"/>
  <c r="F11" i="82"/>
  <c r="C53" i="82" s="1"/>
  <c r="C48" i="82" s="1"/>
  <c r="C60" i="82" s="1"/>
  <c r="M11" i="78"/>
  <c r="J10" i="78" s="1"/>
  <c r="J5" i="78" s="1"/>
  <c r="J24" i="78" s="1"/>
  <c r="M11" i="82"/>
  <c r="J10" i="82" s="1"/>
  <c r="J5" i="82" s="1"/>
  <c r="J18" i="82" s="1"/>
  <c r="F11" i="83"/>
  <c r="C10" i="83" s="1"/>
  <c r="C5" i="83" s="1"/>
  <c r="M11" i="84"/>
  <c r="J10" i="84" s="1"/>
  <c r="J5" i="84" s="1"/>
  <c r="J24" i="84" s="1"/>
  <c r="M11" i="15"/>
  <c r="J10" i="15" s="1"/>
  <c r="J5" i="15" s="1"/>
  <c r="J18" i="15" s="1"/>
  <c r="F11" i="81"/>
  <c r="C53" i="81" s="1"/>
  <c r="C48" i="81" s="1"/>
  <c r="C60" i="81" s="1"/>
  <c r="Q60" i="67"/>
  <c r="Q74" i="77"/>
  <c r="Q61" i="78"/>
  <c r="F11" i="78"/>
  <c r="C10" i="78" s="1"/>
  <c r="C5" i="78" s="1"/>
  <c r="C32" i="78" s="1"/>
  <c r="C49" i="78"/>
  <c r="T25" i="1"/>
  <c r="J65" i="40"/>
  <c r="K63" i="40"/>
  <c r="C19" i="83"/>
  <c r="C20" i="83" s="1"/>
  <c r="C26" i="83" s="1"/>
  <c r="C19" i="84"/>
  <c r="C20" i="84" s="1"/>
  <c r="C26" i="84" s="1"/>
  <c r="C18" i="67"/>
  <c r="C15" i="67"/>
  <c r="C19" i="15"/>
  <c r="C20" i="15" s="1"/>
  <c r="C26" i="15" s="1"/>
  <c r="C49" i="77"/>
  <c r="Q61" i="67"/>
  <c r="Q74" i="67"/>
  <c r="C49" i="34"/>
  <c r="C50" i="34"/>
  <c r="B2" i="34" s="1"/>
  <c r="B3" i="34" s="1"/>
  <c r="E53" i="34"/>
  <c r="F53" i="34" s="1"/>
  <c r="E54" i="34"/>
  <c r="F54" i="34" s="1"/>
  <c r="I54" i="34"/>
  <c r="J54" i="34" s="1"/>
  <c r="C39" i="69"/>
  <c r="D27" i="6"/>
  <c r="D31" i="6" s="1"/>
  <c r="D7" i="74"/>
  <c r="D8" i="74"/>
  <c r="R19" i="6"/>
  <c r="H27" i="6"/>
  <c r="A10" i="51"/>
  <c r="B9" i="72" s="1"/>
  <c r="C4" i="52"/>
  <c r="B45" i="72" s="1"/>
  <c r="A7" i="51"/>
  <c r="B7" i="72" s="1"/>
  <c r="D16" i="6"/>
  <c r="R24" i="6"/>
  <c r="R11" i="1" s="1"/>
  <c r="C35" i="11"/>
  <c r="C38" i="11"/>
  <c r="C38" i="68"/>
  <c r="C35" i="68"/>
  <c r="F50" i="68"/>
  <c r="F50" i="11"/>
  <c r="F50" i="69"/>
  <c r="C43" i="37"/>
  <c r="B2" i="37" s="1"/>
  <c r="B3" i="37" s="1"/>
  <c r="C42" i="37"/>
  <c r="I68" i="39"/>
  <c r="H70" i="39"/>
  <c r="E47" i="37"/>
  <c r="F47" i="37" s="1"/>
  <c r="E46" i="37"/>
  <c r="F46" i="37" s="1"/>
  <c r="M49" i="9"/>
  <c r="F35" i="77"/>
  <c r="F35" i="67"/>
  <c r="M21" i="67"/>
  <c r="F35" i="78"/>
  <c r="M21" i="77"/>
  <c r="M21" i="78"/>
  <c r="AE6" i="1"/>
  <c r="C19" i="78" l="1"/>
  <c r="C20" i="78" s="1"/>
  <c r="C26" i="78" s="1"/>
  <c r="C19" i="85"/>
  <c r="C20" i="85" s="1"/>
  <c r="C19" i="77"/>
  <c r="C20" i="77" s="1"/>
  <c r="C26" i="77" s="1"/>
  <c r="J20" i="78"/>
  <c r="J20" i="77"/>
  <c r="C34" i="78"/>
  <c r="F63" i="78"/>
  <c r="C62" i="78" s="1"/>
  <c r="J20" i="67"/>
  <c r="C34" i="67"/>
  <c r="F63" i="67"/>
  <c r="C62" i="67" s="1"/>
  <c r="F63" i="77"/>
  <c r="C62" i="77" s="1"/>
  <c r="C34" i="77"/>
  <c r="AG6" i="1"/>
  <c r="C20" i="69"/>
  <c r="C28" i="69" s="1"/>
  <c r="C27" i="69" s="1"/>
  <c r="F22" i="68"/>
  <c r="C24" i="68" s="1"/>
  <c r="F24" i="82"/>
  <c r="F24" i="85"/>
  <c r="C24" i="85" s="1"/>
  <c r="F25" i="12"/>
  <c r="C25" i="68"/>
  <c r="F24" i="81"/>
  <c r="C24" i="81" s="1"/>
  <c r="F24" i="15"/>
  <c r="C24" i="15" s="1"/>
  <c r="F22" i="11"/>
  <c r="C26" i="11" s="1"/>
  <c r="D22" i="11" s="1"/>
  <c r="F22" i="69"/>
  <c r="C42" i="69" s="1"/>
  <c r="F24" i="83"/>
  <c r="C24" i="83" s="1"/>
  <c r="F24" i="67"/>
  <c r="C24" i="67" s="1"/>
  <c r="F24" i="77"/>
  <c r="C24" i="77" s="1"/>
  <c r="C10" i="15"/>
  <c r="C5" i="15" s="1"/>
  <c r="C38" i="15" s="1"/>
  <c r="C32" i="84"/>
  <c r="J18" i="67"/>
  <c r="C66" i="85"/>
  <c r="J18" i="85"/>
  <c r="C10" i="85"/>
  <c r="C5" i="85" s="1"/>
  <c r="C32" i="85" s="1"/>
  <c r="J26" i="85"/>
  <c r="J29" i="85" s="1"/>
  <c r="C53" i="84"/>
  <c r="C48" i="84" s="1"/>
  <c r="C66" i="84" s="1"/>
  <c r="C53" i="83"/>
  <c r="C48" i="83" s="1"/>
  <c r="C60" i="83" s="1"/>
  <c r="J26" i="77"/>
  <c r="J29" i="77" s="1"/>
  <c r="C23" i="78"/>
  <c r="C29" i="78" s="1"/>
  <c r="C13" i="78" s="1"/>
  <c r="C10" i="82"/>
  <c r="C5" i="82" s="1"/>
  <c r="C33" i="82" s="1"/>
  <c r="J18" i="84"/>
  <c r="J24" i="82"/>
  <c r="C53" i="67"/>
  <c r="C48" i="67" s="1"/>
  <c r="C66" i="67" s="1"/>
  <c r="J18" i="77"/>
  <c r="C66" i="81"/>
  <c r="C66" i="82"/>
  <c r="J24" i="81"/>
  <c r="C10" i="81"/>
  <c r="C5" i="81" s="1"/>
  <c r="C38" i="81" s="1"/>
  <c r="J24" i="15"/>
  <c r="C53" i="77"/>
  <c r="C48" i="77" s="1"/>
  <c r="C60" i="77" s="1"/>
  <c r="J18" i="78"/>
  <c r="C38" i="78"/>
  <c r="C23" i="84"/>
  <c r="C29" i="84" s="1"/>
  <c r="C36" i="84" s="1"/>
  <c r="J26" i="78"/>
  <c r="J29" i="78" s="1"/>
  <c r="J18" i="83"/>
  <c r="C38" i="77"/>
  <c r="C32" i="77"/>
  <c r="C53" i="78"/>
  <c r="C48" i="78" s="1"/>
  <c r="C60" i="78" s="1"/>
  <c r="C19" i="67"/>
  <c r="C20" i="67" s="1"/>
  <c r="C26" i="67" s="1"/>
  <c r="L63" i="40"/>
  <c r="K65" i="40"/>
  <c r="C60" i="15"/>
  <c r="C66" i="15"/>
  <c r="C32" i="83"/>
  <c r="C38" i="83"/>
  <c r="C32" i="67"/>
  <c r="C38" i="67"/>
  <c r="J59" i="81"/>
  <c r="J60" i="81" s="1"/>
  <c r="Q48" i="81" s="1"/>
  <c r="J59" i="82"/>
  <c r="J60" i="82" s="1"/>
  <c r="Q48" i="82" s="1"/>
  <c r="J59" i="83"/>
  <c r="J60" i="83" s="1"/>
  <c r="Q48" i="83" s="1"/>
  <c r="J59" i="84"/>
  <c r="J60" i="84" s="1"/>
  <c r="Q48" i="84" s="1"/>
  <c r="C33" i="84"/>
  <c r="J19" i="82"/>
  <c r="C33" i="83"/>
  <c r="J19" i="15"/>
  <c r="C46" i="69"/>
  <c r="C45" i="69" s="1"/>
  <c r="I6" i="6"/>
  <c r="I5" i="6"/>
  <c r="R27" i="6"/>
  <c r="R6" i="1"/>
  <c r="C33" i="11"/>
  <c r="C39" i="11" s="1"/>
  <c r="C33" i="68"/>
  <c r="C39" i="68" s="1"/>
  <c r="J68" i="39"/>
  <c r="I70" i="39"/>
  <c r="L68" i="9"/>
  <c r="M68" i="9" s="1"/>
  <c r="L65" i="9"/>
  <c r="M65" i="9" s="1"/>
  <c r="L66" i="9"/>
  <c r="M66" i="9" s="1"/>
  <c r="L64" i="9"/>
  <c r="M64" i="9" s="1"/>
  <c r="L63" i="9"/>
  <c r="M63" i="9" s="1"/>
  <c r="M69" i="9" s="1"/>
  <c r="N69" i="9" s="1"/>
  <c r="L67" i="9"/>
  <c r="M67" i="9" s="1"/>
  <c r="F35" i="15"/>
  <c r="M21" i="83"/>
  <c r="M21" i="85"/>
  <c r="F35" i="84"/>
  <c r="F35" i="82"/>
  <c r="M21" i="84"/>
  <c r="F35" i="85"/>
  <c r="F35" i="81"/>
  <c r="F35" i="83"/>
  <c r="M21" i="15"/>
  <c r="M21" i="81"/>
  <c r="M21" i="82"/>
  <c r="C26" i="85" l="1"/>
  <c r="C33" i="15"/>
  <c r="C23" i="81"/>
  <c r="C29" i="81" s="1"/>
  <c r="C36" i="81" s="1"/>
  <c r="C60" i="84"/>
  <c r="C23" i="68"/>
  <c r="C22" i="68" s="1"/>
  <c r="C26" i="69"/>
  <c r="D22" i="69" s="1"/>
  <c r="C23" i="85"/>
  <c r="C44" i="68"/>
  <c r="D41" i="68" s="1"/>
  <c r="C26" i="68"/>
  <c r="D22" i="68" s="1"/>
  <c r="C31" i="68" s="1"/>
  <c r="C66" i="83"/>
  <c r="C23" i="77"/>
  <c r="C29" i="77" s="1"/>
  <c r="C33" i="77" s="1"/>
  <c r="C31" i="77" s="1"/>
  <c r="C23" i="83"/>
  <c r="C29" i="83" s="1"/>
  <c r="J14" i="83" s="1"/>
  <c r="J22" i="83" s="1"/>
  <c r="C24" i="82"/>
  <c r="C23" i="82"/>
  <c r="C27" i="12"/>
  <c r="C25" i="12" s="1"/>
  <c r="C26" i="12"/>
  <c r="D25" i="12" s="1"/>
  <c r="C32" i="15"/>
  <c r="C23" i="15"/>
  <c r="C29" i="15" s="1"/>
  <c r="J59" i="15" s="1"/>
  <c r="J60" i="15" s="1"/>
  <c r="Q48" i="15" s="1"/>
  <c r="C23" i="11"/>
  <c r="C44" i="11"/>
  <c r="D41" i="11" s="1"/>
  <c r="C29" i="85"/>
  <c r="C36" i="85" s="1"/>
  <c r="C24" i="11"/>
  <c r="C25" i="11"/>
  <c r="C23" i="69"/>
  <c r="C43" i="69"/>
  <c r="C41" i="69" s="1"/>
  <c r="C24" i="69"/>
  <c r="C25" i="69"/>
  <c r="C44" i="69"/>
  <c r="D41" i="69" s="1"/>
  <c r="Q49" i="81"/>
  <c r="C32" i="82"/>
  <c r="Q49" i="84"/>
  <c r="C57" i="84"/>
  <c r="C61" i="84" s="1"/>
  <c r="C38" i="85"/>
  <c r="C33" i="81"/>
  <c r="C60" i="67"/>
  <c r="C66" i="77"/>
  <c r="C38" i="82"/>
  <c r="J14" i="84"/>
  <c r="J22" i="84" s="1"/>
  <c r="J19" i="84"/>
  <c r="C13" i="84"/>
  <c r="C75" i="84" s="1"/>
  <c r="C32" i="81"/>
  <c r="C66" i="78"/>
  <c r="L65" i="40"/>
  <c r="M63" i="40"/>
  <c r="C23" i="67"/>
  <c r="C29" i="67" s="1"/>
  <c r="J14" i="78"/>
  <c r="J13" i="78" s="1"/>
  <c r="J23" i="78" s="1"/>
  <c r="C57" i="78"/>
  <c r="C64" i="78" s="1"/>
  <c r="C36" i="78"/>
  <c r="Q49" i="78"/>
  <c r="J19" i="78"/>
  <c r="J17" i="78" s="1"/>
  <c r="J59" i="78"/>
  <c r="J60" i="78" s="1"/>
  <c r="C33" i="78"/>
  <c r="C31" i="78" s="1"/>
  <c r="C37" i="78"/>
  <c r="Q70" i="78"/>
  <c r="C56" i="78"/>
  <c r="C65" i="78" s="1"/>
  <c r="C75" i="78"/>
  <c r="J59" i="85"/>
  <c r="J60" i="85" s="1"/>
  <c r="Q48" i="85" s="1"/>
  <c r="C33" i="85"/>
  <c r="J20" i="85"/>
  <c r="F63" i="85"/>
  <c r="C62" i="85" s="1"/>
  <c r="C34" i="85"/>
  <c r="J20" i="84"/>
  <c r="F63" i="84"/>
  <c r="C62" i="84" s="1"/>
  <c r="C34" i="84"/>
  <c r="C31" i="84" s="1"/>
  <c r="F63" i="83"/>
  <c r="C62" i="83" s="1"/>
  <c r="C34" i="83"/>
  <c r="C31" i="83" s="1"/>
  <c r="J20" i="83"/>
  <c r="J20" i="82"/>
  <c r="J17" i="82" s="1"/>
  <c r="F63" i="82"/>
  <c r="C62" i="82" s="1"/>
  <c r="C34" i="82"/>
  <c r="J20" i="81"/>
  <c r="F63" i="81"/>
  <c r="C62" i="81" s="1"/>
  <c r="C34" i="81"/>
  <c r="J20" i="15"/>
  <c r="J17" i="15" s="1"/>
  <c r="C34" i="15"/>
  <c r="F63" i="15"/>
  <c r="C62" i="15" s="1"/>
  <c r="R16" i="1"/>
  <c r="C42" i="11"/>
  <c r="C42" i="68"/>
  <c r="C46" i="11"/>
  <c r="C45" i="11" s="1"/>
  <c r="C43" i="11"/>
  <c r="C46" i="68"/>
  <c r="C45" i="68" s="1"/>
  <c r="C43" i="68"/>
  <c r="K68" i="39"/>
  <c r="J70" i="39"/>
  <c r="J14" i="81" l="1"/>
  <c r="J13" i="81" s="1"/>
  <c r="J23" i="81" s="1"/>
  <c r="Q49" i="85"/>
  <c r="J19" i="85"/>
  <c r="J17" i="85" s="1"/>
  <c r="C57" i="81"/>
  <c r="C64" i="81" s="1"/>
  <c r="C31" i="15"/>
  <c r="Q49" i="77"/>
  <c r="C13" i="81"/>
  <c r="C56" i="81" s="1"/>
  <c r="C65" i="81" s="1"/>
  <c r="J19" i="81"/>
  <c r="J17" i="81" s="1"/>
  <c r="C57" i="85"/>
  <c r="C61" i="85" s="1"/>
  <c r="C59" i="85" s="1"/>
  <c r="C36" i="77"/>
  <c r="C13" i="77"/>
  <c r="Q70" i="77" s="1"/>
  <c r="C13" i="85"/>
  <c r="C75" i="85" s="1"/>
  <c r="J59" i="77"/>
  <c r="J60" i="77" s="1"/>
  <c r="J14" i="77"/>
  <c r="J13" i="77" s="1"/>
  <c r="J23" i="77" s="1"/>
  <c r="J19" i="77"/>
  <c r="J17" i="77" s="1"/>
  <c r="C57" i="77"/>
  <c r="C64" i="77" s="1"/>
  <c r="C57" i="15"/>
  <c r="C61" i="15" s="1"/>
  <c r="C59" i="15" s="1"/>
  <c r="C29" i="82"/>
  <c r="C36" i="82" s="1"/>
  <c r="Q49" i="83"/>
  <c r="C36" i="83"/>
  <c r="Q70" i="81"/>
  <c r="C13" i="83"/>
  <c r="C75" i="83" s="1"/>
  <c r="J13" i="83"/>
  <c r="J23" i="83" s="1"/>
  <c r="C57" i="83"/>
  <c r="C61" i="83" s="1"/>
  <c r="C13" i="15"/>
  <c r="C75" i="15" s="1"/>
  <c r="J19" i="83"/>
  <c r="J17" i="83" s="1"/>
  <c r="C32" i="12"/>
  <c r="B2" i="12" s="1"/>
  <c r="B3" i="12" s="1"/>
  <c r="C36" i="15"/>
  <c r="Q49" i="15"/>
  <c r="J14" i="15"/>
  <c r="J13" i="15" s="1"/>
  <c r="J23" i="15" s="1"/>
  <c r="J14" i="85"/>
  <c r="J13" i="85" s="1"/>
  <c r="J23" i="85" s="1"/>
  <c r="C49" i="69"/>
  <c r="C51" i="69" s="1"/>
  <c r="C22" i="11"/>
  <c r="C31" i="11" s="1"/>
  <c r="C22" i="69"/>
  <c r="C31" i="69" s="1"/>
  <c r="C31" i="82"/>
  <c r="J17" i="84"/>
  <c r="C31" i="81"/>
  <c r="C59" i="84"/>
  <c r="C64" i="84"/>
  <c r="J13" i="84"/>
  <c r="J23" i="84" s="1"/>
  <c r="Q70" i="84"/>
  <c r="C56" i="84"/>
  <c r="C65" i="84" s="1"/>
  <c r="C37" i="84"/>
  <c r="C30" i="84" s="1"/>
  <c r="C39" i="84" s="1"/>
  <c r="H40" i="84" s="1"/>
  <c r="M65" i="40"/>
  <c r="N63" i="40"/>
  <c r="C61" i="78"/>
  <c r="C59" i="78" s="1"/>
  <c r="C58" i="78" s="1"/>
  <c r="C67" i="78" s="1"/>
  <c r="C68" i="78" s="1"/>
  <c r="Q49" i="67"/>
  <c r="J14" i="67"/>
  <c r="C36" i="67"/>
  <c r="C57" i="67"/>
  <c r="J59" i="67"/>
  <c r="J60" i="67" s="1"/>
  <c r="C33" i="67"/>
  <c r="C31" i="67" s="1"/>
  <c r="C13" i="67"/>
  <c r="J19" i="67"/>
  <c r="J17" i="67" s="1"/>
  <c r="J22" i="77"/>
  <c r="J22" i="78"/>
  <c r="J16" i="78" s="1"/>
  <c r="J25" i="78" s="1"/>
  <c r="Q48" i="78"/>
  <c r="C30" i="78"/>
  <c r="C39" i="78" s="1"/>
  <c r="C40" i="78" s="1"/>
  <c r="C31" i="85"/>
  <c r="C59" i="83"/>
  <c r="C41" i="68"/>
  <c r="C49" i="68" s="1"/>
  <c r="C51" i="68" s="1"/>
  <c r="C52" i="68" s="1"/>
  <c r="B2" i="68" s="1"/>
  <c r="C41" i="11"/>
  <c r="C49" i="11" s="1"/>
  <c r="C51" i="11" s="1"/>
  <c r="L68" i="39"/>
  <c r="K70" i="39"/>
  <c r="C19" i="9"/>
  <c r="C37" i="85" l="1"/>
  <c r="C30" i="85" s="1"/>
  <c r="C39" i="85" s="1"/>
  <c r="C61" i="81"/>
  <c r="C59" i="81" s="1"/>
  <c r="J22" i="81"/>
  <c r="Q70" i="83"/>
  <c r="C61" i="77"/>
  <c r="C59" i="77" s="1"/>
  <c r="C56" i="77"/>
  <c r="C65" i="77" s="1"/>
  <c r="C75" i="81"/>
  <c r="C58" i="81"/>
  <c r="C67" i="81" s="1"/>
  <c r="C68" i="81" s="1"/>
  <c r="C71" i="81" s="1"/>
  <c r="C37" i="81"/>
  <c r="C30" i="81" s="1"/>
  <c r="C39" i="81" s="1"/>
  <c r="H40" i="81" s="1"/>
  <c r="C40" i="81" s="1"/>
  <c r="Q70" i="85"/>
  <c r="C56" i="85"/>
  <c r="C65" i="85" s="1"/>
  <c r="C37" i="83"/>
  <c r="C30" i="83" s="1"/>
  <c r="C39" i="83" s="1"/>
  <c r="C80" i="83" s="1"/>
  <c r="C79" i="83" s="1"/>
  <c r="C56" i="83"/>
  <c r="C65" i="83" s="1"/>
  <c r="C52" i="11"/>
  <c r="B2" i="11" s="1"/>
  <c r="B3" i="11" s="1"/>
  <c r="C64" i="85"/>
  <c r="C58" i="85" s="1"/>
  <c r="C67" i="85" s="1"/>
  <c r="C68" i="85" s="1"/>
  <c r="C71" i="85" s="1"/>
  <c r="C13" i="82"/>
  <c r="C56" i="82" s="1"/>
  <c r="C65" i="82" s="1"/>
  <c r="Q48" i="77"/>
  <c r="C75" i="77"/>
  <c r="C37" i="77"/>
  <c r="C30" i="77" s="1"/>
  <c r="C39" i="77" s="1"/>
  <c r="J16" i="77"/>
  <c r="J25" i="77" s="1"/>
  <c r="Q49" i="82"/>
  <c r="J22" i="85"/>
  <c r="J16" i="85" s="1"/>
  <c r="J25" i="85" s="1"/>
  <c r="C64" i="15"/>
  <c r="C56" i="15"/>
  <c r="C65" i="15" s="1"/>
  <c r="J16" i="83"/>
  <c r="J25" i="83" s="1"/>
  <c r="J26" i="83" s="1"/>
  <c r="J29" i="83" s="1"/>
  <c r="C64" i="83"/>
  <c r="C57" i="82"/>
  <c r="C64" i="82" s="1"/>
  <c r="J14" i="82"/>
  <c r="J22" i="82" s="1"/>
  <c r="C37" i="15"/>
  <c r="C30" i="15" s="1"/>
  <c r="C39" i="15" s="1"/>
  <c r="Q70" i="15"/>
  <c r="J22" i="15"/>
  <c r="J16" i="15" s="1"/>
  <c r="J25" i="15" s="1"/>
  <c r="C52" i="69"/>
  <c r="B2" i="69" s="1"/>
  <c r="B3" i="69" s="1"/>
  <c r="J16" i="81"/>
  <c r="J25" i="81" s="1"/>
  <c r="J26" i="81" s="1"/>
  <c r="J29" i="81" s="1"/>
  <c r="J16" i="84"/>
  <c r="J25" i="84" s="1"/>
  <c r="J26" i="84" s="1"/>
  <c r="J29" i="84" s="1"/>
  <c r="C58" i="84"/>
  <c r="C67" i="84" s="1"/>
  <c r="C68" i="84" s="1"/>
  <c r="C71" i="84" s="1"/>
  <c r="N65" i="40"/>
  <c r="H7" i="40" s="1"/>
  <c r="O63" i="40"/>
  <c r="O65" i="40" s="1"/>
  <c r="C56" i="67"/>
  <c r="C65" i="67" s="1"/>
  <c r="C75" i="67"/>
  <c r="C37" i="67"/>
  <c r="C30" i="67" s="1"/>
  <c r="C39" i="67" s="1"/>
  <c r="C40" i="67" s="1"/>
  <c r="Q70" i="67"/>
  <c r="Q48" i="67"/>
  <c r="C61" i="67"/>
  <c r="C59" i="67" s="1"/>
  <c r="C64" i="67"/>
  <c r="J13" i="67"/>
  <c r="J23" i="67" s="1"/>
  <c r="J22" i="67"/>
  <c r="J26" i="15"/>
  <c r="J29" i="15" s="1"/>
  <c r="C40" i="84"/>
  <c r="C80" i="84"/>
  <c r="C79" i="84" s="1"/>
  <c r="C80" i="78"/>
  <c r="C79" i="78" s="1"/>
  <c r="Q69" i="78"/>
  <c r="Q68" i="78" s="1"/>
  <c r="C71" i="78"/>
  <c r="C46" i="78"/>
  <c r="Q65" i="78"/>
  <c r="Q47" i="78"/>
  <c r="Q53" i="78" s="1"/>
  <c r="Q56" i="78"/>
  <c r="C43" i="78"/>
  <c r="C83" i="78"/>
  <c r="C82" i="78" s="1"/>
  <c r="C102" i="9"/>
  <c r="C21" i="9"/>
  <c r="B3" i="68"/>
  <c r="Q69" i="84"/>
  <c r="Q68" i="84" s="1"/>
  <c r="L57" i="15"/>
  <c r="L60" i="15" s="1"/>
  <c r="L46" i="15" s="1"/>
  <c r="L57" i="85"/>
  <c r="L60" i="85" s="1"/>
  <c r="L57" i="84"/>
  <c r="L60" i="84" s="1"/>
  <c r="L57" i="83"/>
  <c r="L60" i="83" s="1"/>
  <c r="L57" i="82"/>
  <c r="L60" i="82" s="1"/>
  <c r="L57" i="81"/>
  <c r="L60" i="81" s="1"/>
  <c r="C57" i="68"/>
  <c r="C56" i="68" s="1"/>
  <c r="M68" i="39"/>
  <c r="L70" i="39"/>
  <c r="L51" i="83"/>
  <c r="L51" i="77"/>
  <c r="L51" i="81"/>
  <c r="C20" i="9"/>
  <c r="L51" i="85"/>
  <c r="L51" i="84"/>
  <c r="L51" i="15"/>
  <c r="L51" i="78"/>
  <c r="C58" i="77" l="1"/>
  <c r="C67" i="77" s="1"/>
  <c r="C68" i="77" s="1"/>
  <c r="C71" i="77" s="1"/>
  <c r="Q69" i="83"/>
  <c r="Q68" i="83" s="1"/>
  <c r="C57" i="69"/>
  <c r="C56" i="69" s="1"/>
  <c r="C58" i="83"/>
  <c r="C67" i="83" s="1"/>
  <c r="C68" i="83" s="1"/>
  <c r="C71" i="83" s="1"/>
  <c r="C56" i="11"/>
  <c r="C57" i="11" s="1"/>
  <c r="Q67" i="83"/>
  <c r="H40" i="83"/>
  <c r="C40" i="83" s="1"/>
  <c r="Q65" i="83" s="1"/>
  <c r="C37" i="82"/>
  <c r="C30" i="82" s="1"/>
  <c r="C39" i="82" s="1"/>
  <c r="Q69" i="82" s="1"/>
  <c r="C61" i="82"/>
  <c r="C59" i="82" s="1"/>
  <c r="C58" i="82" s="1"/>
  <c r="C67" i="82" s="1"/>
  <c r="C68" i="82" s="1"/>
  <c r="C71" i="82" s="1"/>
  <c r="Q70" i="82"/>
  <c r="C75" i="82"/>
  <c r="C80" i="77"/>
  <c r="C79" i="77" s="1"/>
  <c r="C40" i="77"/>
  <c r="Q65" i="77" s="1"/>
  <c r="Q67" i="77"/>
  <c r="L57" i="77"/>
  <c r="L60" i="77" s="1"/>
  <c r="Q69" i="77"/>
  <c r="Q68" i="77" s="1"/>
  <c r="H40" i="15"/>
  <c r="C40" i="15" s="1"/>
  <c r="Q47" i="15" s="1"/>
  <c r="Q53" i="15" s="1"/>
  <c r="Q69" i="15"/>
  <c r="Q68" i="15" s="1"/>
  <c r="Q69" i="81"/>
  <c r="Q68" i="81" s="1"/>
  <c r="C80" i="15"/>
  <c r="C79" i="15" s="1"/>
  <c r="C58" i="15"/>
  <c r="C67" i="15" s="1"/>
  <c r="C68" i="15" s="1"/>
  <c r="C71" i="15" s="1"/>
  <c r="Q65" i="84"/>
  <c r="J13" i="82"/>
  <c r="J23" i="82" s="1"/>
  <c r="J16" i="82" s="1"/>
  <c r="J25" i="82" s="1"/>
  <c r="J26" i="82" s="1"/>
  <c r="J29" i="82" s="1"/>
  <c r="C80" i="81"/>
  <c r="C79" i="81" s="1"/>
  <c r="Q65" i="81"/>
  <c r="Q67" i="81"/>
  <c r="C58" i="67"/>
  <c r="C67" i="67" s="1"/>
  <c r="C68" i="67" s="1"/>
  <c r="C71" i="67" s="1"/>
  <c r="U7" i="40"/>
  <c r="AB7" i="40"/>
  <c r="T42" i="40" s="1"/>
  <c r="G42" i="40" s="1"/>
  <c r="J7" i="40"/>
  <c r="F7" i="40"/>
  <c r="J16" i="67"/>
  <c r="J25" i="67" s="1"/>
  <c r="C80" i="67"/>
  <c r="C79" i="67" s="1"/>
  <c r="Q69" i="67"/>
  <c r="Q68" i="67" s="1"/>
  <c r="Q65" i="67"/>
  <c r="Q56" i="67"/>
  <c r="C43" i="67"/>
  <c r="C83" i="67"/>
  <c r="C82" i="67" s="1"/>
  <c r="Q47" i="67"/>
  <c r="Q53" i="67" s="1"/>
  <c r="Q67" i="78"/>
  <c r="L57" i="78"/>
  <c r="L60" i="78" s="1"/>
  <c r="C83" i="81"/>
  <c r="C82" i="81" s="1"/>
  <c r="Q47" i="81"/>
  <c r="Q53" i="81" s="1"/>
  <c r="H40" i="85"/>
  <c r="C40" i="85" s="1"/>
  <c r="Q65" i="85" s="1"/>
  <c r="Q56" i="81"/>
  <c r="C46" i="81"/>
  <c r="C43" i="81"/>
  <c r="Q67" i="84"/>
  <c r="Q67" i="15"/>
  <c r="C103" i="9"/>
  <c r="Q47" i="84"/>
  <c r="Q53" i="84" s="1"/>
  <c r="C80" i="85"/>
  <c r="C79" i="85" s="1"/>
  <c r="Q67" i="85"/>
  <c r="Q69" i="85"/>
  <c r="Q68" i="85" s="1"/>
  <c r="Q57" i="15"/>
  <c r="C83" i="84"/>
  <c r="C82" i="84" s="1"/>
  <c r="Q56" i="84"/>
  <c r="Q66" i="15"/>
  <c r="C46" i="84"/>
  <c r="C43" i="84"/>
  <c r="Q66" i="85"/>
  <c r="Q57" i="85"/>
  <c r="L46" i="85"/>
  <c r="Q66" i="84"/>
  <c r="Q57" i="84"/>
  <c r="L46" i="84"/>
  <c r="B2" i="84" s="1"/>
  <c r="Q66" i="83"/>
  <c r="Q57" i="83"/>
  <c r="L46" i="83"/>
  <c r="Q66" i="82"/>
  <c r="Q57" i="82"/>
  <c r="L46" i="82"/>
  <c r="Q66" i="81"/>
  <c r="Q57" i="81"/>
  <c r="L46" i="81"/>
  <c r="B2" i="81" s="1"/>
  <c r="N68" i="39"/>
  <c r="M70" i="39"/>
  <c r="L51" i="82"/>
  <c r="L51" i="67"/>
  <c r="AO10" i="1"/>
  <c r="AO7" i="1"/>
  <c r="Q47" i="83" l="1"/>
  <c r="Q53" i="83" s="1"/>
  <c r="Q66" i="78"/>
  <c r="Q75" i="78" s="1"/>
  <c r="L46" i="78"/>
  <c r="B2" i="78" s="1"/>
  <c r="B3" i="78" s="1"/>
  <c r="Q57" i="77"/>
  <c r="L46" i="77"/>
  <c r="B2" i="77" s="1"/>
  <c r="B3" i="77" s="1"/>
  <c r="Q75" i="81"/>
  <c r="B2" i="83"/>
  <c r="B3" i="83" s="1"/>
  <c r="C43" i="83"/>
  <c r="C83" i="83"/>
  <c r="C82" i="83" s="1"/>
  <c r="Q75" i="83"/>
  <c r="Q56" i="83"/>
  <c r="Q62" i="83" s="1"/>
  <c r="C46" i="83"/>
  <c r="Q68" i="82"/>
  <c r="C80" i="82"/>
  <c r="C79" i="82" s="1"/>
  <c r="H40" i="82"/>
  <c r="C40" i="82" s="1"/>
  <c r="C83" i="82" s="1"/>
  <c r="C82" i="82" s="1"/>
  <c r="Q67" i="82"/>
  <c r="Q66" i="77"/>
  <c r="Q75" i="77" s="1"/>
  <c r="C46" i="77"/>
  <c r="Q47" i="77"/>
  <c r="Q53" i="77" s="1"/>
  <c r="C43" i="77"/>
  <c r="Q56" i="77"/>
  <c r="C83" i="77"/>
  <c r="C82" i="77" s="1"/>
  <c r="C83" i="15"/>
  <c r="C82" i="15" s="1"/>
  <c r="B2" i="15"/>
  <c r="Q75" i="84"/>
  <c r="C43" i="15"/>
  <c r="Q56" i="15"/>
  <c r="Q62" i="15" s="1"/>
  <c r="Q65" i="15"/>
  <c r="Q75" i="15" s="1"/>
  <c r="C46" i="15"/>
  <c r="C45" i="67"/>
  <c r="C46" i="67" s="1"/>
  <c r="W7" i="40"/>
  <c r="AC7" i="40"/>
  <c r="V42" i="40" s="1"/>
  <c r="I42" i="40" s="1"/>
  <c r="I46" i="40" s="1"/>
  <c r="J46" i="40" s="1"/>
  <c r="G46" i="40"/>
  <c r="H46" i="40" s="1"/>
  <c r="S7" i="40"/>
  <c r="AA7" i="40"/>
  <c r="R42" i="40" s="1"/>
  <c r="L57" i="67"/>
  <c r="L60" i="67" s="1"/>
  <c r="L46" i="67" s="1"/>
  <c r="D2" i="67" s="1"/>
  <c r="B3" i="67" s="1"/>
  <c r="Q67" i="67"/>
  <c r="Q57" i="78"/>
  <c r="Q62" i="78" s="1"/>
  <c r="Q56" i="85"/>
  <c r="Q62" i="85" s="1"/>
  <c r="C43" i="85"/>
  <c r="Q47" i="85"/>
  <c r="Q53" i="85" s="1"/>
  <c r="Q62" i="81"/>
  <c r="B2" i="85"/>
  <c r="C83" i="85"/>
  <c r="C82" i="85" s="1"/>
  <c r="C46" i="85"/>
  <c r="Q62" i="84"/>
  <c r="Q75" i="85"/>
  <c r="B10" i="70"/>
  <c r="B3" i="84"/>
  <c r="B7" i="70"/>
  <c r="B3" i="81"/>
  <c r="O68" i="39"/>
  <c r="O70" i="39" s="1"/>
  <c r="N70" i="39"/>
  <c r="AO9" i="1"/>
  <c r="AO6" i="1"/>
  <c r="AO11" i="1"/>
  <c r="B2" i="67" l="1"/>
  <c r="B2" i="82"/>
  <c r="Q62" i="77"/>
  <c r="G47" i="40"/>
  <c r="H47" i="40" s="1"/>
  <c r="B9" i="70"/>
  <c r="Q47" i="82"/>
  <c r="Q53" i="82" s="1"/>
  <c r="Q56" i="82"/>
  <c r="Q62" i="82" s="1"/>
  <c r="C43" i="82"/>
  <c r="Q65" i="82"/>
  <c r="Q75" i="82" s="1"/>
  <c r="C46" i="82"/>
  <c r="B6" i="70"/>
  <c r="B3" i="15"/>
  <c r="B3" i="82"/>
  <c r="E42" i="40"/>
  <c r="R43" i="40"/>
  <c r="Q66" i="67"/>
  <c r="Q75" i="67" s="1"/>
  <c r="Q57" i="67"/>
  <c r="Q62" i="67" s="1"/>
  <c r="B11" i="70"/>
  <c r="B3" i="85"/>
  <c r="J7" i="39"/>
  <c r="F7" i="39"/>
  <c r="H7" i="39"/>
  <c r="AO8" i="1"/>
  <c r="B2" i="70" l="1"/>
  <c r="B8" i="70"/>
  <c r="C43" i="40"/>
  <c r="C42" i="40"/>
  <c r="I47" i="40"/>
  <c r="J47" i="40" s="1"/>
  <c r="E47" i="40"/>
  <c r="F47" i="40" s="1"/>
  <c r="E46" i="40"/>
  <c r="F46" i="40" s="1"/>
  <c r="AB7" i="39"/>
  <c r="T47" i="39" s="1"/>
  <c r="G47" i="39" s="1"/>
  <c r="U7" i="39"/>
  <c r="AA7" i="39"/>
  <c r="R47" i="39" s="1"/>
  <c r="S7" i="39"/>
  <c r="W7" i="39"/>
  <c r="AC7" i="39"/>
  <c r="V47" i="39" s="1"/>
  <c r="I47" i="39" s="1"/>
  <c r="D19" i="9"/>
  <c r="D102" i="9" l="1"/>
  <c r="D22" i="9"/>
  <c r="D21" i="9"/>
  <c r="G19" i="9"/>
  <c r="G21" i="9" s="1"/>
  <c r="B3" i="70"/>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R48" i="39"/>
  <c r="E47" i="39"/>
  <c r="G52" i="39"/>
  <c r="H52" i="39" s="1"/>
  <c r="G51" i="39"/>
  <c r="H51" i="39" s="1"/>
  <c r="I51" i="39"/>
  <c r="J51" i="39" s="1"/>
  <c r="I52" i="39"/>
  <c r="J52" i="39" s="1"/>
  <c r="D20" i="9"/>
  <c r="C32" i="9" l="1"/>
  <c r="C35" i="9" s="1"/>
  <c r="F118" i="9" s="1"/>
  <c r="G20" i="9"/>
  <c r="D103" i="9"/>
  <c r="C48" i="39"/>
  <c r="C47" i="39"/>
  <c r="E51" i="39"/>
  <c r="F51" i="39" s="1"/>
  <c r="E52" i="39"/>
  <c r="F52" i="39" s="1"/>
  <c r="H118" i="9" l="1"/>
  <c r="D14" i="74" s="1"/>
  <c r="C34" i="9"/>
  <c r="D118" i="9" s="1"/>
  <c r="C104" i="9"/>
  <c r="F4" i="52"/>
  <c r="B51" i="72" s="1"/>
  <c r="F119" i="9"/>
  <c r="F5" i="52" s="1"/>
  <c r="B53" i="72" s="1"/>
  <c r="G118" i="9"/>
  <c r="G4" i="52" s="1"/>
  <c r="B52"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01" i="9" l="1"/>
  <c r="D5" i="53" s="1"/>
  <c r="I118" i="9"/>
  <c r="E118" i="9" s="1"/>
  <c r="E4" i="52" s="1"/>
  <c r="B48" i="72" s="1"/>
  <c r="H4" i="52"/>
  <c r="H119" i="9"/>
  <c r="H5" i="52" s="1"/>
  <c r="E14" i="74"/>
  <c r="B5" i="74"/>
  <c r="F14" i="74"/>
  <c r="H102" i="9"/>
  <c r="D7" i="53" s="1"/>
  <c r="B21" i="72" s="1"/>
  <c r="D4" i="52"/>
  <c r="B47" i="72" s="1"/>
  <c r="D119" i="9"/>
  <c r="D5" i="52" s="1"/>
  <c r="B49" i="72" s="1"/>
  <c r="D45" i="9" l="1"/>
  <c r="C72" i="9" s="1"/>
  <c r="I4" i="52"/>
  <c r="H107" i="9"/>
  <c r="D13" i="53" s="1"/>
  <c r="M48" i="9"/>
  <c r="C105" i="9"/>
  <c r="D6" i="53"/>
  <c r="B22" i="72" s="1"/>
  <c r="B20" i="72"/>
  <c r="D5" i="74"/>
  <c r="C5" i="74"/>
  <c r="D55" i="9" l="1"/>
  <c r="M53" i="9" s="1"/>
  <c r="C85" i="9"/>
  <c r="C64" i="9"/>
  <c r="C63" i="9" s="1"/>
  <c r="C67" i="9" s="1"/>
  <c r="C68" i="9" s="1"/>
  <c r="D54" i="9" s="1"/>
  <c r="D53" i="9"/>
  <c r="D52" i="9"/>
  <c r="C93" i="9"/>
  <c r="C86" i="9" s="1"/>
  <c r="C78" i="9"/>
  <c r="C73" i="9" s="1"/>
  <c r="C79" i="9" s="1"/>
  <c r="H108" i="9"/>
  <c r="D15" i="53" s="1"/>
  <c r="B31" i="72" s="1"/>
  <c r="D122" i="9"/>
  <c r="D123" i="9" s="1"/>
  <c r="D9" i="52" s="1"/>
  <c r="C95" i="9"/>
  <c r="D14" i="53"/>
  <c r="B32" i="72" s="1"/>
  <c r="B30" i="72"/>
  <c r="G14" i="74" l="1"/>
  <c r="B6" i="74" s="1"/>
  <c r="D6" i="74" s="1"/>
  <c r="D8" i="52"/>
  <c r="C96" i="9"/>
  <c r="E96" i="9" s="1"/>
  <c r="E97" i="9" s="1"/>
  <c r="C80" i="9"/>
  <c r="E80" i="9" s="1"/>
  <c r="E81" i="9" s="1"/>
  <c r="C6" i="74" l="1"/>
  <c r="C97" i="9"/>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<sst xmlns="http://schemas.openxmlformats.org/spreadsheetml/2006/main" count="10617" uniqueCount="3202">
  <si>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</si>
  <si>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</si>
  <si>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</si>
  <si>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</si>
  <si>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</si>
  <si>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</si>
  <si>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</si>
  <si>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</si>
  <si>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</si>
  <si>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</si>
  <si>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</si>
  <si>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</si>
  <si>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</si>
  <si>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</si>
  <si>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</si>
  <si>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</si>
  <si>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</si>
  <si>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</si>
  <si>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</si>
  <si>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</si>
  <si>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</si>
  <si>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</si>
  <si>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</si>
  <si>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</si>
  <si>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</si>
  <si>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</si>
  <si>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</si>
  <si>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</si>
  <si>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</si>
  <si>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</si>
  <si>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</si>
  <si>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</si>
  <si>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</si>
  <si>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</si>
  <si>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</si>
  <si>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</si>
  <si>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</si>
  <si>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</si>
  <si>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</si>
  <si>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</si>
  <si>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</si>
  <si>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</si>
  <si>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</si>
  <si>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</si>
  <si>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</si>
  <si>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</si>
  <si>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</si>
  <si>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</si>
  <si>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</si>
  <si>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</si>
  <si>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</si>
  <si>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</si>
  <si>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</si>
  <si>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</si>
  <si>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</si>
  <si>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</si>
  <si>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</si>
  <si>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</si>
  <si>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</si>
  <si>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</si>
  <si>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</si>
  <si>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</si>
  <si>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</si>
  <si>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</si>
  <si>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</si>
  <si>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</si>
  <si>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</si>
  <si>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</si>
  <si>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</si>
  <si>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</si>
  <si>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</si>
  <si>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</si>
  <si>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</si>
  <si>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</si>
  <si>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</si>
  <si>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</si>
  <si>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</si>
  <si>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</si>
  <si>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</si>
  <si>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</si>
  <si>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</si>
  <si>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</si>
  <si>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</si>
  <si>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</si>
  <si>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</si>
  <si>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</si>
  <si>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</si>
  <si>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</si>
  <si>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</si>
  <si>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</si>
  <si>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</si>
  <si>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</si>
  <si>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</si>
  <si>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</si>
  <si>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</si>
  <si>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</si>
  <si>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</si>
  <si>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</si>
  <si>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</si>
  <si>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</si>
  <si>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</si>
  <si>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</si>
  <si>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</si>
  <si>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</si>
  <si>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</si>
  <si>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</si>
  <si>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</si>
  <si>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</si>
  <si>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</si>
  <si>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</si>
  <si>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</si>
  <si>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</si>
  <si>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</si>
  <si>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</si>
  <si>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</si>
  <si>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</si>
  <si>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</si>
  <si>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</si>
  <si>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</si>
  <si>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</si>
  <si>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</si>
  <si>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</si>
  <si>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</si>
  <si>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</si>
  <si>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</si>
  <si>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</si>
  <si>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</si>
  <si>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</si>
  <si>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</si>
  <si>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</si>
  <si>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</si>
  <si>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</si>
  <si>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</si>
  <si>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</si>
  <si>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</si>
  <si>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</si>
  <si>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</si>
  <si>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</si>
  <si>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</si>
  <si>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</si>
  <si>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</si>
  <si>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</si>
  <si>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</si>
  <si>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</si>
  <si>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</si>
  <si>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</si>
  <si>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</si>
  <si>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</si>
  <si>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</si>
  <si>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</si>
  <si>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</si>
  <si>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</si>
  <si>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</si>
  <si>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</si>
  <si>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</si>
  <si>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</si>
  <si>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</si>
  <si>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</si>
  <si>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</si>
  <si>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</si>
  <si>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</si>
  <si>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</si>
  <si>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</si>
  <si>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</si>
  <si>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</si>
  <si>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</si>
  <si>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</si>
  <si>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</si>
  <si>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</si>
  <si>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</si>
  <si>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</si>
  <si>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</si>
  <si>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</si>
  <si>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</si>
  <si>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</si>
  <si>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</si>
  <si>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</si>
  <si>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</si>
  <si>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</si>
  <si>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</si>
  <si>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</si>
  <si>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</si>
  <si>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</si>
  <si>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</si>
  <si>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</si>
  <si>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</si>
  <si>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</si>
  <si>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</si>
  <si>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</si>
  <si>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</si>
  <si>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</si>
  <si>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</si>
  <si>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</si>
  <si>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</si>
  <si>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</si>
  <si>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</si>
  <si>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</si>
  <si>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</si>
  <si>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</si>
  <si>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</si>
  <si>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</si>
  <si>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</si>
  <si>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</si>
  <si>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</si>
  <si>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</si>
  <si>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</si>
  <si>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</si>
  <si>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</si>
  <si>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</si>
  <si>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</si>
  <si>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</si>
  <si>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</si>
  <si>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</si>
  <si>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</si>
  <si>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</si>
  <si>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</si>
  <si>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</si>
  <si>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</si>
  <si>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</si>
  <si>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</si>
  <si>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</si>
  <si>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</si>
  <si>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</si>
  <si>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</si>
  <si>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</si>
  <si>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</si>
  <si>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</si>
  <si>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</si>
  <si>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</si>
  <si>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</si>
  <si>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</si>
  <si>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</si>
  <si>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</si>
  <si>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</si>
  <si>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</si>
  <si>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</si>
  <si>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</si>
  <si>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</si>
  <si>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</si>
  <si>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</si>
  <si>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</si>
  <si>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</si>
  <si>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</si>
  <si>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</si>
  <si>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</si>
  <si>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</si>
  <si>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</si>
  <si>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</si>
  <si>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</si>
  <si>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</si>
  <si>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</si>
  <si>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</si>
  <si>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</si>
  <si>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</si>
  <si>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</si>
  <si>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</si>
  <si>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</si>
  <si>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</si>
  <si>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</si>
  <si>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</si>
  <si>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</si>
  <si>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</si>
  <si>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</si>
  <si>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</si>
  <si>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</si>
  <si>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</si>
  <si>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</si>
  <si>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</si>
  <si>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</si>
  <si>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</si>
  <si>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</si>
  <si>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</si>
  <si>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</si>
  <si>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</si>
  <si>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</si>
  <si>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</si>
  <si>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</si>
  <si>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</si>
  <si>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</si>
  <si>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</si>
  <si>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</si>
  <si>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</si>
  <si>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</si>
  <si>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</si>
  <si>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</si>
  <si>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</si>
  <si>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</si>
  <si>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</si>
  <si>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</si>
  <si>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</si>
  <si>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</si>
  <si>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</si>
  <si>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</si>
  <si>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</si>
  <si>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</si>
  <si>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</si>
  <si>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</si>
  <si>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</si>
  <si>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</si>
  <si>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</si>
  <si>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</si>
  <si>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</si>
  <si>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</si>
  <si>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</si>
  <si>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</si>
  <si>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</si>
  <si>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</si>
  <si>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</si>
  <si>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</si>
  <si>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</si>
  <si>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</si>
  <si>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</si>
  <si>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</si>
  <si>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</si>
  <si>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</si>
  <si>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</si>
  <si>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</si>
  <si>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</si>
  <si>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</si>
  <si>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</si>
  <si>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</si>
  <si>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</si>
  <si>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</si>
  <si>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</si>
  <si>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</si>
  <si>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</si>
  <si>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</si>
  <si>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</si>
  <si>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</si>
  <si>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</si>
  <si>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</si>
  <si>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</si>
  <si>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</si>
  <si>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</si>
  <si>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</si>
  <si>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</si>
  <si>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</si>
  <si>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</si>
  <si>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</si>
  <si>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</si>
  <si>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</si>
  <si>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</si>
  <si>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</si>
  <si>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</si>
  <si>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</si>
  <si>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</si>
  <si>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</si>
  <si>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</si>
  <si>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</si>
  <si>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</si>
  <si>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</si>
  <si>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</si>
  <si>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</si>
  <si>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</si>
  <si>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</si>
  <si>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</si>
  <si>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</si>
  <si>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</si>
  <si>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</si>
  <si>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</si>
  <si>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</si>
  <si>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</si>
  <si>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</si>
  <si>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</si>
  <si>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</si>
  <si>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</si>
  <si>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</si>
  <si>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</si>
  <si>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</si>
  <si>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</si>
  <si>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</si>
  <si>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</si>
  <si>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</si>
  <si>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</si>
  <si>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</si>
  <si>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</si>
  <si>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</si>
  <si>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</si>
  <si>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</si>
  <si>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</si>
  <si>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</si>
  <si>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</si>
  <si>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</si>
  <si>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</si>
  <si>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</si>
  <si>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</si>
  <si>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</si>
  <si>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</si>
  <si>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</si>
  <si>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</si>
  <si>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</si>
  <si>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</si>
  <si>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</si>
  <si>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</si>
  <si>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</si>
  <si>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</si>
  <si>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</si>
  <si>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</si>
  <si>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</si>
  <si>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</si>
  <si>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</si>
  <si>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</si>
  <si>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</si>
  <si>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</si>
  <si>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</si>
  <si>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</si>
  <si>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</si>
  <si>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</si>
  <si>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</si>
  <si>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</si>
  <si>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</si>
  <si>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</si>
  <si>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</si>
  <si>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</si>
  <si>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</si>
  <si>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</si>
  <si>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</si>
  <si>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</si>
  <si>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</si>
  <si>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</si>
  <si>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</si>
  <si>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</si>
  <si>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</si>
  <si>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</si>
  <si>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</si>
  <si>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</si>
  <si>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</si>
  <si>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</si>
  <si>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</si>
  <si>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</si>
  <si>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</si>
  <si>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</si>
  <si>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</si>
  <si>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</si>
  <si>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</si>
  <si>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</si>
  <si>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</si>
  <si>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</si>
  <si>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</si>
  <si>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</si>
  <si>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</si>
  <si>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</si>
  <si>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</si>
  <si>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</si>
  <si>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</si>
  <si>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</si>
  <si>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</si>
  <si>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</si>
  <si>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</si>
  <si>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</si>
  <si>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</si>
  <si>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</si>
  <si>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</si>
  <si>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</si>
  <si>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</si>
  <si>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</si>
  <si>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</si>
  <si>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</si>
  <si>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</si>
  <si>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</si>
  <si>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</si>
  <si>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</si>
  <si>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</si>
  <si>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</si>
  <si>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</si>
  <si>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</si>
  <si>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</si>
  <si>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</si>
  <si>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</si>
  <si>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</si>
  <si>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</si>
  <si>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</si>
  <si>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</si>
  <si>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</si>
  <si>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</si>
  <si>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</si>
  <si>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</si>
  <si>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</si>
  <si>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</si>
  <si>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</si>
  <si>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</si>
  <si>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</si>
  <si>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</si>
  <si>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</si>
  <si>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</si>
  <si>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</si>
  <si>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</si>
  <si>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</si>
  <si>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</si>
  <si>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</si>
  <si>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</si>
  <si>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</si>
  <si>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</si>
  <si>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</si>
  <si>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</si>
  <si>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</si>
  <si>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</si>
  <si>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</si>
  <si>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</si>
  <si>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</si>
  <si>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</si>
  <si>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</si>
  <si>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</si>
  <si>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</si>
  <si>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</si>
  <si>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</si>
  <si>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</si>
  <si>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</si>
  <si>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</si>
  <si>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</si>
  <si>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</si>
  <si>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</si>
  <si>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</si>
  <si>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</si>
  <si>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</si>
  <si>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</si>
  <si>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</si>
  <si>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</si>
  <si>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</si>
  <si>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</si>
  <si>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</si>
  <si>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</si>
  <si>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</si>
  <si>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</si>
  <si>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</si>
  <si>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</si>
  <si>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</si>
  <si>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</si>
  <si>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</si>
  <si>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</si>
  <si>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</si>
  <si>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</si>
  <si>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</si>
  <si>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</si>
  <si>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</si>
  <si>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</si>
  <si>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</si>
  <si>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</si>
  <si>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</si>
  <si>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</si>
  <si>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</si>
  <si>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</si>
  <si>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</si>
  <si>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</si>
  <si>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</si>
  <si>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</si>
  <si>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</si>
  <si>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</si>
  <si>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</si>
  <si>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</si>
  <si>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</si>
  <si>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</si>
  <si>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</si>
  <si>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</si>
  <si>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</si>
  <si>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</si>
  <si>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</si>
  <si>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</si>
  <si>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</si>
  <si>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</si>
  <si>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</si>
  <si>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</si>
  <si>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</si>
  <si>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</si>
  <si>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</si>
  <si>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</si>
  <si>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</si>
  <si>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</si>
  <si>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</si>
  <si>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</si>
  <si>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</si>
  <si>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</si>
  <si>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</si>
  <si>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</si>
  <si>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</si>
  <si>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</si>
  <si>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</si>
  <si>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</si>
  <si>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</si>
  <si>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</si>
  <si>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</si>
  <si>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</si>
  <si>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</si>
  <si>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</si>
  <si>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</si>
  <si>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</si>
  <si>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</si>
  <si>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</si>
  <si>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</si>
  <si>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</si>
  <si>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</si>
  <si>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</si>
  <si>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</si>
  <si>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</si>
  <si>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</si>
  <si>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</si>
  <si>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</si>
  <si>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</si>
  <si>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</si>
  <si>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</si>
  <si>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</si>
  <si>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</si>
  <si>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</si>
  <si>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</si>
  <si>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</si>
  <si>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</si>
  <si>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</si>
  <si>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</si>
  <si>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</si>
  <si>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</si>
  <si>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</si>
  <si>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</si>
  <si>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</si>
  <si>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</si>
  <si>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</si>
  <si>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</si>
  <si>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</si>
  <si>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</si>
  <si>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</si>
  <si>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</si>
  <si>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</si>
  <si>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</si>
  <si>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</si>
  <si>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</si>
  <si>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</si>
  <si>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</si>
  <si>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</si>
  <si>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</si>
  <si>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</si>
  <si>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</si>
  <si>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</si>
  <si>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</si>
  <si>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</si>
  <si>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</si>
  <si>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</si>
  <si>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</si>
  <si>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</si>
  <si>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</si>
  <si>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</si>
  <si>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</si>
  <si>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</si>
  <si>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</si>
  <si>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</si>
  <si>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</si>
  <si>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</si>
  <si>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</si>
  <si>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</si>
  <si>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</si>
  <si>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</si>
  <si>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</si>
  <si>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</si>
  <si>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</si>
  <si>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</si>
  <si>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</si>
  <si>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</si>
  <si>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</si>
  <si>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</si>
  <si>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</si>
  <si>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</si>
  <si>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</si>
  <si>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</si>
  <si>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</si>
  <si>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</si>
  <si>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</si>
  <si>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</si>
  <si>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</si>
  <si>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</si>
  <si>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</si>
  <si>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</si>
  <si>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</si>
  <si>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</si>
  <si>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</si>
  <si>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</si>
  <si>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</si>
  <si>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</si>
  <si>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</si>
  <si>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</si>
  <si>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</si>
  <si>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</si>
  <si>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</si>
  <si>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</si>
  <si>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</si>
  <si>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</si>
  <si>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</si>
  <si>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</si>
  <si>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</si>
  <si>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</si>
  <si>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</si>
  <si>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</si>
  <si>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</si>
  <si>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</si>
  <si>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</si>
  <si>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</si>
  <si>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</si>
  <si>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</si>
  <si>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</si>
  <si>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</si>
  <si>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</si>
  <si>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</si>
  <si>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</si>
  <si>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</si>
  <si>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</si>
  <si>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</si>
  <si>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</si>
  <si>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</si>
  <si>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</si>
  <si>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</si>
  <si>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</si>
  <si>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</si>
  <si>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</si>
  <si>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</si>
  <si>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</si>
  <si>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</si>
  <si>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</si>
  <si>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</si>
  <si>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</si>
  <si>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</si>
  <si>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</si>
  <si>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</si>
  <si>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</si>
  <si>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</si>
  <si>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</si>
  <si>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</si>
  <si>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</si>
  <si>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</si>
  <si>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</si>
  <si>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</si>
  <si>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</si>
  <si>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</si>
  <si>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</si>
  <si>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</si>
  <si>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</si>
  <si>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</si>
  <si>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</si>
  <si>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</si>
  <si>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</si>
  <si>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</si>
  <si>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</si>
  <si>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</si>
  <si>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</si>
  <si>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</si>
  <si>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</si>
  <si>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</si>
  <si>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</si>
  <si>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</si>
  <si>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</si>
  <si>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</si>
  <si>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</si>
  <si>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</si>
  <si>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</si>
  <si>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</si>
  <si>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</si>
  <si>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</si>
  <si>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</si>
  <si>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</si>
  <si>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</si>
  <si>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</si>
  <si>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</si>
  <si>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</si>
  <si>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</si>
  <si>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</si>
  <si>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</si>
  <si>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</si>
  <si>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</si>
  <si>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</si>
  <si>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</si>
  <si>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</si>
  <si>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</si>
  <si>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</si>
  <si>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</si>
  <si>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</si>
  <si>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</si>
  <si>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</si>
  <si>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</si>
  <si>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</si>
  <si>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</si>
  <si>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</si>
  <si>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</si>
  <si>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</si>
  <si>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</si>
  <si>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</si>
  <si>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</si>
  <si>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</si>
  <si>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</si>
  <si>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</si>
  <si>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</si>
  <si>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</si>
  <si>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</si>
  <si>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</si>
  <si>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</si>
  <si>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</si>
  <si>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</si>
  <si>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</si>
  <si>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</si>
  <si>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</si>
  <si>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</si>
  <si>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</si>
  <si>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</si>
  <si>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</si>
  <si>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</si>
  <si>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</si>
  <si>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</si>
  <si>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</si>
  <si>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</si>
  <si>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</si>
  <si>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</si>
  <si>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</si>
  <si>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</si>
  <si>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</si>
  <si>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</si>
  <si>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</si>
  <si>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</si>
  <si>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</si>
  <si>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</si>
  <si>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</si>
  <si>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</si>
  <si>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</si>
  <si>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</si>
  <si>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</si>
  <si>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</si>
  <si>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</si>
  <si>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</si>
  <si>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</si>
  <si>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</si>
  <si>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</si>
  <si>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</si>
  <si>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</si>
  <si>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</si>
  <si>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</si>
  <si>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</si>
  <si>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</si>
  <si>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</si>
  <si>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</si>
  <si>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</si>
  <si>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</si>
  <si>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</si>
  <si>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</si>
  <si>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</si>
  <si>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</si>
  <si>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</si>
  <si>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</si>
  <si>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</si>
  <si>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</si>
  <si>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</si>
  <si>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</si>
  <si>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</si>
  <si>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</si>
  <si>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</si>
  <si>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</si>
  <si>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</si>
  <si>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</si>
  <si>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</si>
  <si>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</si>
  <si>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</si>
  <si>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</si>
  <si>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</si>
  <si>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</si>
  <si>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</si>
  <si>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</si>
  <si>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</si>
  <si>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</si>
  <si>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</si>
  <si>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</si>
  <si>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</si>
  <si>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</si>
  <si>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</si>
  <si>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</si>
  <si>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</si>
  <si>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</si>
  <si>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</si>
  <si>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</si>
  <si>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</si>
  <si>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</si>
  <si>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</si>
  <si>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</si>
  <si>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</si>
  <si>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</si>
  <si>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</si>
  <si>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</si>
  <si>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</si>
  <si>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</si>
  <si>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</si>
  <si>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</si>
  <si>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</si>
  <si>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</si>
  <si>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</si>
  <si>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</si>
  <si>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</si>
  <si>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</si>
  <si>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</si>
  <si>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</si>
  <si>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</si>
  <si>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</si>
  <si>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</si>
  <si>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</si>
  <si>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</si>
  <si>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</si>
  <si>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</si>
  <si>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</si>
  <si>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</si>
  <si>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</si>
  <si>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</si>
  <si>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</si>
  <si>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</si>
  <si>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</si>
  <si>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</si>
  <si>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</si>
  <si>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</si>
  <si>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</si>
  <si>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</si>
  <si>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</si>
  <si>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</si>
  <si>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</si>
  <si>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</si>
  <si>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</si>
  <si>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</si>
  <si>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</si>
  <si>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</si>
  <si>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</si>
  <si>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</si>
  <si>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</si>
  <si>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</si>
  <si>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</si>
  <si>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</si>
  <si>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</si>
  <si>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</si>
  <si>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</si>
  <si>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</si>
  <si>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</si>
  <si>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</si>
  <si>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</si>
  <si>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</si>
  <si>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</si>
  <si>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</si>
  <si>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</si>
  <si>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</si>
  <si>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</si>
  <si>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</si>
  <si>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</si>
  <si>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</si>
  <si>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</si>
  <si>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</si>
  <si>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</si>
  <si>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</si>
  <si>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</si>
  <si>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</si>
  <si>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</si>
  <si>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</si>
  <si>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</si>
  <si>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</si>
  <si>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</si>
  <si>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</si>
  <si>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</si>
  <si>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</si>
  <si>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</si>
  <si>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</si>
  <si>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</si>
  <si>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</si>
  <si>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</si>
  <si>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</si>
  <si>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</si>
  <si>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</si>
  <si>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</si>
  <si>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</si>
  <si>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</si>
  <si>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</si>
  <si>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</si>
  <si>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</si>
  <si>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</si>
  <si>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</si>
  <si>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</si>
  <si>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</si>
  <si>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</si>
  <si>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</si>
  <si>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</si>
  <si>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</si>
  <si>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</si>
  <si>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</si>
  <si>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</si>
  <si>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</si>
  <si>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</si>
  <si>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</si>
  <si>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</si>
  <si>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</si>
  <si>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</si>
  <si>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</si>
  <si>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</si>
  <si>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</si>
  <si>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</si>
  <si>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</si>
  <si>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</si>
  <si>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</si>
  <si>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</si>
  <si>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</si>
  <si>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</si>
  <si>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</si>
  <si>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</si>
  <si>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</si>
  <si>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</si>
  <si>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</si>
  <si>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</si>
  <si>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</si>
  <si>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</si>
  <si>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</si>
  <si>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</si>
  <si>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</si>
  <si>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</si>
  <si>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</si>
  <si>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</si>
  <si>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</si>
  <si>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</si>
  <si>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</si>
  <si>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</si>
  <si>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</si>
  <si>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</si>
  <si>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</si>
  <si>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</si>
  <si>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</si>
  <si>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</si>
  <si>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</si>
  <si>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</si>
  <si>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</si>
  <si>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</si>
  <si>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</si>
  <si>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</si>
  <si>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</si>
  <si>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</si>
  <si>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</si>
  <si>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</si>
  <si>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</si>
  <si>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</si>
  <si>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</si>
  <si>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</si>
  <si>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</si>
  <si>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</si>
  <si>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</si>
  <si>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</si>
  <si>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</si>
  <si>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</si>
  <si>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</si>
  <si>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</si>
  <si>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</si>
  <si>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</si>
  <si>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</si>
  <si>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</si>
  <si>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</si>
  <si>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</si>
  <si>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</si>
  <si>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</si>
  <si>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</si>
  <si>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</si>
  <si>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</si>
  <si>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</si>
  <si>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</si>
  <si>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</si>
  <si>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</si>
  <si>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</si>
  <si>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</si>
  <si>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</si>
  <si>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</si>
  <si>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</si>
  <si>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</si>
  <si>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</si>
  <si>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</si>
  <si>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</si>
  <si>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</si>
  <si>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</si>
  <si>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</si>
  <si>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</si>
  <si>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</si>
  <si>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</si>
  <si>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</si>
  <si>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</si>
  <si>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</si>
  <si>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</si>
  <si>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</si>
  <si>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</si>
  <si>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</si>
  <si>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</si>
  <si>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</si>
  <si>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</si>
  <si>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</si>
  <si>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</si>
  <si>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</si>
  <si>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</si>
  <si>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</si>
  <si>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</si>
  <si>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</si>
  <si>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</si>
  <si>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</si>
  <si>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</si>
  <si>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</si>
  <si>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</si>
  <si>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</si>
  <si>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</si>
  <si>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</si>
  <si>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</si>
  <si>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</si>
  <si>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</si>
  <si>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</si>
  <si>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</si>
  <si>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</si>
  <si>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</si>
  <si>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</si>
  <si>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</si>
  <si>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</si>
  <si>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</si>
  <si>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</si>
  <si>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</si>
  <si>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</si>
  <si>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</si>
  <si>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</si>
  <si>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</si>
  <si>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</si>
  <si>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</si>
  <si>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</si>
  <si>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</si>
  <si>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</si>
  <si>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</si>
  <si>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</si>
  <si>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</si>
  <si>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</si>
  <si>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</si>
  <si>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</si>
  <si>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</si>
  <si>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</si>
  <si>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</si>
  <si>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</si>
  <si>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</si>
  <si>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</si>
  <si>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</si>
  <si>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</si>
  <si>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</si>
  <si>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</si>
  <si>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</si>
  <si>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</si>
  <si>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</si>
  <si>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</si>
  <si>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</si>
  <si>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</si>
  <si>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</si>
  <si>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</si>
  <si>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</si>
  <si>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</si>
  <si>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</si>
  <si>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</si>
  <si>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</si>
  <si>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</si>
  <si>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</si>
  <si>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</si>
  <si>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</si>
  <si>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</si>
  <si>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</si>
  <si>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</si>
  <si>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</si>
  <si>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</si>
  <si>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</si>
  <si>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</si>
  <si>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</si>
  <si>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</si>
  <si>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</si>
  <si>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</si>
  <si>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</si>
  <si>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</si>
  <si>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</si>
  <si>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</si>
  <si>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</si>
  <si>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</si>
  <si>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</si>
  <si>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</si>
  <si>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</si>
  <si>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</si>
  <si>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</si>
  <si>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</si>
  <si>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</si>
  <si>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</si>
  <si>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</si>
  <si>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</si>
  <si>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</si>
  <si>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</si>
  <si>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</si>
  <si>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</si>
  <si>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</si>
  <si>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</si>
  <si>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</si>
  <si>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</si>
  <si>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</si>
  <si>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</si>
  <si>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</si>
  <si>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</si>
  <si>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</si>
  <si>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</si>
  <si>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</si>
  <si>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</si>
  <si>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</si>
  <si>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</si>
  <si>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</si>
  <si>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</si>
  <si>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</si>
  <si>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</si>
  <si>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</si>
  <si>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</si>
  <si>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</si>
  <si>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</si>
  <si>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</si>
  <si>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</si>
  <si>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</si>
  <si>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</si>
  <si>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</si>
  <si>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</si>
  <si>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</si>
  <si>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</si>
  <si>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</si>
  <si>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</si>
  <si>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</si>
  <si>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</si>
  <si>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</si>
  <si>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</si>
  <si>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</si>
  <si>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</si>
  <si>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</si>
  <si>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</si>
  <si>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</si>
  <si>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</si>
  <si>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</si>
  <si>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</si>
  <si>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</si>
  <si>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</si>
  <si>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</si>
  <si>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</si>
  <si>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</si>
  <si>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</si>
  <si>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</si>
  <si>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</si>
  <si>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</si>
  <si>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</si>
  <si>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</si>
  <si>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</si>
  <si>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</si>
  <si>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</si>
  <si>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</si>
  <si>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</si>
  <si>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</si>
  <si>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</si>
  <si>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</si>
  <si>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</si>
  <si>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</si>
  <si>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</si>
  <si>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</si>
  <si>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</si>
  <si>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</si>
  <si>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</si>
  <si>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</si>
  <si>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</si>
  <si>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</si>
  <si>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</si>
  <si>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</si>
  <si>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</si>
  <si>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</si>
  <si>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</si>
  <si>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</si>
  <si>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</si>
  <si>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</si>
  <si>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</si>
  <si>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</si>
  <si>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</si>
  <si>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</si>
  <si>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</si>
  <si>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</si>
  <si>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</si>
  <si>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</si>
  <si>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</si>
  <si>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</si>
  <si>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</si>
  <si>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</si>
  <si>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</si>
  <si>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</si>
  <si>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</si>
  <si>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</si>
  <si>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</si>
  <si>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</si>
  <si>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</si>
  <si>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</si>
  <si>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</si>
  <si>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</si>
  <si>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</si>
  <si>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</si>
  <si>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</si>
  <si>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</si>
  <si>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</si>
  <si>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</si>
  <si>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</si>
  <si>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</si>
  <si>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</si>
  <si>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</si>
  <si>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</si>
  <si>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</si>
  <si>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</si>
  <si>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</si>
  <si>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</si>
  <si>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</si>
  <si>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</si>
  <si>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</si>
  <si>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</si>
  <si>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</si>
  <si>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</si>
  <si>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</si>
  <si>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</si>
  <si>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</si>
  <si>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</si>
  <si>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</si>
  <si>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</si>
  <si>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</si>
  <si>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</si>
  <si>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</si>
  <si>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</si>
  <si>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</si>
  <si>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</si>
  <si>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</si>
  <si>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</si>
  <si>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</si>
  <si>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</si>
  <si>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</si>
  <si>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</si>
  <si>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</si>
  <si>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</si>
  <si>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</si>
  <si>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</si>
  <si>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</si>
  <si>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</si>
  <si>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</si>
  <si>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</si>
  <si>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</si>
  <si>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</si>
  <si>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</si>
  <si>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</si>
  <si>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</si>
  <si>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</si>
  <si>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</si>
  <si>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</si>
  <si>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</si>
  <si>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</si>
  <si>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</si>
  <si>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</si>
  <si>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</si>
  <si>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</si>
  <si>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</si>
  <si>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</si>
  <si>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</si>
  <si>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</si>
  <si>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</si>
  <si>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</si>
  <si>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</si>
  <si>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</si>
  <si>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</si>
  <si>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</si>
  <si>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</si>
  <si>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</si>
  <si>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</si>
  <si>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</si>
  <si>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</si>
  <si>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</si>
  <si>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</si>
  <si>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</si>
  <si>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</si>
  <si>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</si>
  <si>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</si>
  <si>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</si>
  <si>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</si>
  <si>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</si>
  <si>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</si>
  <si>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</si>
  <si>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</si>
  <si>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</si>
  <si>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</si>
  <si>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</si>
  <si>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</si>
  <si>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</si>
  <si>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</si>
  <si>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</si>
  <si>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</si>
  <si>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</si>
  <si>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</si>
  <si>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</si>
  <si>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</si>
  <si>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</si>
  <si>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</si>
  <si>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</si>
  <si>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</si>
  <si>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</si>
  <si>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</si>
  <si>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</si>
  <si>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</si>
  <si>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</si>
  <si>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</si>
  <si>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</si>
  <si>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</si>
  <si>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</si>
  <si>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</si>
  <si>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</si>
  <si>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</si>
  <si>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</si>
  <si>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</si>
  <si>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</si>
  <si>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</si>
  <si>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</si>
  <si>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</si>
  <si>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</si>
  <si>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</si>
  <si>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</si>
  <si>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</si>
  <si>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</si>
  <si>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</si>
  <si>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</si>
  <si>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</si>
  <si>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</si>
  <si>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</si>
  <si>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</si>
  <si>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</si>
  <si>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</si>
  <si>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</si>
  <si>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</si>
  <si>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</si>
  <si>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</si>
  <si>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</si>
  <si>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</si>
  <si>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</si>
  <si>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</si>
  <si>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</si>
  <si>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</si>
  <si>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</si>
  <si>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</si>
  <si>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</si>
  <si>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</si>
  <si>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</si>
  <si>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</si>
  <si>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</si>
  <si>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</si>
  <si>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</si>
  <si>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</si>
  <si>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</si>
  <si>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</si>
  <si>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</si>
  <si>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</si>
  <si>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</si>
  <si>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</si>
  <si>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</si>
  <si>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</si>
  <si>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</si>
  <si>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</si>
  <si>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</si>
  <si>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</si>
  <si>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</si>
  <si>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</si>
  <si>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</si>
  <si>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</si>
  <si>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</si>
  <si>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</si>
  <si>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</si>
  <si>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</si>
  <si>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</si>
  <si>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</si>
  <si>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</si>
  <si>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</si>
  <si>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</si>
  <si>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</si>
  <si>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</si>
  <si>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</si>
  <si>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</si>
  <si>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</si>
  <si>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</si>
  <si>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</si>
  <si>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</si>
  <si>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</si>
  <si>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</si>
  <si>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</si>
  <si>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</si>
  <si>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</si>
  <si>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</si>
  <si>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</si>
  <si>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</si>
  <si>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</si>
  <si>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</si>
  <si>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</si>
  <si>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</si>
  <si>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</si>
  <si>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</si>
  <si>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</si>
  <si>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</si>
  <si>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</si>
  <si>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</si>
  <si>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</si>
  <si>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</si>
  <si>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</si>
  <si>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</si>
  <si>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</si>
  <si>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</si>
  <si>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</si>
  <si>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</si>
  <si>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</si>
  <si>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</si>
  <si>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</si>
  <si>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</si>
  <si>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</si>
  <si>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</si>
  <si>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</si>
  <si>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</si>
  <si>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</si>
  <si>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</si>
  <si>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</si>
  <si>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</si>
  <si>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</si>
  <si>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</si>
  <si>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</si>
  <si>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</si>
  <si>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</si>
  <si>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</si>
  <si>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</si>
  <si>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</si>
  <si>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</si>
  <si>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</si>
  <si>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</si>
  <si>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</si>
  <si>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</si>
  <si>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</si>
  <si>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</si>
  <si>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</si>
  <si>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</si>
  <si>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</si>
  <si>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</si>
  <si>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</si>
  <si>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</si>
  <si>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</si>
  <si>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</si>
  <si>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</si>
  <si>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</si>
  <si>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</si>
  <si>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</si>
  <si>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</si>
  <si>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</si>
  <si>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</si>
  <si>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</si>
  <si>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</si>
  <si>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</si>
  <si>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</si>
  <si>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</si>
  <si>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</si>
  <si>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</si>
  <si>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</si>
  <si>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</si>
  <si>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</si>
  <si>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</si>
  <si>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</si>
  <si>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</si>
  <si>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</si>
  <si>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</si>
  <si>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</si>
  <si>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</si>
  <si>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</si>
  <si>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</si>
  <si>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</si>
  <si>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</si>
  <si>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</si>
  <si>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</si>
  <si>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</si>
  <si>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</si>
  <si>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</si>
  <si>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</si>
  <si>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</si>
  <si>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</si>
  <si>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</si>
  <si>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</si>
  <si>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</si>
  <si>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</si>
  <si>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</si>
  <si>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</si>
  <si>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</si>
  <si>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</si>
  <si>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</si>
  <si>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</si>
  <si>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</si>
  <si>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</si>
  <si>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</si>
  <si>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</si>
  <si>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</si>
  <si>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</si>
  <si>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</si>
  <si>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</si>
  <si>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</si>
  <si>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</si>
  <si>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</si>
  <si>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</si>
  <si>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</si>
  <si>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</si>
  <si>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</si>
  <si>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</si>
  <si>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</si>
  <si>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</si>
  <si>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</si>
  <si>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</si>
  <si>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</si>
  <si>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</si>
  <si>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</si>
  <si>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</si>
  <si>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</si>
  <si>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</si>
  <si>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</si>
  <si>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</si>
  <si>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</si>
  <si>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</si>
  <si>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</si>
  <si>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</si>
  <si>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</si>
  <si>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</si>
  <si>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</si>
  <si>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</si>
  <si>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</si>
  <si>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</si>
  <si>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</si>
  <si>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</si>
  <si>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</si>
  <si>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</si>
  <si>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</si>
  <si>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</si>
  <si>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</si>
  <si>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</si>
  <si>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</si>
  <si>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</si>
  <si>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</si>
  <si>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</si>
  <si>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</si>
  <si>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</si>
  <si>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</si>
  <si>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</si>
  <si>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</si>
  <si>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</si>
  <si>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</si>
  <si>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</si>
  <si>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</si>
  <si>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</si>
  <si>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</si>
  <si>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</si>
  <si>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</si>
  <si>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</si>
  <si>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</si>
  <si>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</si>
  <si>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</si>
  <si>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</si>
  <si>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</si>
  <si>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</si>
  <si>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</si>
  <si>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</si>
  <si>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</si>
  <si>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</si>
  <si>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</si>
  <si>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</si>
  <si>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</si>
  <si>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</si>
  <si>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</si>
  <si>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</si>
  <si>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</si>
  <si>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</si>
  <si>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</si>
  <si>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</si>
  <si>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</si>
  <si>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</si>
  <si>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</si>
  <si>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</si>
  <si>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</si>
  <si>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</si>
  <si>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</si>
  <si>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</si>
  <si>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</si>
  <si>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</si>
  <si>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</si>
  <si>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</si>
  <si>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</si>
  <si>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</si>
  <si>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</si>
  <si>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</si>
  <si>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</si>
  <si>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</si>
  <si>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</si>
  <si>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</si>
  <si>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</si>
  <si>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</si>
  <si>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</si>
  <si>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</si>
  <si>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</si>
  <si>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</si>
  <si>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</si>
  <si>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</si>
  <si>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</si>
  <si>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</si>
  <si>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</si>
  <si>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</si>
  <si>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</si>
  <si>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</si>
  <si>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</si>
  <si>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</si>
  <si>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</si>
  <si>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</si>
  <si>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</si>
  <si>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</si>
  <si>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</si>
  <si>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</si>
  <si>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</si>
  <si>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</si>
  <si>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</si>
  <si>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</si>
  <si>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</si>
  <si>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</si>
  <si>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</si>
  <si>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</si>
  <si>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</si>
  <si>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</si>
  <si>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</si>
  <si>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</si>
  <si>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</si>
  <si>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</si>
  <si>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</si>
  <si>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</si>
  <si>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</si>
  <si>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</si>
  <si>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</si>
  <si>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</si>
  <si>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</si>
  <si>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</si>
  <si>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</si>
  <si>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</si>
  <si>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</si>
  <si>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</si>
  <si>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</si>
  <si>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</si>
  <si>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</si>
  <si>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</si>
  <si>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</si>
  <si>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</si>
  <si>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</si>
  <si>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</si>
  <si>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</si>
  <si>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</si>
  <si>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</si>
  <si>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</si>
  <si>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</si>
  <si>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</si>
  <si>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</si>
  <si>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</si>
  <si>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</si>
  <si>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</si>
  <si>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</si>
  <si>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</si>
  <si>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</si>
  <si>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</si>
  <si>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</si>
  <si>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</si>
  <si>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</si>
  <si>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</si>
  <si>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</si>
  <si>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</si>
  <si>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</si>
  <si>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</si>
  <si>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</si>
  <si>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</si>
  <si>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</si>
  <si>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</si>
  <si>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</si>
  <si>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</si>
  <si>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</si>
  <si>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</si>
  <si>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</si>
  <si>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</si>
  <si>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</si>
  <si>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</si>
  <si>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</si>
  <si>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</si>
  <si>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</si>
  <si>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</si>
  <si>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</si>
  <si>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</si>
  <si>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</si>
  <si>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</si>
  <si>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</si>
  <si>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</si>
  <si>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</si>
  <si>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</si>
  <si>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</si>
  <si>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</si>
  <si>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</si>
  <si>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</si>
  <si>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</si>
  <si>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</si>
  <si>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</si>
  <si>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</si>
  <si>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</si>
  <si>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</si>
  <si>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</si>
  <si>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</si>
  <si>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</si>
  <si>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</si>
  <si>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</si>
  <si>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</si>
  <si>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</si>
  <si>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</si>
  <si>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</si>
  <si>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</si>
  <si>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</si>
  <si>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</si>
  <si>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</si>
  <si>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</si>
  <si>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</si>
  <si>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</si>
  <si>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</si>
  <si>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</si>
  <si>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</si>
  <si>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</si>
  <si>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</si>
  <si>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</si>
  <si>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</si>
  <si>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</si>
  <si>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</si>
  <si>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</si>
  <si>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</si>
  <si>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</si>
  <si>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</si>
  <si>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</si>
  <si>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</si>
  <si>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</si>
  <si>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</si>
  <si>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</si>
  <si>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</si>
  <si>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</si>
  <si>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</si>
  <si>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</si>
  <si>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</si>
  <si>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</si>
  <si>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</si>
  <si>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</si>
  <si>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</si>
  <si>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</si>
  <si>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</si>
  <si>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</si>
  <si>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</si>
  <si>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</si>
  <si>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</si>
  <si>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</si>
  <si>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</si>
  <si>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</si>
  <si>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</si>
  <si>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</si>
  <si>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</si>
  <si>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</si>
  <si>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</si>
  <si>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</si>
  <si>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</si>
  <si>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</si>
  <si>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</si>
  <si>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</si>
  <si>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</si>
  <si>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</si>
  <si>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</si>
  <si>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</si>
  <si>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</si>
  <si>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</si>
  <si>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</si>
  <si>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</si>
  <si>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</si>
  <si>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</si>
  <si>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</si>
  <si>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</si>
  <si>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</si>
  <si>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</si>
  <si>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</si>
  <si>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</si>
  <si>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</si>
  <si>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</si>
  <si>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</si>
  <si>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</si>
  <si>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</si>
  <si>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</si>
  <si>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</si>
  <si>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</si>
  <si>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</si>
  <si>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</si>
  <si>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</si>
  <si>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</si>
  <si>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</si>
  <si>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</si>
  <si>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</si>
  <si>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</si>
  <si>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</si>
  <si>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</si>
  <si>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</si>
  <si>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</si>
  <si>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</si>
  <si>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</si>
  <si>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</si>
  <si>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</si>
  <si>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</si>
  <si>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</si>
  <si>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</si>
  <si>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</si>
  <si>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</si>
  <si>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</si>
  <si>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</si>
  <si>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</si>
  <si>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</si>
  <si>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</si>
  <si>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</si>
  <si>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</si>
  <si>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</si>
  <si>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</si>
  <si>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</si>
  <si>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</si>
  <si>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</si>
  <si>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</si>
  <si>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</si>
  <si>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</si>
  <si>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</si>
  <si>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</si>
  <si>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</si>
  <si>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</si>
  <si>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</si>
  <si>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</si>
  <si>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</si>
  <si>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</si>
  <si>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</si>
  <si>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</si>
  <si>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</si>
  <si>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</si>
  <si>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</si>
  <si>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</si>
  <si>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</si>
  <si>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</si>
  <si>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</si>
  <si>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</si>
  <si>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</si>
  <si>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</si>
  <si>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</si>
  <si>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</si>
  <si>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</si>
  <si>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</si>
  <si>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</si>
  <si>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</si>
  <si>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</si>
  <si>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</si>
  <si>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</si>
  <si>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</si>
  <si>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</si>
  <si>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</si>
  <si>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</si>
  <si>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</si>
  <si>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</si>
  <si>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</si>
  <si>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</si>
  <si>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</si>
  <si>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</si>
  <si>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</si>
  <si>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</si>
  <si>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</si>
  <si>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</si>
  <si>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</si>
  <si>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</si>
  <si>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</si>
  <si>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</si>
  <si>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</si>
  <si>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</si>
  <si>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</si>
  <si>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</si>
  <si>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</si>
  <si>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</si>
  <si>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</si>
  <si>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</si>
  <si>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</si>
  <si>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</si>
  <si>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</si>
  <si>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</si>
  <si>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</si>
  <si>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</si>
  <si>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</si>
  <si>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</si>
  <si>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</si>
  <si>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</si>
  <si>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</si>
  <si>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</si>
  <si>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</si>
  <si>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</si>
  <si>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</si>
  <si>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</si>
  <si>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</si>
  <si>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</si>
  <si>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</si>
  <si>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</si>
  <si>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</si>
  <si>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</si>
  <si>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</si>
  <si>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</si>
  <si>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</si>
  <si>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</si>
  <si>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</si>
  <si>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</si>
  <si>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</si>
  <si>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</si>
  <si>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</si>
  <si>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</si>
  <si>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</si>
  <si>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</si>
  <si>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</si>
  <si>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</si>
  <si>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</si>
  <si>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</si>
  <si>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</si>
  <si>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</si>
  <si>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</si>
  <si>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</si>
  <si>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</si>
  <si>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</si>
  <si>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</si>
  <si>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</si>
  <si>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</si>
  <si>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</si>
  <si>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</si>
  <si>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</si>
  <si>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</si>
  <si>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</si>
  <si>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</si>
  <si>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</si>
  <si>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</si>
  <si>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</si>
  <si>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</si>
  <si>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</si>
  <si>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</si>
  <si>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</si>
  <si>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</si>
  <si>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</si>
  <si>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</si>
  <si>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</si>
  <si>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</si>
  <si>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</si>
  <si>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</si>
  <si>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</si>
  <si>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</si>
  <si>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</si>
  <si>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</si>
  <si>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</si>
  <si>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</si>
  <si>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</si>
  <si>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</si>
  <si>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</si>
  <si>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</si>
  <si>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</si>
  <si>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</si>
  <si>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</si>
  <si>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</si>
  <si>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</si>
  <si>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</si>
  <si>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</si>
  <si>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</si>
  <si>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</si>
  <si>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</si>
  <si>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</si>
  <si>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</si>
  <si>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</si>
  <si>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</si>
  <si>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</si>
  <si>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</si>
  <si>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</si>
  <si>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</si>
  <si>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</si>
  <si>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</si>
  <si>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</si>
  <si>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</si>
  <si>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</si>
  <si>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</si>
  <si>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</si>
  <si>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</si>
  <si>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</si>
  <si>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</si>
  <si>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</si>
  <si>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</si>
  <si>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</si>
  <si>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</si>
  <si>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</si>
  <si>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</si>
  <si>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</si>
  <si>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</si>
  <si>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</si>
  <si>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</si>
  <si>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</si>
  <si>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</si>
  <si>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</si>
  <si>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</si>
  <si>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</si>
  <si>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</si>
  <si>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</si>
  <si>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</si>
  <si>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</si>
  <si>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</si>
  <si>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</si>
  <si>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</si>
  <si>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</si>
  <si>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</si>
  <si>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</si>
  <si>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</si>
  <si>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</si>
  <si>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</si>
  <si>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</si>
  <si>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</si>
  <si>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</si>
  <si>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</si>
  <si>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</si>
  <si>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</si>
  <si>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</si>
  <si>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</si>
  <si>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</si>
  <si>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</si>
  <si>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</si>
  <si>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</si>
  <si>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</si>
  <si>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</si>
  <si>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</si>
  <si>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</si>
  <si>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</si>
  <si>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</si>
  <si>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</si>
  <si>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</si>
  <si>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</si>
  <si>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</si>
  <si>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</si>
  <si>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</si>
  <si>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</si>
  <si>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</si>
  <si>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</si>
  <si>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</si>
  <si>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</si>
  <si>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</si>
  <si>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</si>
  <si>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</si>
  <si>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</si>
  <si>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</si>
  <si>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</si>
  <si>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</si>
  <si>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</si>
  <si>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</si>
  <si>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</si>
  <si>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</si>
  <si>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</si>
  <si>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</si>
  <si>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</si>
  <si>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</si>
  <si>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</si>
  <si>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</si>
  <si>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</si>
  <si>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</si>
  <si>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</si>
  <si>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</si>
  <si>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</si>
  <si>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</si>
  <si>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</si>
  <si>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</si>
  <si>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</si>
  <si>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</si>
  <si>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</si>
  <si>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</si>
  <si>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</si>
  <si>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</si>
  <si>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</si>
  <si>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</si>
  <si>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</si>
  <si>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</si>
  <si>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</si>
  <si>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</si>
  <si>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</si>
  <si>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</si>
  <si>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</si>
  <si>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</si>
  <si>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</si>
  <si>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</si>
  <si>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</si>
  <si>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</si>
  <si>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</si>
  <si>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</si>
  <si>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</si>
  <si>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</si>
  <si>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</si>
  <si>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</si>
  <si>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</si>
  <si>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</si>
  <si>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</si>
  <si>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</si>
  <si>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</si>
  <si>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</si>
  <si>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</si>
  <si>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</si>
  <si>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</si>
  <si>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</si>
  <si>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</si>
  <si>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</si>
  <si>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</si>
  <si>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</si>
  <si>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</si>
  <si>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</si>
  <si>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</si>
  <si>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</si>
  <si>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</si>
  <si>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</si>
  <si>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</si>
  <si>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</si>
  <si>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</si>
  <si>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</si>
  <si>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</si>
  <si>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</si>
  <si>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</si>
  <si>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</si>
  <si>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</si>
  <si>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</si>
  <si>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</si>
  <si>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</si>
  <si>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</si>
  <si>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</si>
  <si>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</si>
  <si>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</si>
  <si>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</si>
  <si>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</si>
  <si>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</si>
  <si>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</si>
  <si>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</si>
  <si>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</si>
  <si>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</si>
  <si>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</si>
  <si>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</si>
  <si>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</si>
  <si>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</si>
  <si>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</si>
  <si>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</si>
  <si>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</si>
  <si>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</si>
  <si>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</si>
  <si>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</si>
  <si>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</si>
  <si>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</si>
  <si>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</si>
  <si>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</si>
  <si>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</si>
  <si>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</si>
  <si>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</si>
  <si>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</si>
  <si>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</si>
  <si>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</si>
  <si>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</si>
  <si>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</si>
  <si>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</si>
  <si>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</si>
  <si>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</si>
  <si>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</si>
  <si>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</si>
  <si>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</si>
  <si>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</si>
  <si>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</si>
  <si>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</si>
  <si>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</si>
  <si>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</si>
  <si>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</si>
  <si>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</si>
  <si>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</si>
  <si>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</si>
  <si>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</si>
  <si>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</si>
  <si>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</si>
  <si>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</si>
  <si>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</si>
  <si>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</si>
  <si>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</si>
  <si>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</si>
  <si>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</si>
  <si>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</si>
  <si>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</si>
  <si>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</si>
  <si>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</si>
  <si>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</si>
  <si>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</si>
  <si>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</si>
  <si>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</si>
  <si>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</si>
  <si>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</si>
  <si>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</si>
  <si>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</si>
  <si>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</si>
  <si>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</si>
  <si>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</si>
  <si>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</si>
  <si>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</si>
  <si>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</si>
  <si>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</si>
  <si>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</si>
  <si>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</si>
  <si>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</si>
  <si>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</si>
  <si>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</si>
  <si>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</si>
  <si>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</si>
  <si>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</si>
  <si>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</si>
  <si>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</si>
  <si>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</si>
  <si>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</si>
  <si>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</si>
  <si>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</si>
  <si>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</si>
  <si>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</si>
  <si>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</si>
  <si>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</si>
  <si>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</si>
  <si>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</si>
  <si>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</si>
  <si>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</si>
  <si>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</si>
  <si>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</si>
  <si>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</si>
  <si>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</si>
  <si>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</si>
  <si>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</si>
  <si>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</si>
  <si>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</si>
  <si>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</si>
  <si>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</si>
  <si>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</si>
  <si>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</si>
  <si>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</si>
  <si>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</si>
  <si>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</si>
  <si>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</si>
  <si>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</si>
  <si>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</si>
  <si>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</si>
  <si>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</si>
  <si>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</si>
  <si>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</si>
  <si>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</si>
  <si>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</si>
  <si>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</si>
  <si>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</si>
  <si>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</si>
  <si>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</si>
  <si>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</si>
  <si>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</si>
  <si>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</si>
  <si>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</si>
  <si>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</si>
  <si>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</si>
  <si>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</si>
  <si>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</si>
  <si>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</si>
  <si>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</si>
  <si>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</si>
  <si>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</si>
  <si>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</si>
  <si>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</si>
  <si>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</si>
  <si>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</si>
  <si>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</si>
  <si>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</si>
  <si>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</si>
  <si>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</si>
  <si>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</si>
  <si>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</si>
  <si>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</si>
  <si>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</si>
  <si>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</si>
  <si>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</si>
  <si>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</si>
  <si>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</si>
  <si>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</si>
  <si>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</si>
  <si>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</si>
  <si>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</si>
  <si>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</si>
  <si>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</si>
  <si>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</si>
  <si>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</si>
  <si>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</si>
  <si>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</si>
  <si>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</si>
  <si>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</si>
  <si>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</si>
  <si>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</si>
  <si>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</si>
  <si>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</si>
  <si>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</si>
  <si>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</si>
  <si>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</si>
  <si>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</si>
  <si>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</si>
  <si>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</si>
  <si>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</si>
  <si>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</si>
  <si>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</si>
  <si>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</si>
  <si>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</si>
  <si>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</si>
  <si>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</si>
  <si>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</si>
  <si>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</si>
  <si>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</si>
  <si>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</si>
  <si>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</si>
  <si>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</si>
  <si>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</si>
  <si>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</si>
  <si>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</si>
  <si>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</si>
  <si>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</si>
  <si>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</si>
  <si>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</si>
  <si>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</si>
  <si>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</si>
  <si>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</si>
  <si>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</si>
  <si>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</si>
  <si>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</si>
  <si>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</si>
  <si>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</si>
  <si>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</si>
  <si>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</si>
  <si>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</si>
  <si>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</si>
  <si>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</si>
  <si>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</si>
  <si>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</si>
  <si>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</si>
  <si>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</si>
  <si>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</si>
  <si>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</si>
  <si>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</si>
  <si>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</si>
  <si>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</si>
  <si>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</si>
  <si>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</si>
  <si>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</si>
  <si>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</si>
  <si>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</si>
  <si>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</si>
  <si>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</si>
  <si>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</si>
  <si>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</si>
  <si>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</si>
  <si>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</si>
  <si>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</si>
  <si>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</si>
  <si>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</si>
  <si>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</si>
  <si>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</si>
  <si>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</si>
  <si>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</si>
  <si>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</si>
  <si>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</si>
  <si>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</si>
  <si>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</si>
  <si>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</si>
  <si>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</si>
  <si>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</si>
  <si>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</si>
  <si>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</si>
  <si>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</si>
  <si>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</si>
  <si>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</si>
  <si>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</si>
  <si>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</si>
  <si>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</si>
  <si>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</si>
  <si>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</si>
  <si>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</si>
  <si>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</si>
  <si>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</si>
  <si>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</si>
  <si>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</si>
  <si>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</si>
  <si>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</si>
  <si>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</si>
  <si>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</si>
  <si>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</si>
  <si>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</si>
  <si>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</si>
  <si>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</si>
  <si>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</si>
  <si>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</si>
  <si>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</si>
  <si>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</si>
  <si>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</si>
  <si>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</si>
  <si>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</si>
  <si>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</si>
  <si>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</si>
  <si>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</si>
  <si>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</si>
  <si>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</si>
  <si>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</si>
  <si>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</si>
  <si>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</si>
  <si>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</si>
  <si>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</si>
  <si>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</si>
  <si>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</si>
  <si>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</si>
  <si>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</si>
  <si>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</si>
  <si>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</si>
  <si>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</si>
  <si>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</si>
  <si>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</si>
  <si>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</si>
  <si>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</si>
  <si>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</si>
  <si>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</si>
  <si>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</si>
  <si>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</si>
  <si>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</si>
  <si>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</si>
  <si>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</si>
  <si>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</si>
  <si>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</si>
  <si>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</si>
  <si>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</si>
  <si>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</si>
  <si>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</si>
  <si>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</si>
  <si>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</si>
  <si>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</si>
  <si>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</si>
  <si>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</si>
  <si>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</si>
  <si>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</si>
  <si>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</si>
  <si>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</si>
  <si>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</si>
  <si>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</si>
  <si>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</si>
  <si>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</si>
  <si>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</si>
  <si>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</si>
  <si>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</si>
  <si>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</si>
  <si>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</si>
  <si>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</si>
  <si>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</si>
  <si>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</si>
  <si>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</si>
  <si>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</si>
  <si>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</si>
  <si>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</si>
  <si>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</si>
  <si>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</si>
  <si>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</si>
  <si>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</si>
  <si>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</si>
  <si>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</si>
  <si>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</si>
  <si>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</si>
  <si>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</si>
  <si>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</si>
  <si>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</si>
  <si>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</si>
  <si>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</si>
  <si>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</si>
  <si>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</si>
  <si>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</si>
  <si>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</si>
  <si>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</si>
  <si>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</si>
  <si>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</si>
  <si>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</si>
  <si>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</si>
  <si>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</si>
  <si>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</si>
  <si>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</si>
  <si>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</si>
  <si>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</si>
  <si>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</si>
  <si>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</si>
  <si>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</si>
  <si>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</si>
  <si>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</si>
  <si>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</si>
  <si>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</si>
  <si>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</si>
  <si>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</si>
  <si>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</si>
  <si>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</si>
  <si>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</si>
  <si>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</si>
  <si>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</si>
  <si>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</si>
  <si>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</si>
  <si>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</si>
  <si>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</si>
  <si>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</si>
  <si>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</si>
  <si>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</si>
  <si>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</si>
  <si>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</si>
  <si>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</si>
  <si>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</si>
  <si>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</si>
  <si>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</si>
  <si>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</si>
  <si>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</si>
  <si>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</si>
  <si>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</si>
  <si>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</si>
  <si>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</si>
  <si>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</si>
  <si>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</si>
  <si>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</si>
  <si>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</si>
  <si>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</si>
  <si>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</si>
  <si>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</si>
  <si>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</si>
  <si>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</si>
  <si>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</si>
  <si>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</si>
  <si>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</si>
  <si>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</si>
  <si>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</si>
  <si>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</si>
  <si>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</si>
  <si>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</si>
  <si>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</si>
  <si>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</si>
  <si>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</si>
  <si>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</si>
  <si>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</si>
  <si>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</si>
  <si>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</si>
  <si>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</si>
  <si>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</si>
  <si>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</si>
  <si>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</si>
  <si>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</si>
  <si>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</si>
  <si>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</si>
  <si>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</si>
  <si>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</si>
  <si>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</si>
  <si>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</si>
  <si>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</si>
  <si>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</si>
  <si>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</si>
  <si>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</si>
  <si>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</si>
  <si>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</si>
  <si>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</si>
  <si>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</si>
  <si>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</si>
  <si>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</si>
  <si>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</si>
  <si>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</si>
  <si>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</si>
  <si>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</si>
  <si>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</si>
  <si>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</si>
  <si>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</si>
  <si>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</si>
  <si>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</si>
  <si>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</si>
  <si>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</si>
  <si>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</si>
  <si>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</si>
  <si>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</si>
  <si>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</si>
  <si>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</si>
  <si>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</si>
  <si>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</si>
  <si>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</si>
  <si>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</si>
  <si>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</si>
  <si>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</si>
  <si>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</si>
  <si>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</si>
  <si>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</si>
  <si>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</si>
  <si>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</si>
  <si>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</si>
  <si>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</si>
  <si>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</si>
  <si>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</si>
  <si>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</si>
  <si>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</si>
  <si>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</si>
  <si>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</si>
  <si>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</si>
  <si>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</si>
  <si>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</si>
  <si>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</si>
  <si>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</si>
  <si>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</si>
  <si>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</si>
  <si>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</si>
  <si>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</si>
  <si>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</si>
  <si>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</si>
  <si>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</si>
  <si>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</si>
  <si>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</si>
  <si>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</si>
  <si>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</si>
  <si>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</si>
  <si>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</si>
  <si>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</si>
  <si>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</si>
  <si>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</si>
  <si>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</si>
  <si>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</si>
  <si>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</si>
  <si>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</si>
  <si>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</si>
  <si>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</si>
  <si>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</si>
  <si>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</si>
  <si>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</si>
  <si>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</si>
  <si>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</si>
  <si>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</si>
  <si>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</si>
  <si>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</si>
  <si>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</si>
  <si>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</si>
  <si>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</si>
  <si>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</si>
  <si>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</si>
  <si>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</si>
  <si>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</si>
  <si>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</si>
  <si>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</si>
  <si>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</si>
  <si>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</si>
  <si>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</si>
  <si>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</si>
  <si>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</si>
  <si>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</si>
  <si>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</si>
  <si>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</si>
  <si>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</si>
  <si>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</si>
  <si>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</si>
  <si>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</si>
  <si>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</si>
  <si>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</si>
  <si>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</si>
  <si>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</si>
  <si>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</si>
  <si>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</si>
  <si>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</si>
  <si>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</si>
  <si>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</si>
  <si>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</si>
  <si>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</si>
  <si>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</si>
  <si>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</si>
  <si>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</si>
  <si>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</si>
  <si>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</si>
  <si>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</si>
  <si>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</si>
  <si>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</si>
  <si>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</si>
  <si>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</si>
  <si>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</si>
  <si>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</si>
  <si>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</si>
  <si>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</si>
  <si>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</si>
  <si>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</si>
  <si>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</si>
  <si>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</si>
  <si>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</si>
  <si>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</si>
  <si>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</si>
  <si>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</si>
  <si>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</si>
  <si>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</si>
  <si>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</si>
  <si>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</si>
  <si>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</si>
  <si>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</si>
  <si>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</si>
  <si>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</si>
  <si>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</si>
  <si>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</si>
  <si>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</si>
  <si>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</si>
  <si>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</si>
  <si>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</si>
  <si>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</si>
  <si>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</si>
  <si>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</si>
  <si>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</si>
  <si>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</si>
  <si>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</si>
  <si>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</si>
  <si>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</si>
  <si>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</si>
  <si>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</si>
  <si>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</si>
  <si>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</si>
  <si>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</si>
  <si>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</si>
  <si>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</si>
  <si>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</si>
  <si>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</si>
  <si>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</si>
  <si>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</si>
  <si>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</si>
  <si>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</si>
  <si>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</si>
  <si>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</si>
  <si>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</si>
  <si>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</si>
  <si>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</si>
  <si>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</si>
  <si>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</si>
  <si>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</si>
  <si>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</si>
  <si>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</si>
  <si>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</si>
  <si>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</si>
  <si>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</si>
  <si>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</si>
  <si>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</si>
  <si>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</si>
  <si>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</si>
  <si>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</si>
  <si>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</si>
  <si>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</si>
  <si>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</si>
  <si>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</si>
  <si>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</si>
  <si>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</si>
  <si>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</si>
  <si>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</si>
  <si>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</si>
  <si>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</si>
  <si>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</si>
  <si>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</si>
  <si>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</si>
  <si>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</si>
  <si>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</si>
  <si>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</si>
  <si>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</si>
  <si>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</si>
  <si>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</si>
  <si>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</si>
  <si>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</si>
  <si>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</si>
  <si>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</si>
  <si>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</si>
  <si>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</si>
  <si>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</si>
  <si>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</si>
  <si>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</si>
  <si>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</si>
  <si>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</si>
  <si>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</si>
  <si>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</si>
  <si>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</si>
  <si>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</si>
  <si>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</si>
  <si>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</si>
  <si>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</si>
  <si>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</si>
  <si>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</si>
  <si>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</si>
  <si>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</si>
  <si>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</si>
  <si>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</si>
  <si>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</si>
  <si>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</si>
  <si>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</si>
  <si>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</si>
  <si>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</si>
  <si>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</si>
  <si>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</si>
  <si>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</si>
  <si>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</si>
  <si>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</si>
  <si>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</si>
  <si>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</si>
  <si>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</si>
  <si>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</si>
  <si>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</si>
  <si>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</si>
  <si>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</si>
  <si>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</si>
  <si>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</si>
  <si>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</si>
  <si>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</si>
  <si>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</si>
  <si>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</si>
  <si>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</si>
  <si>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</si>
  <si>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</si>
  <si>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</si>
  <si>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</si>
  <si>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</si>
  <si>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</si>
  <si>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</si>
  <si>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</si>
  <si>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</si>
  <si>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</si>
  <si>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</si>
  <si>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</si>
  <si>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</si>
  <si>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</si>
  <si>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</si>
  <si>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</si>
  <si>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</si>
  <si>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</si>
  <si>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</si>
  <si>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</si>
  <si>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</si>
  <si>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</si>
  <si>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</si>
  <si>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</si>
  <si>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</si>
  <si>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</si>
  <si>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</si>
  <si>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</si>
  <si>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</si>
  <si>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</si>
  <si>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</si>
  <si>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</si>
  <si>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</si>
  <si>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</si>
  <si>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</si>
  <si>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</si>
  <si>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</si>
  <si>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</si>
  <si>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</si>
  <si>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</si>
  <si>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</si>
  <si>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</si>
  <si>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</si>
  <si>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</si>
  <si>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</si>
  <si>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</si>
  <si>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</si>
  <si>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</si>
  <si>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</si>
  <si>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</si>
  <si>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</si>
  <si>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</si>
  <si>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</si>
  <si>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</si>
  <si>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</si>
  <si>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</si>
  <si>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</si>
  <si>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</si>
  <si>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</si>
  <si>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</si>
  <si>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</si>
  <si>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</si>
  <si>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</si>
  <si>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</si>
  <si>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</si>
  <si>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</si>
  <si>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</si>
  <si>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</si>
  <si>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</si>
  <si>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</si>
  <si>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</si>
  <si>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</si>
  <si>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</si>
  <si>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</si>
  <si>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</si>
  <si>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</si>
  <si>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</si>
  <si>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</si>
  <si>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</si>
  <si>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</si>
  <si>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</si>
  <si>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</si>
  <si>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</si>
  <si>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</si>
  <si>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</si>
  <si>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</si>
  <si>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</si>
  <si>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</si>
  <si>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</si>
  <si>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</si>
  <si>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</si>
  <si>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</si>
  <si>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</si>
  <si>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</si>
  <si>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</si>
  <si>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</si>
  <si>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</si>
  <si>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</si>
  <si>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</si>
  <si>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</si>
  <si>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</si>
  <si>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</si>
  <si>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</si>
  <si>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</si>
  <si>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</si>
  <si>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</si>
  <si>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</si>
  <si>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</si>
  <si>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</si>
  <si>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</si>
  <si>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</si>
  <si>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</si>
  <si>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</si>
  <si>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</si>
  <si>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</si>
  <si>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</si>
  <si>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</si>
  <si>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</si>
  <si>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</si>
  <si>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</si>
  <si>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</si>
  <si>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</si>
  <si>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</si>
  <si>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</si>
  <si>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</si>
  <si>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</si>
  <si>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</si>
  <si>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</si>
  <si>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</si>
  <si>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</si>
  <si>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</si>
  <si>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</si>
  <si>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</si>
  <si>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</si>
  <si>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</si>
  <si>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</si>
  <si>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</si>
  <si>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</si>
  <si>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</si>
  <si>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</si>
  <si>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</si>
  <si>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</si>
  <si>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</si>
  <si>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</si>
  <si>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</si>
  <si>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</si>
  <si>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</si>
  <si>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</si>
  <si>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</si>
  <si>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</si>
  <si>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</si>
  <si>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</si>
  <si>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其他：</t>
  </si>
  <si>
    <t>企业</t>
  </si>
  <si>
    <t>出让</t>
  </si>
  <si>
    <t>正常</t>
  </si>
  <si>
    <t>押一</t>
  </si>
  <si>
    <t>楼层</t>
    <phoneticPr fontId="143" type="noConversion"/>
  </si>
  <si>
    <t>地下</t>
    <phoneticPr fontId="143" type="noConversion"/>
  </si>
  <si>
    <t>可出租建筑面积</t>
    <phoneticPr fontId="143" type="noConversion"/>
  </si>
  <si>
    <t>合计</t>
    <phoneticPr fontId="143" type="noConversion"/>
  </si>
  <si>
    <t>商业</t>
    <phoneticPr fontId="143" type="noConversion"/>
  </si>
  <si>
    <t>可出租面积</t>
    <phoneticPr fontId="143" type="noConversion"/>
  </si>
  <si>
    <t>所在楼层</t>
    <phoneticPr fontId="143" type="noConversion"/>
  </si>
  <si>
    <t>办公</t>
    <phoneticPr fontId="143" type="noConversion"/>
  </si>
  <si>
    <t>众创空间</t>
    <phoneticPr fontId="143" type="noConversion"/>
  </si>
  <si>
    <t>车位数</t>
    <phoneticPr fontId="143" type="noConversion"/>
  </si>
  <si>
    <t>地上</t>
  </si>
  <si>
    <t>办公楼</t>
  </si>
  <si>
    <t>底商</t>
  </si>
  <si>
    <t>众创空间</t>
  </si>
  <si>
    <t>众创空间</t>
    <phoneticPr fontId="16" type="noConversion"/>
  </si>
  <si>
    <t>地下</t>
  </si>
  <si>
    <t>车库—商业</t>
  </si>
  <si>
    <t>车库</t>
  </si>
  <si>
    <t>众创空间</t>
    <phoneticPr fontId="7" type="noConversion"/>
  </si>
  <si>
    <t>地下车库</t>
    <phoneticPr fontId="7" type="noConversion"/>
  </si>
  <si>
    <t>年租金</t>
  </si>
  <si>
    <t>5层办公面积</t>
  </si>
  <si>
    <t>5层众创面积</t>
  </si>
  <si>
    <t>部位</t>
    <phoneticPr fontId="143" type="noConversion"/>
  </si>
  <si>
    <t>部位</t>
    <phoneticPr fontId="143" type="noConversion"/>
  </si>
  <si>
    <t>4</t>
    <phoneticPr fontId="143" type="noConversion"/>
  </si>
  <si>
    <t>已出租面积</t>
    <phoneticPr fontId="143" type="noConversion"/>
  </si>
  <si>
    <t>收益法-商业出租</t>
  </si>
  <si>
    <t>收益法-商业出租</t>
    <phoneticPr fontId="16" type="noConversion"/>
  </si>
  <si>
    <t>收益法-商业自用</t>
  </si>
  <si>
    <t>收益法-商业自用</t>
    <phoneticPr fontId="16" type="noConversion"/>
  </si>
  <si>
    <t>收益法-办公出租</t>
    <phoneticPr fontId="16" type="noConversion"/>
  </si>
  <si>
    <t>收益法-办公自用</t>
    <phoneticPr fontId="16" type="noConversion"/>
  </si>
  <si>
    <t>收益法-众创空间</t>
  </si>
  <si>
    <t>收益法-众创空间</t>
    <phoneticPr fontId="16" type="noConversion"/>
  </si>
  <si>
    <t>收益法-地下车库</t>
  </si>
  <si>
    <t>收益法-地下车库</t>
    <phoneticPr fontId="16" type="noConversion"/>
  </si>
  <si>
    <t>自定义</t>
  </si>
  <si>
    <t>按租金收入计税</t>
  </si>
  <si>
    <t>钢混</t>
  </si>
  <si>
    <t>非生产用房</t>
  </si>
  <si>
    <t>办公自用</t>
  </si>
  <si>
    <t>办公出租</t>
  </si>
  <si>
    <t>收益法（汇总）</t>
  </si>
  <si>
    <t>未出租面积</t>
    <phoneticPr fontId="143" type="noConversion"/>
  </si>
  <si>
    <t>已出租面积</t>
    <phoneticPr fontId="143" type="noConversion"/>
  </si>
  <si>
    <t>2017-1-1100-P01DYGJ1</t>
    <phoneticPr fontId="6" type="noConversion"/>
  </si>
  <si>
    <t>增长率</t>
  </si>
  <si>
    <t>商业</t>
    <phoneticPr fontId="143" type="noConversion"/>
  </si>
  <si>
    <t>未出租面积单价</t>
    <phoneticPr fontId="143" type="noConversion"/>
  </si>
  <si>
    <t>已出租面积单价</t>
    <phoneticPr fontId="143" type="noConversion"/>
  </si>
  <si>
    <t>未出租年期</t>
    <phoneticPr fontId="143" type="noConversion"/>
  </si>
  <si>
    <t>租金</t>
  </si>
  <si>
    <t>万开中心</t>
    <phoneticPr fontId="3" type="noConversion"/>
  </si>
  <si>
    <t>万丰路316号</t>
    <phoneticPr fontId="3" type="noConversion"/>
  </si>
  <si>
    <t>办公</t>
    <phoneticPr fontId="32" type="noConversion"/>
  </si>
  <si>
    <t>使用权类型</t>
    <phoneticPr fontId="32" type="noConversion"/>
  </si>
  <si>
    <t>国有</t>
    <phoneticPr fontId="32" type="noConversion"/>
  </si>
  <si>
    <t>一般</t>
  </si>
  <si>
    <t>一般</t>
    <phoneticPr fontId="25" type="noConversion"/>
  </si>
  <si>
    <t>较好</t>
  </si>
  <si>
    <t>较好</t>
    <phoneticPr fontId="41" type="noConversion"/>
  </si>
  <si>
    <t>七通</t>
  </si>
  <si>
    <t>七通</t>
    <phoneticPr fontId="25" type="noConversion"/>
  </si>
  <si>
    <t>一般</t>
    <phoneticPr fontId="41" type="noConversion"/>
  </si>
  <si>
    <t>快速路</t>
  </si>
  <si>
    <t>快速路</t>
    <phoneticPr fontId="25"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</si>
  <si>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</si>
  <si>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</si>
  <si>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</si>
  <si>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</si>
  <si>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</si>
  <si>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</si>
  <si>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钢混</t>
    <phoneticPr fontId="32" type="noConversion"/>
  </si>
  <si>
    <t>精装</t>
  </si>
  <si>
    <t>精装</t>
    <phoneticPr fontId="32" type="noConversion"/>
  </si>
  <si>
    <t>专业</t>
  </si>
  <si>
    <t>专业</t>
    <phoneticPr fontId="32" type="noConversion"/>
  </si>
  <si>
    <t>七通</t>
    <phoneticPr fontId="32" type="noConversion"/>
  </si>
  <si>
    <t>六通</t>
  </si>
  <si>
    <t>六通</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</si>
  <si>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</si>
  <si>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</si>
  <si>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</si>
  <si>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</si>
  <si>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</si>
  <si>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</si>
  <si>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标准写字楼</t>
  </si>
  <si>
    <t>标准写字楼</t>
    <phoneticPr fontId="32" type="noConversion"/>
  </si>
  <si>
    <t>74.1-2800</t>
    <phoneticPr fontId="32" type="noConversion"/>
  </si>
  <si>
    <r>
      <rPr>
        <sz val="11"/>
        <rFont val="宋体"/>
        <family val="3"/>
        <charset val="134"/>
      </rPr>
      <t>万丰路</t>
    </r>
    <r>
      <rPr>
        <sz val="11"/>
        <rFont val="Arial"/>
        <family val="2"/>
      </rPr>
      <t/>
    </r>
    <phoneticPr fontId="32" type="noConversion"/>
  </si>
  <si>
    <t>西四环路</t>
    <phoneticPr fontId="32" type="noConversion"/>
  </si>
  <si>
    <t>甲级</t>
  </si>
  <si>
    <t>甲级</t>
    <phoneticPr fontId="32" type="noConversion"/>
  </si>
  <si>
    <t>国润商务大厦</t>
    <phoneticPr fontId="3" type="noConversion"/>
  </si>
  <si>
    <r>
      <rPr>
        <sz val="11"/>
        <color theme="9" tint="-0.249977111117893"/>
        <rFont val="宋体"/>
        <family val="3"/>
        <charset val="134"/>
      </rPr>
      <t>西四环南路</t>
    </r>
    <r>
      <rPr>
        <sz val="11"/>
        <color theme="9" tint="-0.249977111117893"/>
        <rFont val="Arial"/>
        <family val="2"/>
      </rPr>
      <t>46</t>
    </r>
    <r>
      <rPr>
        <sz val="11"/>
        <color theme="9" tint="-0.249977111117893"/>
        <rFont val="宋体"/>
        <family val="3"/>
        <charset val="134"/>
      </rPr>
      <t>号</t>
    </r>
    <phoneticPr fontId="32" type="noConversion"/>
  </si>
  <si>
    <r>
      <rPr>
        <sz val="11"/>
        <color theme="9" tint="-0.249977111117893"/>
        <rFont val="宋体"/>
        <family val="3"/>
        <charset val="134"/>
      </rPr>
      <t>丽泽桥西南</t>
    </r>
    <r>
      <rPr>
        <sz val="11"/>
        <color theme="9" tint="-0.249977111117893"/>
        <rFont val="Arial"/>
        <family val="2"/>
      </rPr>
      <t>200</t>
    </r>
    <r>
      <rPr>
        <sz val="11"/>
        <color theme="9" tint="-0.249977111117893"/>
        <rFont val="宋体"/>
        <family val="3"/>
        <charset val="134"/>
      </rPr>
      <t>米</t>
    </r>
    <phoneticPr fontId="32" type="noConversion"/>
  </si>
  <si>
    <t>西三环</t>
    <phoneticPr fontId="32" type="noConversion"/>
  </si>
  <si>
    <t>乙级</t>
  </si>
  <si>
    <t>乙级</t>
    <phoneticPr fontId="32" type="noConversion"/>
  </si>
  <si>
    <t>集体</t>
    <phoneticPr fontId="32" type="noConversion"/>
  </si>
  <si>
    <t>商业</t>
    <phoneticPr fontId="31" type="noConversion"/>
  </si>
  <si>
    <t>商业</t>
    <phoneticPr fontId="32" type="noConversion"/>
  </si>
  <si>
    <t>集体</t>
    <phoneticPr fontId="31" type="noConversion"/>
  </si>
  <si>
    <t>国有</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</si>
  <si>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</si>
  <si>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</si>
  <si>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</si>
  <si>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</si>
  <si>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</si>
  <si>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</si>
  <si>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</si>
  <si>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</si>
  <si>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</si>
  <si>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</si>
  <si>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</si>
  <si>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</si>
  <si>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</si>
  <si>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办公配套商业</t>
    <phoneticPr fontId="31" type="noConversion"/>
  </si>
  <si>
    <t>住宅配套商业</t>
    <phoneticPr fontId="31" type="noConversion"/>
  </si>
  <si>
    <t>商业街商铺</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</si>
  <si>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</si>
  <si>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</si>
  <si>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</si>
  <si>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</si>
  <si>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</si>
  <si>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</si>
  <si>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</si>
  <si>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</si>
  <si>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精装</t>
    <phoneticPr fontId="31" type="noConversion"/>
  </si>
  <si>
    <t>普装</t>
    <phoneticPr fontId="31" type="noConversion"/>
  </si>
  <si>
    <t>简装</t>
    <phoneticPr fontId="31" type="noConversion"/>
  </si>
  <si>
    <t>毛坯</t>
    <phoneticPr fontId="31" type="noConversion"/>
  </si>
  <si>
    <t>美克大厦</t>
    <phoneticPr fontId="3" type="noConversion"/>
  </si>
  <si>
    <t>成本法</t>
  </si>
  <si>
    <t>1-3</t>
    <phoneticPr fontId="143" type="noConversion"/>
  </si>
  <si>
    <t>5-15</t>
    <phoneticPr fontId="143" type="noConversion"/>
  </si>
  <si>
    <t>租金单价</t>
    <phoneticPr fontId="143" type="noConversion"/>
  </si>
  <si>
    <t>未出租面积</t>
    <phoneticPr fontId="143" type="noConversion"/>
  </si>
  <si>
    <t>合计</t>
    <phoneticPr fontId="143" type="noConversion"/>
  </si>
  <si>
    <t>商业及办公</t>
    <phoneticPr fontId="143" type="noConversion"/>
  </si>
  <si>
    <t>办公及商业</t>
    <phoneticPr fontId="143" type="noConversion"/>
  </si>
  <si>
    <t>商业及办公出租</t>
  </si>
  <si>
    <t>商业及办公出租</t>
    <phoneticPr fontId="7" type="noConversion"/>
  </si>
  <si>
    <t>商业及办公自用</t>
  </si>
  <si>
    <t>商业及办公自用</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</si>
</sst>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6" fillId="0" borderId="0" applyFont="0" applyFill="0" applyBorder="0" applyAlignment="0" applyProtection="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177" fontId="137" fillId="0" borderId="1" xfId="1" applyNumberFormat="1" applyFont="1" applyFill="1" applyBorder="1" applyAlignment="1" applyProtection="1">
      <alignment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49" fontId="99" fillId="0" borderId="1" xfId="0" applyNumberFormat="1" applyFont="1" applyBorder="1" applyAlignment="1">
      <alignment horizontal="center" vertical="center"/>
    </xf>
    <xf numFmtId="0" fontId="106"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181" fontId="54" fillId="7" borderId="5" xfId="0" applyNumberFormat="1" applyFont="1" applyFill="1" applyBorder="1" applyAlignment="1" applyProtection="1">
      <alignment vertical="center"/>
      <protection locked="0"/>
    </xf>
    <xf numFmtId="0" fontId="0" fillId="0" borderId="0" xfId="0" applyBorder="1" applyAlignment="1">
      <alignment horizontal="center" vertical="center"/>
    </xf>
    <xf numFmtId="0" fontId="0" fillId="0" borderId="0" xfId="0" applyBorder="1">
      <alignment vertical="center"/>
    </xf>
    <xf numFmtId="181" fontId="0" fillId="0" borderId="1" xfId="13" applyNumberFormat="1" applyFont="1" applyBorder="1" applyAlignment="1">
      <alignment horizontal="center" vertical="center"/>
    </xf>
    <xf numFmtId="179" fontId="55" fillId="14" borderId="24" xfId="0" applyNumberFormat="1" applyFont="1" applyFill="1" applyBorder="1" applyAlignment="1" applyProtection="1">
      <alignment horizontal="center" vertical="center"/>
      <protection locked="0"/>
    </xf>
    <xf numFmtId="0" fontId="54" fillId="7" borderId="1" xfId="0" applyFont="1" applyFill="1" applyBorder="1" applyAlignment="1" applyProtection="1">
      <alignment horizontal="center" vertical="center"/>
      <protection locked="0"/>
    </xf>
    <xf numFmtId="0" fontId="84" fillId="6" borderId="0" xfId="0" applyFont="1" applyFill="1" applyBorder="1" applyAlignment="1" applyProtection="1">
      <alignment horizontal="left" vertical="center"/>
      <protection locked="0"/>
    </xf>
    <xf numFmtId="0" fontId="54" fillId="7" borderId="23"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8" borderId="46" xfId="0" applyFont="1" applyFill="1" applyBorder="1" applyAlignment="1" applyProtection="1">
      <alignment horizontal="center" vertical="center" wrapText="1"/>
      <protection locked="0"/>
    </xf>
    <xf numFmtId="181" fontId="50" fillId="6" borderId="0" xfId="0" applyNumberFormat="1" applyFont="1" applyFill="1" applyAlignment="1" applyProtection="1">
      <alignment vertical="center"/>
      <protection locked="0"/>
    </xf>
    <xf numFmtId="0" fontId="56" fillId="14" borderId="0" xfId="0" applyFont="1" applyFill="1" applyAlignment="1" applyProtection="1">
      <alignment vertical="center"/>
      <protection locked="0"/>
    </xf>
    <xf numFmtId="179" fontId="50" fillId="14" borderId="0" xfId="0" applyNumberFormat="1" applyFont="1" applyFill="1" applyAlignment="1" applyProtection="1">
      <alignment vertical="center"/>
      <protection locked="0"/>
    </xf>
    <xf numFmtId="0" fontId="55" fillId="14" borderId="13" xfId="0" applyFont="1" applyFill="1" applyBorder="1" applyAlignment="1" applyProtection="1">
      <alignment horizontal="center" vertical="center"/>
    </xf>
    <xf numFmtId="0" fontId="50" fillId="14" borderId="0" xfId="0" applyFont="1" applyFill="1" applyAlignment="1" applyProtection="1">
      <alignment vertical="center"/>
      <protection locked="0"/>
    </xf>
    <xf numFmtId="0" fontId="99" fillId="0" borderId="0" xfId="0" applyFont="1" applyAlignment="1">
      <alignment horizontal="center" vertical="center"/>
    </xf>
    <xf numFmtId="0" fontId="99" fillId="0" borderId="15" xfId="0" applyFont="1" applyFill="1" applyBorder="1" applyAlignment="1">
      <alignment horizontal="center" vertical="center"/>
    </xf>
    <xf numFmtId="0" fontId="99" fillId="0" borderId="13" xfId="0" applyFont="1" applyBorder="1" applyAlignment="1">
      <alignment horizontal="center" vertical="center"/>
    </xf>
    <xf numFmtId="0" fontId="99" fillId="0" borderId="1" xfId="0" applyFont="1" applyFill="1" applyBorder="1" applyAlignment="1">
      <alignment horizontal="center" vertical="center"/>
    </xf>
    <xf numFmtId="0" fontId="56" fillId="7" borderId="23"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99" fillId="0" borderId="0" xfId="0" applyFont="1" applyAlignment="1">
      <alignment horizontal="center" vertical="center"/>
    </xf>
    <xf numFmtId="0" fontId="0" fillId="0" borderId="0" xfId="0"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4" fillId="7" borderId="1" xfId="1" applyNumberFormat="1" applyFont="1" applyFill="1" applyBorder="1" applyAlignment="1" applyProtection="1">
      <alignment horizontal="center" vertical="center"/>
      <protection locked="0"/>
    </xf>
    <xf numFmtId="10" fontId="54" fillId="7" borderId="1" xfId="1" applyNumberFormat="1"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225;&#19994;&#21512;&#21516;&#21488;&#361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合同"/>
      <sheetName val="1-3层商业"/>
      <sheetName val="5-15层办公"/>
      <sheetName val="Sheet4"/>
    </sheetNames>
    <sheetDataSet>
      <sheetData sheetId="0">
        <row r="69">
          <cell r="G69">
            <v>23910.770000000011</v>
          </cell>
          <cell r="S69">
            <v>34758640.190000005</v>
          </cell>
        </row>
      </sheetData>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出让国有建设用地使用权及在建建筑物预评估</v>
      </c>
    </row>
    <row r="3" spans="1:2" s="1592" customFormat="1">
      <c r="A3" s="1590" t="s">
        <v>1222</v>
      </c>
      <c r="B3" s="1591">
        <f>'预评函-封皮'!B40</f>
        <v>0</v>
      </c>
    </row>
    <row r="4" spans="1:2" s="1592" customFormat="1">
      <c r="A4" s="1590" t="s">
        <v>1223</v>
      </c>
      <c r="B4" s="1591" t="str">
        <f>'预评函-封皮'!B46</f>
        <v>（注册号：0)、（注册号：0)</v>
      </c>
    </row>
    <row r="5" spans="1:2" s="1586" customFormat="1" ht="15" thickBot="1">
      <c r="A5" s="1593" t="s">
        <v>1224</v>
      </c>
      <c r="B5" s="1594" t="str">
        <f>'预评函-封皮'!B49</f>
        <v>康正预评字2017-1-1100-P01DYGJ1号</v>
      </c>
    </row>
    <row r="6" spans="1:2" s="1589" customFormat="1" ht="15" thickTop="1">
      <c r="A6" s="1587" t="s">
        <v>1225</v>
      </c>
      <c r="B6" s="1588" t="str">
        <f>'预评函-1'!A4</f>
        <v>受贵公司委托，我公司对出让国有建设用地使用权及在建建筑物房地产抵押价值进行了预评估。</v>
      </c>
    </row>
    <row r="7" spans="1:2" s="1592" customFormat="1">
      <c r="A7" s="1590" t="s">
        <v>1265</v>
      </c>
      <c r="B7" s="1591" t="str">
        <f>'预评函-1'!A7</f>
        <v>估价对象为出让国有建设用地使用权及在建建筑物房地产，为所有。根据《国有土地使用证》[]，估价对象（分摊）出让国有建设用地使用权面积为11435.33平方米，建筑面积为50425.27平方米。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出让国有建设用地使用权及在建建筑物房地产,属开发建设的，该项目尚在开发建设中。根据《国有土地使用证》[]，估价对象（分摊）出让国有建设用地使用权面积为11435.33平方米，规划建筑面积为50425.27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2018年12月10日（评估专业人员实地查勘之日）</v>
      </c>
    </row>
    <row r="13" spans="1:2" s="1592" customFormat="1">
      <c r="A13" s="1590" t="s">
        <v>1228</v>
      </c>
      <c r="B13" s="1591" t="str">
        <f>'预评函-1'!A18</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42677</v>
      </c>
    </row>
    <row r="21" spans="1:2" s="1592" customFormat="1">
      <c r="A21" s="1590" t="s">
        <v>1236</v>
      </c>
      <c r="B21" s="1591">
        <f ca="1">'预评函-2'!D7</f>
        <v>8463</v>
      </c>
    </row>
    <row r="22" spans="1:2" s="1592" customFormat="1">
      <c r="A22" s="1590" t="s">
        <v>1237</v>
      </c>
      <c r="B22" s="1591" t="str">
        <f ca="1">'预评函-2'!D6</f>
        <v>肆亿贰仟陆佰柒拾柒万元整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42677</v>
      </c>
    </row>
    <row r="31" spans="1:2" s="1592" customFormat="1">
      <c r="A31" s="1590" t="s">
        <v>1275</v>
      </c>
      <c r="B31" s="1591">
        <f ca="1">'预评函-2'!D15</f>
        <v>8463</v>
      </c>
    </row>
    <row r="32" spans="1:2" s="1592" customFormat="1">
      <c r="A32" s="1590" t="s">
        <v>1242</v>
      </c>
      <c r="B32" s="1591" t="str">
        <f ca="1">'预评函-2'!D14</f>
        <v>肆亿贰仟陆佰柒拾柒万元整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出让国有建设用地使用权及在建建筑物房地产</v>
      </c>
    </row>
    <row r="42" spans="1:2" s="1592" customFormat="1">
      <c r="A42" s="1590" t="s">
        <v>1289</v>
      </c>
      <c r="B42" s="1591" t="str">
        <f>'预评函-3'!B2</f>
        <v>建筑面积</v>
      </c>
    </row>
    <row r="43" spans="1:2" s="1592" customFormat="1">
      <c r="A43" s="1590" t="s">
        <v>1290</v>
      </c>
      <c r="B43" s="1591">
        <f>'预评函-3'!B4</f>
        <v>50425.270000000004</v>
      </c>
    </row>
    <row r="44" spans="1:2" s="1592" customFormat="1">
      <c r="A44" s="1590" t="s">
        <v>1274</v>
      </c>
      <c r="B44" s="1591" t="str">
        <f>'预评函-3'!C2</f>
        <v>(分摊)土地面积</v>
      </c>
    </row>
    <row r="45" spans="1:2" s="1592" customFormat="1">
      <c r="A45" s="1590" t="s">
        <v>1246</v>
      </c>
      <c r="B45" s="1591">
        <f>'预评函-3'!C4</f>
        <v>11435.33</v>
      </c>
    </row>
    <row r="46" spans="1:2" s="1592" customFormat="1">
      <c r="A46" s="1590" t="s">
        <v>1272</v>
      </c>
      <c r="B46" s="1591" t="str">
        <f>'预评函-3'!D2</f>
        <v>出让国有建设用地使用权价值</v>
      </c>
    </row>
    <row r="47" spans="1:2" s="1592" customFormat="1">
      <c r="A47" s="1590" t="s">
        <v>1247</v>
      </c>
      <c r="B47" s="1591" t="e">
        <f ca="1">'预评函-3'!D4</f>
        <v>#REF!</v>
      </c>
    </row>
    <row r="48" spans="1:2" s="1592" customFormat="1">
      <c r="A48" s="1590" t="s">
        <v>1248</v>
      </c>
      <c r="B48" s="1591" t="e">
        <f ca="1">'预评函-3'!E4</f>
        <v>#REF!</v>
      </c>
    </row>
    <row r="49" spans="1:2" s="1592" customFormat="1">
      <c r="A49" s="1590" t="s">
        <v>1249</v>
      </c>
      <c r="B49" s="1591" t="e">
        <f ca="1">'预评函-3'!D5</f>
        <v>#REF!</v>
      </c>
    </row>
    <row r="50" spans="1:2" s="1592" customFormat="1">
      <c r="A50" s="1590" t="s">
        <v>1273</v>
      </c>
      <c r="B50" s="1591" t="str">
        <f>'预评函-3'!F2</f>
        <v>在建建筑物价值</v>
      </c>
    </row>
    <row r="51" spans="1:2" s="1592" customFormat="1">
      <c r="A51" s="1590" t="s">
        <v>1250</v>
      </c>
      <c r="B51" s="1591" t="e">
        <f ca="1">'预评函-3'!F4</f>
        <v>#REF!</v>
      </c>
    </row>
    <row r="52" spans="1:2" s="1592" customFormat="1">
      <c r="A52" s="1590" t="s">
        <v>1251</v>
      </c>
      <c r="B52" s="1591" t="e">
        <f ca="1">'预评函-3'!G4</f>
        <v>#REF!</v>
      </c>
    </row>
    <row r="53" spans="1:2" s="1592" customFormat="1">
      <c r="A53" s="1590" t="s">
        <v>1279</v>
      </c>
      <c r="B53" s="1591" t="e">
        <f ca="1">'预评函-3'!F5</f>
        <v>#REF!</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6" t="s">
        <v>3084</v>
      </c>
      <c r="C17" s="2014"/>
    </row>
    <row r="18" spans="1:3">
      <c r="A18" s="2013" t="s">
        <v>1769</v>
      </c>
      <c r="B18" s="2016" t="s">
        <v>3086</v>
      </c>
      <c r="C18" s="2014"/>
    </row>
    <row r="19" spans="1:3">
      <c r="A19" s="2013" t="s">
        <v>1770</v>
      </c>
      <c r="B19" s="2016" t="s">
        <v>3087</v>
      </c>
      <c r="C19" s="2014"/>
    </row>
    <row r="20" spans="1:3">
      <c r="A20" s="2013" t="s">
        <v>1771</v>
      </c>
      <c r="B20" s="2016" t="s">
        <v>3088</v>
      </c>
      <c r="C20" s="2014"/>
    </row>
    <row r="21" spans="1:3">
      <c r="A21" s="2013" t="s">
        <v>1772</v>
      </c>
      <c r="B21" s="2016" t="s">
        <v>3090</v>
      </c>
      <c r="C21" s="2014"/>
    </row>
    <row r="22" spans="1:3">
      <c r="A22" s="2013" t="s">
        <v>1773</v>
      </c>
      <c r="B22" s="2016" t="s">
        <v>3092</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3070</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1" t="s">
        <v>864</v>
      </c>
      <c r="C54" s="2018" t="s">
        <v>1282</v>
      </c>
    </row>
    <row r="55" spans="1:4">
      <c r="A55" s="3039"/>
      <c r="B55" s="2021" t="s">
        <v>865</v>
      </c>
      <c r="C55" s="2018" t="s">
        <v>1283</v>
      </c>
    </row>
    <row r="56" spans="1:4">
      <c r="A56" s="3039"/>
      <c r="B56" s="2021" t="s">
        <v>866</v>
      </c>
      <c r="C56" s="2018" t="s">
        <v>1287</v>
      </c>
    </row>
    <row r="57" spans="1:4">
      <c r="A57" s="3039"/>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48" t="str">
        <f>IF(B10="北京市","北京市",C10)&amp;F10&amp;IF(结果表!G1="在建","出让国有建设用地使用权及在建建筑物",IF(结果表!G1="土地","出让国有建设用地使用权",))&amp;B9&amp;"预评估"</f>
        <v>出让国有建设用地使用权及在建建筑物预评估</v>
      </c>
      <c r="C1" s="3049"/>
      <c r="D1" s="3049"/>
      <c r="E1" s="3049"/>
      <c r="F1" s="3049"/>
      <c r="G1" s="3049"/>
      <c r="H1" s="3049"/>
      <c r="I1" s="305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1779</v>
      </c>
      <c r="B2" s="1037" t="s">
        <v>3102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1780</v>
      </c>
      <c r="B3" s="2035">
        <v>43444</v>
      </c>
      <c r="C3" s="2036" t="s">
        <v>1781</v>
      </c>
      <c r="D3" s="2035">
        <f>B3</f>
        <v>43444</v>
      </c>
      <c r="E3" s="2025"/>
      <c r="F3" s="2025"/>
      <c r="G3" s="2025"/>
      <c r="H3" s="2025"/>
      <c r="I3" s="2025"/>
      <c r="J3" s="2025"/>
      <c r="K3" s="2026"/>
      <c r="L3" s="2027"/>
      <c r="M3" s="2027"/>
      <c r="N3" s="2028"/>
      <c r="O3" s="2029"/>
      <c r="P3" s="2028"/>
      <c r="Q3" s="2028"/>
      <c r="R3" s="2028"/>
      <c r="S3" s="2030"/>
    </row>
    <row r="4" spans="1:19" ht="18" customHeight="1" thickBot="1">
      <c r="A4" s="2037" t="s">
        <v>1782</v>
      </c>
      <c r="B4" s="2038"/>
      <c r="C4" s="1035">
        <f>SUMIF(注册房地产估价师,B4,估价师及机构信息!B3:B24)</f>
        <v>0</v>
      </c>
      <c r="D4" s="2038"/>
      <c r="E4" s="1036">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51"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52"/>
      <c r="E9" s="2058" t="s">
        <v>70</v>
      </c>
      <c r="F9" s="2060"/>
      <c r="G9" s="2061"/>
      <c r="H9" s="2061"/>
      <c r="I9" s="2061"/>
      <c r="J9" s="2041"/>
      <c r="K9" s="2053"/>
      <c r="L9" s="2027"/>
      <c r="M9" s="2027"/>
      <c r="N9" s="2028"/>
      <c r="O9" s="2029"/>
      <c r="P9" s="2028"/>
      <c r="Q9" s="2028"/>
      <c r="R9" s="2028"/>
    </row>
    <row r="10" spans="1:19" ht="18" customHeight="1" thickTop="1">
      <c r="A10" s="2062" t="s">
        <v>1789</v>
      </c>
      <c r="B10" s="2063" t="s">
        <v>3051</v>
      </c>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t="s">
        <v>3052</v>
      </c>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3053</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v>43555</v>
      </c>
      <c r="E13" s="2079">
        <v>48556</v>
      </c>
      <c r="F13" s="2079"/>
      <c r="G13" s="2079">
        <f>E13</f>
        <v>48556</v>
      </c>
      <c r="H13" s="2079">
        <v>45016</v>
      </c>
      <c r="I13" s="1045">
        <v>46852</v>
      </c>
      <c r="J13" s="2041"/>
      <c r="K13" s="2053"/>
      <c r="L13" s="2027"/>
      <c r="M13" s="2027"/>
      <c r="N13" s="2028"/>
      <c r="O13" s="2029"/>
      <c r="P13" s="2028"/>
      <c r="Q13" s="2028"/>
      <c r="R13" s="2028"/>
    </row>
    <row r="14" spans="1:19" ht="18" customHeight="1">
      <c r="A14" s="2076"/>
      <c r="B14" s="2077"/>
      <c r="C14" s="2078" t="s">
        <v>1801</v>
      </c>
      <c r="D14" s="1048"/>
      <c r="E14" s="1048"/>
      <c r="F14" s="1048"/>
      <c r="G14" s="1048"/>
      <c r="H14" s="1048"/>
      <c r="I14" s="1048"/>
      <c r="J14" s="2041"/>
      <c r="K14" s="2080"/>
      <c r="L14" s="2027"/>
      <c r="M14" s="2027"/>
      <c r="N14" s="2028"/>
      <c r="O14" s="2029"/>
      <c r="P14" s="2028"/>
      <c r="Q14" s="2028"/>
      <c r="R14" s="2028"/>
    </row>
    <row r="15" spans="1:19" ht="18" customHeight="1">
      <c r="A15" s="2062"/>
      <c r="B15" s="2081"/>
      <c r="C15" s="2078" t="s">
        <v>1802</v>
      </c>
      <c r="D15" s="1047">
        <f>IF(B12="出让",IF(D13="","",ROUNDDOWN(MIN((D13-$D$3)/365,D14),2)),D14)</f>
        <v>0.3</v>
      </c>
      <c r="E15" s="1047">
        <f>IF(B12="出让",IF(E13="","",ROUNDDOWN(MIN((E13-$D$3)/365,E14),2)),E14)</f>
        <v>14</v>
      </c>
      <c r="F15" s="1047" t="str">
        <f>IF(B12="出让",IF(F13="","",ROUNDDOWN(MIN((F13-$D$3)/365,F14),2)),F14)</f>
        <v/>
      </c>
      <c r="G15" s="1047">
        <f>IF(B12="出让",IF(G13="","",ROUNDDOWN(MIN((G13-$D$3)/365,G14),2)),G14)</f>
        <v>14</v>
      </c>
      <c r="H15" s="1047">
        <f>IF(B12="出让",IF(H13="","",ROUNDDOWN(MIN((H13-$D$3)/365,H14),2)),H14)</f>
        <v>4.3</v>
      </c>
      <c r="I15" s="1047">
        <f>IF(B12="出让",IF(I13="","",ROUNDDOWN(MIN((I13-$D$3)/365,I14),2)),I14)</f>
        <v>9.33</v>
      </c>
      <c r="J15" s="2041"/>
      <c r="K15" s="2082"/>
      <c r="L15" s="2083"/>
      <c r="M15" s="2083"/>
      <c r="N15" s="2084"/>
      <c r="O15" s="2083"/>
      <c r="P15" s="2084"/>
      <c r="Q15" s="2028"/>
      <c r="R15" s="2028"/>
    </row>
    <row r="16" spans="1:19" ht="30.75" customHeight="1">
      <c r="A16" s="2065" t="s">
        <v>1803</v>
      </c>
      <c r="B16" s="3058"/>
      <c r="C16" s="3059"/>
      <c r="D16" s="3060"/>
      <c r="E16" s="2085" t="s">
        <v>1804</v>
      </c>
      <c r="F16" s="3061"/>
      <c r="G16" s="3062"/>
      <c r="H16" s="3062"/>
      <c r="I16" s="3063"/>
      <c r="J16" s="2028"/>
      <c r="K16" s="2082"/>
      <c r="L16" s="2083"/>
      <c r="M16" s="2083"/>
      <c r="N16" s="2084"/>
      <c r="O16" s="2083"/>
      <c r="P16" s="2084"/>
      <c r="Q16" s="2028"/>
      <c r="R16" s="2028"/>
    </row>
    <row r="17" spans="1:22" ht="18" customHeight="1">
      <c r="A17" s="2086" t="s">
        <v>1805</v>
      </c>
      <c r="B17" s="2034" t="s">
        <v>1806</v>
      </c>
      <c r="C17" s="1052">
        <f>'数据-汇总表'!E3</f>
        <v>50425.270000000004</v>
      </c>
      <c r="D17" s="2087" t="s">
        <v>1807</v>
      </c>
      <c r="E17" s="3064" t="s">
        <v>1808</v>
      </c>
      <c r="F17" s="3065"/>
      <c r="G17" s="3065"/>
      <c r="H17" s="3065"/>
      <c r="I17" s="3066"/>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2">
        <f>'数据-汇总表'!D3</f>
        <v>11435.33</v>
      </c>
      <c r="D18" s="2090" t="s">
        <v>1807</v>
      </c>
      <c r="E18" s="3067" t="s">
        <v>1811</v>
      </c>
      <c r="F18" s="3068"/>
      <c r="G18" s="3068"/>
      <c r="H18" s="3068"/>
      <c r="I18" s="3069"/>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t="s">
        <v>3048</v>
      </c>
      <c r="D19" s="2092" t="s">
        <v>1814</v>
      </c>
      <c r="E19" s="2093" t="s">
        <v>3048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54" t="s">
        <v>1816</v>
      </c>
      <c r="C20" s="3055"/>
      <c r="D20" s="3056" t="s">
        <v>1817</v>
      </c>
      <c r="E20" s="3057"/>
      <c r="F20" s="2097" t="s">
        <v>1818</v>
      </c>
      <c r="G20" s="2041"/>
      <c r="H20" s="2041"/>
      <c r="I20" s="2041"/>
      <c r="J20" s="2041"/>
      <c r="K20" s="3053"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1"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1"/>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1"/>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2"/>
      <c r="B30" s="2034" t="s">
        <v>1835</v>
      </c>
      <c r="C30" s="3043"/>
      <c r="D30" s="304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5"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40" t="s">
        <v>1845</v>
      </c>
      <c r="T34" s="2134" t="str">
        <f>NUMBERSTRING(7-K34,1)&amp;"通"</f>
        <v>七通</v>
      </c>
      <c r="U34" s="2028"/>
      <c r="V34" s="2028"/>
    </row>
    <row r="35" spans="1:22" ht="18" customHeight="1">
      <c r="A35" s="2135"/>
      <c r="B35" s="3047" t="s">
        <v>1846</v>
      </c>
      <c r="C35" s="3047"/>
      <c r="D35" s="3047"/>
      <c r="E35" s="304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0"/>
      <c r="C43" s="1270"/>
      <c r="D43" s="1270"/>
      <c r="E43" s="1270"/>
      <c r="F43" s="1270"/>
      <c r="G43" s="1270"/>
      <c r="H43" s="9"/>
      <c r="I43" s="9"/>
      <c r="J43" s="2154"/>
      <c r="K43" s="2155"/>
      <c r="L43" s="2155"/>
      <c r="M43" s="9"/>
      <c r="N43" s="1270"/>
      <c r="O43" s="9"/>
      <c r="P43" s="1270"/>
      <c r="Q43" s="1270"/>
      <c r="R43" s="1270"/>
      <c r="S43" s="2156"/>
      <c r="T43" s="2156"/>
      <c r="U43" s="2156"/>
      <c r="V43" s="2156"/>
    </row>
    <row r="44" spans="1:22" s="2157" customFormat="1" ht="18" customHeight="1">
      <c r="A44" s="2153"/>
      <c r="B44" s="2153"/>
      <c r="C44" s="1270"/>
      <c r="D44" s="1270"/>
      <c r="E44" s="1270"/>
      <c r="F44" s="1270"/>
      <c r="G44" s="1270"/>
      <c r="H44" s="9"/>
      <c r="I44" s="9"/>
      <c r="J44" s="2154"/>
      <c r="K44" s="2155"/>
      <c r="L44" s="2155"/>
      <c r="M44" s="9"/>
      <c r="N44" s="1270"/>
      <c r="O44" s="9"/>
      <c r="P44" s="1270"/>
      <c r="Q44" s="1270"/>
      <c r="R44" s="1270"/>
      <c r="S44" s="2156"/>
      <c r="T44" s="2156"/>
      <c r="U44" s="2156"/>
      <c r="V44" s="2156"/>
    </row>
    <row r="45" spans="1:22" s="2157" customFormat="1" ht="18" customHeight="1">
      <c r="A45" s="2153"/>
      <c r="B45" s="2153"/>
      <c r="C45" s="1270"/>
      <c r="D45" s="1270"/>
      <c r="E45" s="1270"/>
      <c r="F45" s="1270"/>
      <c r="G45" s="1270"/>
      <c r="H45" s="9"/>
      <c r="I45" s="9"/>
      <c r="J45" s="2154"/>
      <c r="K45" s="2155"/>
      <c r="L45" s="2155"/>
      <c r="M45" s="9"/>
      <c r="N45" s="1270"/>
      <c r="O45" s="9"/>
      <c r="P45" s="1270"/>
      <c r="Q45" s="1270"/>
      <c r="R45" s="1270"/>
      <c r="S45" s="2156"/>
      <c r="T45" s="2156"/>
      <c r="U45" s="2156"/>
      <c r="V45" s="2156"/>
    </row>
    <row r="46" spans="1:22" s="2157" customFormat="1" ht="18" customHeight="1">
      <c r="A46" s="2153"/>
      <c r="B46" s="2153"/>
      <c r="C46" s="1270"/>
      <c r="D46" s="1270"/>
      <c r="E46" s="1270"/>
      <c r="F46" s="1270"/>
      <c r="G46" s="1270"/>
      <c r="H46" s="9"/>
      <c r="I46" s="9"/>
      <c r="J46" s="2154"/>
      <c r="K46" s="2155"/>
      <c r="L46" s="2155"/>
      <c r="M46" s="9"/>
      <c r="N46" s="1270"/>
      <c r="O46" s="9"/>
      <c r="P46" s="1270"/>
      <c r="Q46" s="1270"/>
      <c r="R46" s="1270"/>
      <c r="S46" s="2156"/>
      <c r="T46" s="2156"/>
      <c r="U46" s="2156"/>
      <c r="V46" s="2156"/>
    </row>
    <row r="47" spans="1:22" s="2157" customFormat="1" ht="18" customHeight="1">
      <c r="A47" s="2153"/>
      <c r="B47" s="2153"/>
      <c r="C47" s="1270"/>
      <c r="D47" s="1270"/>
      <c r="E47" s="1270"/>
      <c r="F47" s="1270"/>
      <c r="G47" s="1270"/>
      <c r="H47" s="9"/>
      <c r="I47" s="9"/>
      <c r="J47" s="2154"/>
      <c r="K47" s="2155"/>
      <c r="L47" s="2155"/>
      <c r="M47" s="9"/>
      <c r="N47" s="1270"/>
      <c r="O47" s="9"/>
      <c r="P47" s="1270"/>
      <c r="Q47" s="1270"/>
      <c r="R47" s="1270"/>
      <c r="S47" s="2156"/>
      <c r="T47" s="2156"/>
      <c r="U47" s="2156"/>
      <c r="V47" s="2156"/>
    </row>
    <row r="48" spans="1:22" s="2157" customFormat="1" ht="18" customHeight="1">
      <c r="A48" s="2153"/>
      <c r="B48" s="2153"/>
      <c r="C48" s="1270"/>
      <c r="D48" s="1270"/>
      <c r="E48" s="1270"/>
      <c r="F48" s="1270"/>
      <c r="G48" s="1270"/>
      <c r="H48" s="9"/>
      <c r="I48" s="9"/>
      <c r="J48" s="2154"/>
      <c r="K48" s="2155"/>
      <c r="L48" s="2155"/>
      <c r="M48" s="9"/>
      <c r="N48" s="1270"/>
      <c r="O48" s="9"/>
      <c r="P48" s="1270"/>
      <c r="Q48" s="1270"/>
      <c r="R48" s="1270"/>
      <c r="S48" s="2156"/>
      <c r="T48" s="2156"/>
      <c r="U48" s="2156"/>
      <c r="V48" s="2156"/>
    </row>
    <row r="49" spans="1:22" s="2157" customFormat="1" ht="18" customHeight="1">
      <c r="A49" s="2153"/>
      <c r="B49" s="2153"/>
      <c r="C49" s="1270"/>
      <c r="D49" s="1270"/>
      <c r="E49" s="1270"/>
      <c r="F49" s="1270"/>
      <c r="G49" s="1270"/>
      <c r="H49" s="9"/>
      <c r="I49" s="9"/>
      <c r="J49" s="2154"/>
      <c r="K49" s="2155"/>
      <c r="L49" s="2155"/>
      <c r="M49" s="9"/>
      <c r="N49" s="1270"/>
      <c r="O49" s="9"/>
      <c r="P49" s="1270"/>
      <c r="Q49" s="1270"/>
      <c r="R49" s="1270"/>
      <c r="S49" s="2156"/>
      <c r="T49" s="2156"/>
      <c r="U49" s="2156"/>
      <c r="V49" s="2156"/>
    </row>
    <row r="50" spans="1:22" s="2157" customFormat="1" ht="18" customHeight="1">
      <c r="A50" s="2153"/>
      <c r="B50" s="2153"/>
      <c r="C50" s="1270"/>
      <c r="D50" s="1270"/>
      <c r="E50" s="1270"/>
      <c r="F50" s="1270"/>
      <c r="G50" s="1270"/>
      <c r="H50" s="9"/>
      <c r="I50" s="9"/>
      <c r="J50" s="2154"/>
      <c r="K50" s="2155"/>
      <c r="L50" s="2155"/>
      <c r="M50" s="9"/>
      <c r="N50" s="1270"/>
      <c r="O50" s="9"/>
      <c r="P50" s="1270"/>
      <c r="Q50" s="1270"/>
      <c r="R50" s="1270"/>
      <c r="S50" s="2156"/>
      <c r="T50" s="2156"/>
      <c r="U50" s="2156"/>
      <c r="V50" s="2156"/>
    </row>
    <row r="51" spans="1:22" s="2157" customFormat="1" ht="18" customHeight="1">
      <c r="A51" s="2153"/>
      <c r="B51" s="2153"/>
      <c r="C51" s="1270"/>
      <c r="D51" s="1270"/>
      <c r="E51" s="1270"/>
      <c r="F51" s="1270"/>
      <c r="G51" s="1270"/>
      <c r="H51" s="9"/>
      <c r="I51" s="9"/>
      <c r="J51" s="2154"/>
      <c r="K51" s="2155"/>
      <c r="L51" s="2155"/>
      <c r="M51" s="9"/>
      <c r="N51" s="1270"/>
      <c r="O51" s="9"/>
      <c r="P51" s="1270"/>
      <c r="Q51" s="1270"/>
      <c r="R51" s="1270"/>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0"/>
  <sheetViews>
    <sheetView workbookViewId="0">
      <selection activeCell="I9" sqref="I9"/>
    </sheetView>
  </sheetViews>
  <sheetFormatPr defaultRowHeight="13.5"/>
  <cols>
    <col min="2" max="2" width="17.75" customWidth="1"/>
    <col min="3" max="3" width="15.625" customWidth="1"/>
    <col min="8" max="8" width="13.625" customWidth="1"/>
    <col min="9" max="9" width="14.375" customWidth="1"/>
    <col min="10" max="10" width="10.125" customWidth="1"/>
    <col min="11" max="11" width="17.25" customWidth="1"/>
    <col min="13" max="13" width="10.625" customWidth="1"/>
    <col min="14" max="14" width="9.5" bestFit="1" customWidth="1"/>
    <col min="15" max="15" width="21.625" customWidth="1"/>
    <col min="19" max="19" width="11" customWidth="1"/>
  </cols>
  <sheetData>
    <row r="3" spans="1:20">
      <c r="A3" s="2959" t="s">
        <v>3056</v>
      </c>
      <c r="B3" s="2959" t="s">
        <v>3058</v>
      </c>
      <c r="C3" s="2956"/>
      <c r="D3" s="2956"/>
      <c r="G3" s="2959" t="s">
        <v>3079</v>
      </c>
      <c r="H3" s="2959" t="s">
        <v>3061</v>
      </c>
      <c r="I3" s="2959" t="s">
        <v>3062</v>
      </c>
      <c r="L3" s="2959" t="s">
        <v>3080</v>
      </c>
      <c r="M3" s="2959" t="s">
        <v>3082</v>
      </c>
      <c r="N3" s="2958" t="s">
        <v>3076</v>
      </c>
      <c r="O3" s="2959" t="s">
        <v>3193</v>
      </c>
      <c r="P3" s="2958" t="s">
        <v>3103</v>
      </c>
    </row>
    <row r="4" spans="1:20">
      <c r="A4" s="2958">
        <v>1</v>
      </c>
      <c r="B4" s="2958">
        <v>1803.85</v>
      </c>
      <c r="C4" s="3070"/>
      <c r="D4" s="3071"/>
      <c r="G4" s="2959" t="s">
        <v>3060</v>
      </c>
      <c r="H4" s="2958">
        <f>B4+B5+B6</f>
        <v>6593.31</v>
      </c>
      <c r="I4" s="2960" t="s">
        <v>3191</v>
      </c>
      <c r="L4" s="2959" t="s">
        <v>3196</v>
      </c>
      <c r="M4" s="2958">
        <f>[1]租赁合同!$G$69</f>
        <v>23910.770000000011</v>
      </c>
      <c r="N4" s="2958">
        <f>[1]租赁合同!$S$69</f>
        <v>34758640.190000005</v>
      </c>
      <c r="O4" s="2958">
        <f>ROUND(N4/M4/365,2)</f>
        <v>3.98</v>
      </c>
      <c r="P4" s="2967"/>
    </row>
    <row r="5" spans="1:20">
      <c r="A5" s="2958">
        <v>2</v>
      </c>
      <c r="B5" s="2958">
        <v>2006.7</v>
      </c>
      <c r="C5" s="3071"/>
      <c r="D5" s="3071"/>
      <c r="G5" s="2959" t="s">
        <v>3063</v>
      </c>
      <c r="H5" s="2958">
        <f>SUM(B8:B18)</f>
        <v>27603.070000000003</v>
      </c>
      <c r="I5" s="2960" t="s">
        <v>3192</v>
      </c>
      <c r="L5" s="2959"/>
      <c r="M5" s="2958"/>
      <c r="N5" s="2958"/>
      <c r="O5" s="2958"/>
      <c r="P5" s="2967"/>
      <c r="S5" t="s">
        <v>3077</v>
      </c>
      <c r="T5">
        <v>1221.7399999999998</v>
      </c>
    </row>
    <row r="6" spans="1:20">
      <c r="A6" s="2958">
        <v>3</v>
      </c>
      <c r="B6" s="2958">
        <v>2782.76</v>
      </c>
      <c r="G6" s="2959" t="s">
        <v>3064</v>
      </c>
      <c r="H6" s="2958">
        <f>B7</f>
        <v>3356.5</v>
      </c>
      <c r="I6" s="2960" t="s">
        <v>3081</v>
      </c>
      <c r="L6" s="2965"/>
      <c r="M6" s="2965"/>
      <c r="N6" s="2965"/>
      <c r="O6" s="2965"/>
      <c r="P6" s="2966"/>
      <c r="S6" t="s">
        <v>3078</v>
      </c>
      <c r="T6">
        <v>1147.8700000000003</v>
      </c>
    </row>
    <row r="7" spans="1:20">
      <c r="A7" s="2958">
        <v>4</v>
      </c>
      <c r="B7" s="2958">
        <v>3356.5</v>
      </c>
      <c r="G7" s="2959" t="s">
        <v>3065</v>
      </c>
      <c r="H7" s="2958">
        <v>251</v>
      </c>
      <c r="I7" s="2958"/>
    </row>
    <row r="8" spans="1:20">
      <c r="A8" s="2958">
        <v>5</v>
      </c>
      <c r="B8" s="2958">
        <v>2369.61</v>
      </c>
    </row>
    <row r="9" spans="1:20">
      <c r="A9" s="2958">
        <v>6</v>
      </c>
      <c r="B9" s="2958">
        <v>2528.19</v>
      </c>
    </row>
    <row r="10" spans="1:20">
      <c r="A10" s="2958">
        <v>7</v>
      </c>
      <c r="B10" s="2958">
        <v>2607.65</v>
      </c>
    </row>
    <row r="11" spans="1:20">
      <c r="A11" s="2958">
        <v>8</v>
      </c>
      <c r="B11" s="2958">
        <v>2821.83</v>
      </c>
    </row>
    <row r="12" spans="1:20">
      <c r="A12" s="2958">
        <v>9</v>
      </c>
      <c r="B12" s="2958">
        <v>2821.83</v>
      </c>
      <c r="G12" s="2959" t="s">
        <v>3104</v>
      </c>
      <c r="H12" s="2959" t="s">
        <v>3100</v>
      </c>
      <c r="I12" s="2959" t="s">
        <v>3105</v>
      </c>
      <c r="J12" s="2959" t="s">
        <v>3101</v>
      </c>
      <c r="K12" s="2959" t="s">
        <v>3106</v>
      </c>
    </row>
    <row r="13" spans="1:20">
      <c r="A13" s="2958">
        <v>10</v>
      </c>
      <c r="B13" s="2958">
        <v>2526</v>
      </c>
      <c r="G13" s="2959"/>
      <c r="H13" s="2958"/>
      <c r="I13" s="2958"/>
      <c r="J13" s="2958"/>
      <c r="K13" s="2959"/>
    </row>
    <row r="14" spans="1:20">
      <c r="A14" s="2958">
        <v>11</v>
      </c>
      <c r="B14" s="2958">
        <v>2740.18</v>
      </c>
      <c r="G14" s="2959"/>
      <c r="H14" s="2958"/>
      <c r="I14" s="2958"/>
      <c r="J14" s="2958"/>
      <c r="K14" s="2959"/>
    </row>
    <row r="15" spans="1:20">
      <c r="A15" s="2958">
        <v>12</v>
      </c>
      <c r="B15" s="2958">
        <v>2740.18</v>
      </c>
      <c r="G15" s="2959"/>
      <c r="H15" s="2958"/>
      <c r="I15" s="2958"/>
      <c r="J15" s="2958"/>
      <c r="K15" s="2959"/>
    </row>
    <row r="16" spans="1:20">
      <c r="A16" s="2958">
        <v>13</v>
      </c>
      <c r="B16" s="2958">
        <v>2740.18</v>
      </c>
      <c r="G16" s="2959"/>
      <c r="H16" s="2958"/>
      <c r="I16" s="2958"/>
      <c r="J16" s="2958"/>
      <c r="K16" s="2958"/>
    </row>
    <row r="17" spans="1:11">
      <c r="A17" s="2958">
        <v>14</v>
      </c>
      <c r="B17" s="2958">
        <v>2740.18</v>
      </c>
      <c r="G17" s="2992" t="s">
        <v>3197</v>
      </c>
      <c r="H17" s="2991" t="s">
        <v>3194</v>
      </c>
      <c r="I17" s="2993" t="s">
        <v>3105</v>
      </c>
      <c r="J17" s="2993" t="s">
        <v>3082</v>
      </c>
      <c r="K17" s="2993" t="s">
        <v>3106</v>
      </c>
    </row>
    <row r="18" spans="1:11">
      <c r="A18" s="2958">
        <v>15</v>
      </c>
      <c r="B18" s="2958">
        <v>967.24</v>
      </c>
      <c r="G18" s="2994" t="s">
        <v>3195</v>
      </c>
      <c r="H18" s="2958">
        <f>'数据-基础表'!I13+'数据-基础表'!K13-面积表!M4</f>
        <v>12553.389999999992</v>
      </c>
      <c r="I18" s="2958"/>
      <c r="J18" s="2958">
        <f>M4</f>
        <v>23910.770000000011</v>
      </c>
      <c r="K18" s="2958"/>
    </row>
    <row r="19" spans="1:11">
      <c r="A19" s="2959" t="s">
        <v>3057</v>
      </c>
      <c r="B19" s="2958"/>
    </row>
    <row r="20" spans="1:11">
      <c r="A20" s="2959" t="s">
        <v>3059</v>
      </c>
      <c r="B20" s="2958">
        <f>SUM(B4:B19)</f>
        <v>37552.880000000005</v>
      </c>
    </row>
  </sheetData>
  <mergeCells count="2">
    <mergeCell ref="C4:C5"/>
    <mergeCell ref="D4:D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7" t="s">
        <v>1878</v>
      </c>
      <c r="AZ2" s="1268"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11435.33</v>
      </c>
      <c r="B3" s="14">
        <f>IF(C3="否",G5-AT5,G5)</f>
        <v>50425.270000000004</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69"/>
      <c r="AZ3" s="1270"/>
      <c r="BA3" s="1271"/>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1882</v>
      </c>
      <c r="B5" s="1802"/>
      <c r="C5" s="1802"/>
      <c r="D5" s="1805"/>
      <c r="E5" s="16" t="s">
        <v>1</v>
      </c>
      <c r="F5" s="16">
        <f>SUM(F13:F587)</f>
        <v>0</v>
      </c>
      <c r="G5" s="16">
        <f>SUM(G13:G587)</f>
        <v>50425.270000000004</v>
      </c>
      <c r="H5" s="16">
        <f t="shared" ref="H5:AT5" si="0">SUM(H13:H656)</f>
        <v>46959.61</v>
      </c>
      <c r="I5" s="16">
        <f t="shared" si="0"/>
        <v>5475.05</v>
      </c>
      <c r="J5" s="16">
        <f t="shared" si="0"/>
        <v>0</v>
      </c>
      <c r="K5" s="16">
        <f t="shared" si="0"/>
        <v>30989.11</v>
      </c>
      <c r="L5" s="16">
        <f t="shared" si="0"/>
        <v>0</v>
      </c>
      <c r="M5" s="16">
        <f t="shared" si="0"/>
        <v>2885.74</v>
      </c>
      <c r="N5" s="16">
        <f t="shared" si="0"/>
        <v>0</v>
      </c>
      <c r="O5" s="16">
        <f t="shared" si="0"/>
        <v>7609.71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3465.66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1295.3900000000001</v>
      </c>
      <c r="AM5" s="16">
        <f t="shared" si="0"/>
        <v>0</v>
      </c>
      <c r="AN5" s="16">
        <f t="shared" si="0"/>
        <v>2170.27</v>
      </c>
      <c r="AO5" s="16">
        <f t="shared" si="0"/>
        <v>0</v>
      </c>
      <c r="AP5" s="16">
        <f t="shared" si="0"/>
        <v>0</v>
      </c>
      <c r="AQ5" s="16">
        <f t="shared" si="0"/>
        <v>0</v>
      </c>
      <c r="AR5" s="16">
        <f t="shared" si="0"/>
        <v>0</v>
      </c>
      <c r="AS5" s="16">
        <f t="shared" si="0"/>
        <v>0</v>
      </c>
      <c r="AT5" s="16">
        <f t="shared" si="0"/>
        <v>0</v>
      </c>
      <c r="AU5" s="1801"/>
      <c r="AV5" s="15" t="s">
        <v>1882</v>
      </c>
      <c r="AW5" s="1802"/>
      <c r="AX5" s="1802"/>
      <c r="AY5" s="17" t="s">
        <v>3</v>
      </c>
      <c r="AZ5" s="18">
        <f t="shared" ref="AZ5:BT5" si="1">SUM(AZ13:AZ656)</f>
        <v>50425.270000000004</v>
      </c>
      <c r="BA5" s="18">
        <f t="shared" si="1"/>
        <v>46959.61</v>
      </c>
      <c r="BB5" s="18">
        <f t="shared" si="1"/>
        <v>5475.05</v>
      </c>
      <c r="BC5" s="18">
        <f t="shared" si="1"/>
        <v>30989.11</v>
      </c>
      <c r="BD5" s="18">
        <f t="shared" si="1"/>
        <v>2885.74</v>
      </c>
      <c r="BE5" s="18">
        <f t="shared" si="1"/>
        <v>7609.71</v>
      </c>
      <c r="BF5" s="18">
        <f t="shared" si="1"/>
        <v>0</v>
      </c>
      <c r="BG5" s="18">
        <f t="shared" si="1"/>
        <v>0</v>
      </c>
      <c r="BH5" s="18">
        <f t="shared" si="1"/>
        <v>0</v>
      </c>
      <c r="BI5" s="18">
        <f t="shared" si="1"/>
        <v>0</v>
      </c>
      <c r="BJ5" s="18">
        <f t="shared" si="1"/>
        <v>0</v>
      </c>
      <c r="BK5" s="18">
        <f t="shared" si="1"/>
        <v>0</v>
      </c>
      <c r="BL5" s="18">
        <f t="shared" si="1"/>
        <v>3465.66</v>
      </c>
      <c r="BM5" s="18">
        <f t="shared" si="1"/>
        <v>0</v>
      </c>
      <c r="BN5" s="18">
        <f t="shared" si="1"/>
        <v>0</v>
      </c>
      <c r="BO5" s="18">
        <f t="shared" si="1"/>
        <v>0</v>
      </c>
      <c r="BP5" s="18">
        <f t="shared" si="1"/>
        <v>0</v>
      </c>
      <c r="BQ5" s="18">
        <f t="shared" si="1"/>
        <v>1295.3900000000001</v>
      </c>
      <c r="BR5" s="18">
        <f t="shared" si="1"/>
        <v>2170.27</v>
      </c>
      <c r="BS5" s="18">
        <f t="shared" si="1"/>
        <v>0</v>
      </c>
      <c r="BT5" s="19">
        <f t="shared" si="1"/>
        <v>0</v>
      </c>
    </row>
    <row r="6" spans="1:72" s="2177" customFormat="1" ht="12.75">
      <c r="A6" s="15" t="s">
        <v>1883</v>
      </c>
      <c r="B6" s="2174"/>
      <c r="C6" s="2174"/>
      <c r="D6" s="2175"/>
      <c r="E6" s="16">
        <f>H6+AC6+AT6</f>
        <v>11435.33</v>
      </c>
      <c r="F6" s="16" t="s">
        <v>1</v>
      </c>
      <c r="G6" s="16" t="s">
        <v>2</v>
      </c>
      <c r="H6" s="20">
        <f>SUMIF(I$12:AB$12,"总值",I6:AB6)</f>
        <v>10649.39</v>
      </c>
      <c r="I6" s="16">
        <f t="shared" ref="I6:AB6" si="2">ROUND($A$3*I5/$B$3,2)</f>
        <v>1241.6199999999999</v>
      </c>
      <c r="J6" s="16">
        <f t="shared" si="2"/>
        <v>0</v>
      </c>
      <c r="K6" s="16">
        <f t="shared" si="2"/>
        <v>7027.64</v>
      </c>
      <c r="L6" s="16">
        <f t="shared" si="2"/>
        <v>0</v>
      </c>
      <c r="M6" s="16">
        <f t="shared" si="2"/>
        <v>654.41999999999996</v>
      </c>
      <c r="N6" s="16">
        <f t="shared" si="2"/>
        <v>0</v>
      </c>
      <c r="O6" s="16">
        <f t="shared" si="2"/>
        <v>1725.71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785.94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293.77</v>
      </c>
      <c r="AM6" s="16">
        <f t="shared" si="3"/>
        <v>0</v>
      </c>
      <c r="AN6" s="16">
        <f t="shared" si="3"/>
        <v>492.17</v>
      </c>
      <c r="AO6" s="16">
        <f t="shared" si="3"/>
        <v>0</v>
      </c>
      <c r="AP6" s="16">
        <f t="shared" si="3"/>
        <v>0</v>
      </c>
      <c r="AQ6" s="16">
        <f t="shared" si="3"/>
        <v>0</v>
      </c>
      <c r="AR6" s="16">
        <f t="shared" si="3"/>
        <v>0</v>
      </c>
      <c r="AS6" s="16">
        <f t="shared" si="3"/>
        <v>0</v>
      </c>
      <c r="AT6" s="20">
        <f>IF(C3="是",ROUND($A$3*AT5/$B$3,2),0)</f>
        <v>0</v>
      </c>
      <c r="AU6" s="2176"/>
      <c r="AV6" s="15" t="s">
        <v>1883</v>
      </c>
      <c r="AW6" s="2174"/>
      <c r="AX6" s="2174"/>
      <c r="AY6" s="21">
        <f>IF(AY3&gt;0,AY3,ROUND($A$3*AZ5/$B$3,2))</f>
        <v>11435.33</v>
      </c>
      <c r="AZ6" s="16" t="s">
        <v>3</v>
      </c>
      <c r="BA6" s="16">
        <f>ROUND($AY$6*BA5/$AZ$5,2)</f>
        <v>10649.4</v>
      </c>
      <c r="BB6" s="16">
        <f>ROUND($AY$6*BB5/$AZ$5,2)</f>
        <v>1241.6199999999999</v>
      </c>
      <c r="BC6" s="16">
        <f t="shared" ref="BC6:BH6" si="4">ROUND($AY$6*BC5/$AZ$5,2)</f>
        <v>7027.64</v>
      </c>
      <c r="BD6" s="16">
        <f t="shared" si="4"/>
        <v>654.41999999999996</v>
      </c>
      <c r="BE6" s="16">
        <f t="shared" si="4"/>
        <v>1725.71</v>
      </c>
      <c r="BF6" s="16">
        <f t="shared" si="4"/>
        <v>0</v>
      </c>
      <c r="BG6" s="16">
        <f t="shared" si="4"/>
        <v>0</v>
      </c>
      <c r="BH6" s="16">
        <f t="shared" si="4"/>
        <v>0</v>
      </c>
      <c r="BI6" s="16">
        <f t="shared" ref="BI6:BT6" si="5">ROUND($AY$6*BI5/$AZ$5,2)</f>
        <v>0</v>
      </c>
      <c r="BJ6" s="16">
        <f t="shared" si="5"/>
        <v>0</v>
      </c>
      <c r="BK6" s="16">
        <f t="shared" si="5"/>
        <v>0</v>
      </c>
      <c r="BL6" s="16">
        <f t="shared" si="5"/>
        <v>785.93</v>
      </c>
      <c r="BM6" s="16">
        <f t="shared" si="5"/>
        <v>0</v>
      </c>
      <c r="BN6" s="16">
        <f t="shared" si="5"/>
        <v>0</v>
      </c>
      <c r="BO6" s="16">
        <f t="shared" si="5"/>
        <v>0</v>
      </c>
      <c r="BP6" s="16">
        <f t="shared" si="5"/>
        <v>0</v>
      </c>
      <c r="BQ6" s="16">
        <f t="shared" si="5"/>
        <v>293.77</v>
      </c>
      <c r="BR6" s="16">
        <f t="shared" si="5"/>
        <v>492.17</v>
      </c>
      <c r="BS6" s="16">
        <f t="shared" si="5"/>
        <v>0</v>
      </c>
      <c r="BT6" s="22">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3" t="s">
        <v>1892</v>
      </c>
      <c r="AW7" s="2166" t="s">
        <v>1893</v>
      </c>
      <c r="AX7" s="23"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79" t="s">
        <v>1897</v>
      </c>
      <c r="AD8" s="2188"/>
      <c r="AE8" s="2180"/>
      <c r="AF8" s="1817"/>
      <c r="AG8" s="1817"/>
      <c r="AH8" s="1817"/>
      <c r="AI8" s="1817"/>
      <c r="AJ8" s="1817"/>
      <c r="AK8" s="1817"/>
      <c r="AL8" s="1817"/>
      <c r="AM8" s="1817"/>
      <c r="AN8" s="1817"/>
      <c r="AO8" s="1817"/>
      <c r="AP8" s="1817"/>
      <c r="AQ8" s="1817"/>
      <c r="AR8" s="1817"/>
      <c r="AS8" s="1817"/>
      <c r="AT8" s="1290" t="s">
        <v>1898</v>
      </c>
      <c r="AU8" s="2182" t="s">
        <v>1899</v>
      </c>
      <c r="AV8" s="1290"/>
      <c r="AW8" s="2165"/>
      <c r="AX8" s="1290"/>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0"/>
      <c r="H9" s="2190" t="s">
        <v>1902</v>
      </c>
      <c r="I9" s="2191" t="s">
        <v>3066</v>
      </c>
      <c r="J9" s="979"/>
      <c r="K9" s="2191" t="s">
        <v>3066</v>
      </c>
      <c r="L9" s="979"/>
      <c r="M9" s="2191" t="s">
        <v>3066</v>
      </c>
      <c r="N9" s="979"/>
      <c r="O9" s="2191" t="s">
        <v>3071</v>
      </c>
      <c r="P9" s="979"/>
      <c r="Q9" s="2191"/>
      <c r="R9" s="979"/>
      <c r="S9" s="2191"/>
      <c r="T9" s="979"/>
      <c r="U9" s="2191"/>
      <c r="V9" s="979"/>
      <c r="W9" s="2191"/>
      <c r="X9" s="2192"/>
      <c r="Y9" s="2191"/>
      <c r="Z9" s="979"/>
      <c r="AA9" s="2191"/>
      <c r="AB9" s="979"/>
      <c r="AC9" s="2183" t="s">
        <v>1902</v>
      </c>
      <c r="AD9" s="15" t="s">
        <v>1903</v>
      </c>
      <c r="AE9" s="1296"/>
      <c r="AF9" s="15" t="s">
        <v>1904</v>
      </c>
      <c r="AG9" s="1296"/>
      <c r="AH9" s="15" t="s">
        <v>1903</v>
      </c>
      <c r="AI9" s="1296"/>
      <c r="AJ9" s="15" t="s">
        <v>1904</v>
      </c>
      <c r="AK9" s="1296"/>
      <c r="AL9" s="15" t="s">
        <v>1903</v>
      </c>
      <c r="AM9" s="1296"/>
      <c r="AN9" s="15" t="s">
        <v>1904</v>
      </c>
      <c r="AO9" s="1296"/>
      <c r="AP9" s="15" t="s">
        <v>1903</v>
      </c>
      <c r="AQ9" s="1296"/>
      <c r="AR9" s="15" t="s">
        <v>1904</v>
      </c>
      <c r="AS9" s="2193"/>
      <c r="AT9" s="2182"/>
      <c r="AU9" s="2182" t="s">
        <v>1905</v>
      </c>
      <c r="AV9" s="1290"/>
      <c r="AW9" s="2165"/>
      <c r="AX9" s="1290"/>
      <c r="AY9" s="28"/>
      <c r="AZ9" s="28" t="s">
        <v>1895</v>
      </c>
      <c r="BA9" s="2194" t="s">
        <v>1906</v>
      </c>
      <c r="BB9" s="2195"/>
      <c r="BC9" s="1336"/>
      <c r="BD9" s="1336"/>
      <c r="BE9" s="1336"/>
      <c r="BF9" s="1336"/>
      <c r="BG9" s="1336"/>
      <c r="BH9" s="1336"/>
      <c r="BI9" s="1336"/>
      <c r="BJ9" s="1336"/>
      <c r="BK9" s="2196"/>
      <c r="BL9" s="15" t="s">
        <v>1907</v>
      </c>
      <c r="BM9" s="1817"/>
      <c r="BN9" s="2185"/>
      <c r="BO9" s="1817"/>
      <c r="BP9" s="1817"/>
      <c r="BQ9" s="1817"/>
      <c r="BR9" s="1817"/>
      <c r="BS9" s="1817"/>
      <c r="BT9" s="26"/>
    </row>
    <row r="10" spans="1:72" s="2189" customFormat="1" ht="12.75">
      <c r="A10" s="2182"/>
      <c r="B10" s="2182"/>
      <c r="C10" s="2182"/>
      <c r="D10" s="2182"/>
      <c r="E10" s="2182"/>
      <c r="F10" s="2182"/>
      <c r="G10" s="1290"/>
      <c r="H10" s="28"/>
      <c r="I10" s="2191" t="s">
        <v>1378</v>
      </c>
      <c r="J10" s="979"/>
      <c r="K10" s="2197" t="s">
        <v>1378</v>
      </c>
      <c r="L10" s="979"/>
      <c r="M10" s="2197" t="s">
        <v>1378</v>
      </c>
      <c r="N10" s="979"/>
      <c r="O10" s="2197" t="s">
        <v>3072</v>
      </c>
      <c r="P10" s="979"/>
      <c r="Q10" s="2197"/>
      <c r="R10" s="979"/>
      <c r="S10" s="2197"/>
      <c r="T10" s="979"/>
      <c r="U10" s="2197"/>
      <c r="V10" s="979"/>
      <c r="W10" s="2197"/>
      <c r="X10" s="979"/>
      <c r="Y10" s="2197"/>
      <c r="Z10" s="979"/>
      <c r="AA10" s="2197"/>
      <c r="AB10" s="979"/>
      <c r="AC10" s="1290"/>
      <c r="AD10" s="15" t="s">
        <v>1908</v>
      </c>
      <c r="AE10" s="2198"/>
      <c r="AF10" s="15" t="s">
        <v>1908</v>
      </c>
      <c r="AG10" s="2198"/>
      <c r="AH10" s="15" t="s">
        <v>1909</v>
      </c>
      <c r="AI10" s="2198"/>
      <c r="AJ10" s="15" t="s">
        <v>1909</v>
      </c>
      <c r="AK10" s="2198"/>
      <c r="AL10" s="15" t="s">
        <v>1910</v>
      </c>
      <c r="AM10" s="1296"/>
      <c r="AN10" s="15" t="s">
        <v>1910</v>
      </c>
      <c r="AO10" s="1296"/>
      <c r="AP10" s="15" t="s">
        <v>1911</v>
      </c>
      <c r="AQ10" s="1296"/>
      <c r="AR10" s="15" t="s">
        <v>1911</v>
      </c>
      <c r="AS10" s="1296"/>
      <c r="AT10" s="2182"/>
      <c r="AU10" s="2182"/>
      <c r="AV10" s="1290"/>
      <c r="AW10" s="2165"/>
      <c r="AX10" s="1290"/>
      <c r="AY10" s="28"/>
      <c r="AZ10" s="28"/>
      <c r="BA10" s="2199" t="s">
        <v>1902</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1902</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0"/>
      <c r="H11" s="2199"/>
      <c r="I11" s="2202" t="s">
        <v>3068</v>
      </c>
      <c r="J11" s="2203"/>
      <c r="K11" s="2202" t="s">
        <v>3067</v>
      </c>
      <c r="L11" s="2203"/>
      <c r="M11" s="2202" t="s">
        <v>3069</v>
      </c>
      <c r="N11" s="2203"/>
      <c r="O11" s="2202" t="s">
        <v>3073</v>
      </c>
      <c r="P11" s="2203"/>
      <c r="Q11" s="2202"/>
      <c r="R11" s="2203"/>
      <c r="S11" s="2202"/>
      <c r="T11" s="2203"/>
      <c r="U11" s="2202"/>
      <c r="V11" s="2203"/>
      <c r="W11" s="2202"/>
      <c r="X11" s="2203"/>
      <c r="Y11" s="2202"/>
      <c r="Z11" s="2203"/>
      <c r="AA11" s="2202"/>
      <c r="AB11" s="2203"/>
      <c r="AC11" s="1290"/>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0"/>
      <c r="AW11" s="2165"/>
      <c r="AX11" s="1290"/>
      <c r="AY11" s="28"/>
      <c r="AZ11" s="28"/>
      <c r="BA11" s="28"/>
      <c r="BB11" s="2187" t="str">
        <f>I10</f>
        <v>商业</v>
      </c>
      <c r="BC11" s="2187" t="str">
        <f>K10</f>
        <v>商业</v>
      </c>
      <c r="BD11" s="2187" t="str">
        <f>M10</f>
        <v>商业</v>
      </c>
      <c r="BE11" s="2187" t="str">
        <f>O10</f>
        <v>车库—商业</v>
      </c>
      <c r="BF11" s="2187">
        <f>Q10</f>
        <v>0</v>
      </c>
      <c r="BG11" s="2187">
        <f>S10</f>
        <v>0</v>
      </c>
      <c r="BH11" s="2187">
        <f>U10</f>
        <v>0</v>
      </c>
      <c r="BI11" s="2187">
        <f>W10</f>
        <v>0</v>
      </c>
      <c r="BJ11" s="2187">
        <f>Y10</f>
        <v>0</v>
      </c>
      <c r="BK11" s="2187">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7" t="s">
        <v>1915</v>
      </c>
      <c r="AT12" s="2210"/>
      <c r="AU12" s="2207"/>
      <c r="AV12" s="31"/>
      <c r="AW12" s="2166"/>
      <c r="AX12" s="31"/>
      <c r="AY12" s="2211"/>
      <c r="AZ12" s="28"/>
      <c r="BA12" s="2199"/>
      <c r="BB12" s="24" t="str">
        <f>I11</f>
        <v>底商</v>
      </c>
      <c r="BC12" s="2212" t="str">
        <f>K11</f>
        <v>办公楼</v>
      </c>
      <c r="BD12" s="2212" t="str">
        <f>M11</f>
        <v>众创空间</v>
      </c>
      <c r="BE12" s="2187" t="str">
        <f>O11</f>
        <v>车库</v>
      </c>
      <c r="BF12" s="2187">
        <f>Q11</f>
        <v>0</v>
      </c>
      <c r="BG12" s="2187">
        <f>S11</f>
        <v>0</v>
      </c>
      <c r="BH12" s="2187">
        <f>U11</f>
        <v>0</v>
      </c>
      <c r="BI12" s="2187">
        <f>W11</f>
        <v>0</v>
      </c>
      <c r="BJ12" s="2187">
        <f>Y11</f>
        <v>0</v>
      </c>
      <c r="BK12" s="2187">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0"/>
      <c r="B13" s="1270"/>
      <c r="C13" s="1270"/>
      <c r="D13" s="2946" t="s">
        <v>3049</v>
      </c>
      <c r="E13" s="16">
        <f>IF($C$3="是",ROUND($A$3*G13/$B$3,2),ROUND($A$3*(G13-AT13)/$B$3,2))</f>
        <v>11435.33</v>
      </c>
      <c r="F13" s="32"/>
      <c r="G13" s="33">
        <f>H13+AC13+AT13</f>
        <v>50425.270000000004</v>
      </c>
      <c r="H13" s="20">
        <f>SUMIF(I$12:AB$12,"总值",I13:AB13)</f>
        <v>46959.61</v>
      </c>
      <c r="I13" s="2942">
        <v>5475.05</v>
      </c>
      <c r="J13" s="2213"/>
      <c r="K13" s="2213">
        <f>33874.85-M13</f>
        <v>30989.11</v>
      </c>
      <c r="L13" s="2213"/>
      <c r="M13" s="2213">
        <v>2885.74</v>
      </c>
      <c r="N13" s="2213"/>
      <c r="O13" s="2213">
        <v>7609.71</v>
      </c>
      <c r="P13" s="2213"/>
      <c r="Q13" s="2213"/>
      <c r="R13" s="2213"/>
      <c r="S13" s="2213"/>
      <c r="T13" s="2213"/>
      <c r="U13" s="2213"/>
      <c r="V13" s="2213"/>
      <c r="W13" s="2213"/>
      <c r="X13" s="2213"/>
      <c r="Y13" s="2213"/>
      <c r="Z13" s="2213"/>
      <c r="AA13" s="2213"/>
      <c r="AB13" s="2213"/>
      <c r="AC13" s="16">
        <f>SUMIF(AD$12:AS$12,"总值",AD13:AS13)</f>
        <v>3465.66</v>
      </c>
      <c r="AD13" s="2214"/>
      <c r="AE13" s="2214"/>
      <c r="AF13" s="2214"/>
      <c r="AG13" s="2214"/>
      <c r="AH13" s="2214"/>
      <c r="AI13" s="2214"/>
      <c r="AJ13" s="2214"/>
      <c r="AK13" s="2214"/>
      <c r="AL13" s="2214">
        <f>52.9+1242.49</f>
        <v>1295.3900000000001</v>
      </c>
      <c r="AM13" s="2214"/>
      <c r="AN13" s="2214">
        <v>2170.27</v>
      </c>
      <c r="AO13" s="2214"/>
      <c r="AP13" s="2214"/>
      <c r="AQ13" s="2214"/>
      <c r="AR13" s="2214"/>
      <c r="AS13" s="2214"/>
      <c r="AT13" s="2215"/>
      <c r="AU13" s="2216"/>
      <c r="AV13" s="11">
        <f t="shared" ref="AV13:AX17" si="6">A13</f>
        <v>0</v>
      </c>
      <c r="AW13" s="11">
        <f t="shared" si="6"/>
        <v>0</v>
      </c>
      <c r="AX13" s="11">
        <f t="shared" si="6"/>
        <v>0</v>
      </c>
      <c r="AY13" s="1805">
        <f>ROUND($AY$6*AZ13/$AZ$5,2)</f>
        <v>11435.33</v>
      </c>
      <c r="AZ13" s="16">
        <f>BA13+BL13</f>
        <v>50425.270000000004</v>
      </c>
      <c r="BA13" s="16">
        <f>SUM(BB13:BK13)</f>
        <v>46959.61</v>
      </c>
      <c r="BB13" s="16">
        <f>IF($D13="是",I13-J13,0)</f>
        <v>5475.05</v>
      </c>
      <c r="BC13" s="16">
        <f>IF($D13="是",K13-L13,0)</f>
        <v>30989.11</v>
      </c>
      <c r="BD13" s="16">
        <f>IF($D13="是",M13-N13,0)</f>
        <v>2885.74</v>
      </c>
      <c r="BE13" s="16">
        <f>IF($D13="是",O13-P13,0)</f>
        <v>7609.71</v>
      </c>
      <c r="BF13" s="16">
        <f>IF($D13="是",Q13-R13,0)</f>
        <v>0</v>
      </c>
      <c r="BG13" s="16">
        <f>IF($D13="是",S13-T13,0)</f>
        <v>0</v>
      </c>
      <c r="BH13" s="16">
        <f>IF($D13="是",U13-V13,0)</f>
        <v>0</v>
      </c>
      <c r="BI13" s="16">
        <f>IF($D13="是",W13-X13,0)</f>
        <v>0</v>
      </c>
      <c r="BJ13" s="16">
        <f>IF($D13="是",Y13-Z13,0)</f>
        <v>0</v>
      </c>
      <c r="BK13" s="16">
        <f>IF($D13="是",AA13-AB13,0)</f>
        <v>0</v>
      </c>
      <c r="BL13" s="16">
        <f>SUM(BM13:BT13)</f>
        <v>3465.66</v>
      </c>
      <c r="BM13" s="16">
        <f>IF($D13="是",AD13-AE13,0)</f>
        <v>0</v>
      </c>
      <c r="BN13" s="16">
        <f>IF($D13="是",AF13-AG13,0)</f>
        <v>0</v>
      </c>
      <c r="BO13" s="16">
        <f>IF($D13="是",AH13-AI13,0)</f>
        <v>0</v>
      </c>
      <c r="BP13" s="16">
        <f>IF($D13="是",AJ13-AK13,0)</f>
        <v>0</v>
      </c>
      <c r="BQ13" s="16">
        <f>IF($D13="是",AL13-AM13,0)</f>
        <v>1295.3900000000001</v>
      </c>
      <c r="BR13" s="16">
        <f>IF($D13="是",AN13-AO13,0)</f>
        <v>2170.27</v>
      </c>
      <c r="BS13" s="16">
        <f>IF($D13="是",AP13-AQ13,0)</f>
        <v>0</v>
      </c>
      <c r="BT13" s="22">
        <f>IF($D13="是",AR13-AS13,0)</f>
        <v>0</v>
      </c>
    </row>
    <row r="14" spans="1:72" s="2167" customFormat="1" ht="12.75">
      <c r="A14" s="1270"/>
      <c r="B14" s="1270"/>
      <c r="C14" s="2153"/>
      <c r="D14" s="2946" t="s">
        <v>3049</v>
      </c>
      <c r="E14" s="16">
        <f>IF($C$3="是",ROUND($A$3*G14/$B$3,2),ROUND($A$3*(G14-AT14)/$B$3,2))</f>
        <v>0</v>
      </c>
      <c r="F14" s="32"/>
      <c r="G14" s="33">
        <f>H14+AC14+AT14</f>
        <v>0</v>
      </c>
      <c r="H14" s="20">
        <f>SUMIF(I$12:AB$12,"总值",I14:AB14)</f>
        <v>0</v>
      </c>
      <c r="I14" s="2942"/>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0"/>
      <c r="B15" s="1270"/>
      <c r="C15" s="2153"/>
      <c r="D15" s="2946" t="s">
        <v>3049</v>
      </c>
      <c r="E15" s="16">
        <f>IF($C$3="是",ROUND($A$3*G15/$B$3,2),ROUND($A$3*(G15-AT15)/$B$3,2))</f>
        <v>0</v>
      </c>
      <c r="F15" s="32"/>
      <c r="G15" s="33">
        <f>H15+AC15+AT15</f>
        <v>0</v>
      </c>
      <c r="H15" s="20">
        <f>SUMIF(I$12:AB$12,"总值",I15:AB15)</f>
        <v>0</v>
      </c>
      <c r="I15" s="2942"/>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0"/>
      <c r="B16" s="1270"/>
      <c r="C16" s="2153"/>
      <c r="D16" s="2946" t="s">
        <v>3049</v>
      </c>
      <c r="E16" s="16">
        <f>IF($C$3="是",ROUND($A$3*G16/$B$3,2),ROUND($A$3*(G16-AT16)/$B$3,2))</f>
        <v>0</v>
      </c>
      <c r="F16" s="32"/>
      <c r="G16" s="33">
        <f>H16+AC16+AT16</f>
        <v>0</v>
      </c>
      <c r="H16" s="20">
        <f>SUMIF(I$12:AB$12,"总值",I16:AB16)</f>
        <v>0</v>
      </c>
      <c r="I16" s="2942"/>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0"/>
      <c r="B17" s="1270"/>
      <c r="C17" s="2153"/>
      <c r="D17" s="2946" t="s">
        <v>3049</v>
      </c>
      <c r="E17" s="16">
        <f>IF($C$3="是",ROUND($A$3*G17/$B$3,2),ROUND($A$3*(G17-AT17)/$B$3,2))</f>
        <v>0</v>
      </c>
      <c r="F17" s="32"/>
      <c r="G17" s="33">
        <f>H17+AC17+AT17</f>
        <v>0</v>
      </c>
      <c r="H17" s="20">
        <f>SUMIF(I$12:AB$12,"总值",I17:AB17)</f>
        <v>0</v>
      </c>
      <c r="I17" s="294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6" t="s">
        <v>3049</v>
      </c>
      <c r="E18" s="35">
        <f t="shared" ref="E18:E112" si="7">IF($C$3="是",ROUND($A$3*G18/$B$3,2),ROUND($A$3*(G18-AT18)/$B$3,2))</f>
        <v>0</v>
      </c>
      <c r="F18" s="36"/>
      <c r="G18" s="37">
        <f t="shared" ref="G18:G109" si="8">H18+AC18+AT18</f>
        <v>0</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6" t="s">
        <v>3049</v>
      </c>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6" t="s">
        <v>3049</v>
      </c>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6" t="s">
        <v>3049</v>
      </c>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6" t="s">
        <v>3049</v>
      </c>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6" t="s">
        <v>3049</v>
      </c>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6" t="s">
        <v>3049</v>
      </c>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6" t="s">
        <v>3049</v>
      </c>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6" t="s">
        <v>3049</v>
      </c>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6" t="s">
        <v>3049</v>
      </c>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6" t="s">
        <v>3049</v>
      </c>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6" t="s">
        <v>3049</v>
      </c>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6" t="s">
        <v>3049</v>
      </c>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6" t="s">
        <v>3049</v>
      </c>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6" t="s">
        <v>3049</v>
      </c>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c r="D33" s="2946" t="s">
        <v>3049</v>
      </c>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1941</v>
      </c>
      <c r="B1" s="1390"/>
      <c r="C1" s="1390"/>
      <c r="D1" s="1390"/>
      <c r="E1" s="1390"/>
      <c r="F1" s="1390"/>
      <c r="G1" s="1390"/>
      <c r="H1" s="1390"/>
      <c r="I1" s="1390"/>
      <c r="J1" s="1390"/>
      <c r="K1" s="1390"/>
      <c r="L1" s="1390"/>
      <c r="M1" s="1390"/>
      <c r="N1" s="1390"/>
      <c r="O1" s="1390"/>
      <c r="P1" s="1390"/>
    </row>
    <row r="2" spans="1:16" ht="15">
      <c r="A2" s="3083" t="s">
        <v>1942</v>
      </c>
      <c r="B2" s="3083"/>
      <c r="C2" s="3083"/>
      <c r="D2" s="965" t="s">
        <v>1918</v>
      </c>
      <c r="E2" s="2226" t="s">
        <v>1919</v>
      </c>
      <c r="F2" s="1390"/>
      <c r="G2" s="2227"/>
      <c r="H2" s="2228"/>
      <c r="I2" s="2229" t="s">
        <v>1943</v>
      </c>
      <c r="J2" s="1390"/>
      <c r="K2" s="1390"/>
      <c r="L2" s="1390"/>
      <c r="M2" s="1390"/>
      <c r="N2" s="1425"/>
      <c r="O2" s="1390"/>
      <c r="P2" s="1390"/>
    </row>
    <row r="3" spans="1:16" ht="15.75" thickBot="1">
      <c r="A3" s="3084" t="s">
        <v>1916</v>
      </c>
      <c r="B3" s="3084"/>
      <c r="C3" s="3084"/>
      <c r="D3" s="46">
        <f>'数据-基础表'!AY6</f>
        <v>11435.33</v>
      </c>
      <c r="E3" s="46">
        <f>'数据-基础表'!AZ5</f>
        <v>50425.270000000004</v>
      </c>
      <c r="F3" s="1390"/>
      <c r="G3" s="1397"/>
      <c r="H3" s="1245" t="s">
        <v>1917</v>
      </c>
      <c r="I3" s="55">
        <f>ROUND('数据-基础表'!B3/'数据-基础表'!A3,2)</f>
        <v>4.41</v>
      </c>
      <c r="J3" s="1390"/>
      <c r="K3" s="1390"/>
      <c r="L3" s="1390"/>
      <c r="M3" s="1390"/>
      <c r="N3" s="1425"/>
      <c r="O3" s="1390"/>
      <c r="P3" s="1390"/>
    </row>
    <row r="4" spans="1:16" ht="15">
      <c r="A4" s="3085"/>
      <c r="B4" s="3086"/>
      <c r="C4" s="3087"/>
      <c r="D4" s="2230" t="s">
        <v>1918</v>
      </c>
      <c r="E4" s="2231" t="s">
        <v>1919</v>
      </c>
      <c r="F4" s="1390"/>
      <c r="G4" s="2232" t="s">
        <v>1944</v>
      </c>
      <c r="H4" s="1245" t="s">
        <v>1924</v>
      </c>
      <c r="I4" s="55">
        <f>ROUND(SUMIF('数据-基础表'!I9:AS9,"地上",'数据-基础表'!I5:AS5)/'数据-基础表'!A3,2)</f>
        <v>3.55</v>
      </c>
      <c r="J4" s="1390"/>
      <c r="K4" s="1390"/>
      <c r="L4" s="1390"/>
      <c r="M4" s="1390"/>
      <c r="N4" s="1425"/>
      <c r="O4" s="1390"/>
      <c r="P4" s="1390"/>
    </row>
    <row r="5" spans="1:16">
      <c r="A5" s="47" t="s">
        <v>1920</v>
      </c>
      <c r="B5" s="3088" t="s">
        <v>1921</v>
      </c>
      <c r="C5" s="3088"/>
      <c r="D5" s="48">
        <f>ROUND($D$3*E5/$E$3,2)</f>
        <v>0</v>
      </c>
      <c r="E5" s="49">
        <f>SUMIF('数据-基础表'!$11:$11,"住宅",'数据-基础表'!$5:$5)</f>
        <v>0</v>
      </c>
      <c r="F5" s="1390"/>
      <c r="G5" s="1397"/>
      <c r="H5" s="1245" t="s">
        <v>1917</v>
      </c>
      <c r="I5" s="55">
        <f>ROUND(E31/D31,2)</f>
        <v>4.41</v>
      </c>
      <c r="J5" s="1390"/>
      <c r="K5" s="1390"/>
      <c r="L5" s="1390"/>
      <c r="M5" s="1390"/>
      <c r="N5" s="1390"/>
      <c r="O5" s="1390"/>
      <c r="P5" s="1390"/>
    </row>
    <row r="6" spans="1:16" ht="15" thickBot="1">
      <c r="A6" s="2233"/>
      <c r="B6" s="3088" t="s">
        <v>1922</v>
      </c>
      <c r="C6" s="3088"/>
      <c r="D6" s="48">
        <f>ROUND($D$3*E6/$E$3,2)</f>
        <v>11435.33</v>
      </c>
      <c r="E6" s="49">
        <f>E3-E5</f>
        <v>50425.270000000004</v>
      </c>
      <c r="F6" s="1390"/>
      <c r="G6" s="2234" t="s">
        <v>1923</v>
      </c>
      <c r="H6" s="1397" t="s">
        <v>1924</v>
      </c>
      <c r="I6" s="937">
        <f>ROUND(F31/D31,2)</f>
        <v>3.55</v>
      </c>
      <c r="J6" s="1390"/>
      <c r="K6" s="1390"/>
      <c r="L6" s="1390"/>
      <c r="M6" s="1390"/>
      <c r="N6" s="1390"/>
      <c r="O6" s="1390"/>
      <c r="P6" s="1390"/>
    </row>
    <row r="7" spans="1:16" ht="15">
      <c r="A7" s="3080"/>
      <c r="B7" s="3081"/>
      <c r="C7" s="3082"/>
      <c r="D7" s="2230" t="s">
        <v>1918</v>
      </c>
      <c r="E7" s="2235" t="s">
        <v>1925</v>
      </c>
      <c r="F7" s="1390"/>
      <c r="G7" s="2227" t="s">
        <v>1926</v>
      </c>
      <c r="H7" s="64"/>
      <c r="I7" s="420"/>
      <c r="J7" s="1390"/>
      <c r="K7" s="1390"/>
      <c r="L7" s="1390"/>
      <c r="M7" s="1390"/>
      <c r="N7" s="1390"/>
      <c r="O7" s="1390"/>
      <c r="P7" s="1390"/>
    </row>
    <row r="8" spans="1:16">
      <c r="A8" s="47" t="s">
        <v>1927</v>
      </c>
      <c r="B8" s="50" t="s">
        <v>1928</v>
      </c>
      <c r="C8" s="48" t="s">
        <v>1929</v>
      </c>
      <c r="D8" s="48">
        <f t="shared" ref="D8:D15" si="0">ROUND($D$3*E8/$E$3,2)</f>
        <v>8923.68</v>
      </c>
      <c r="E8" s="51">
        <f>SUMIF('数据-基础表'!BB10:BK10,"地上",'数据-基础表'!BB5:BK5)</f>
        <v>39349.9</v>
      </c>
      <c r="F8" s="1390"/>
      <c r="G8" s="2236"/>
      <c r="H8" s="2236"/>
      <c r="I8" s="1390"/>
      <c r="J8" s="1390"/>
      <c r="K8" s="1390"/>
      <c r="L8" s="1390"/>
      <c r="M8" s="1390"/>
      <c r="N8" s="1390"/>
      <c r="O8" s="1390"/>
      <c r="P8" s="1390"/>
    </row>
    <row r="9" spans="1:16">
      <c r="A9" s="2237"/>
      <c r="B9" s="2238"/>
      <c r="C9" s="48" t="s">
        <v>1930</v>
      </c>
      <c r="D9" s="48">
        <f t="shared" si="0"/>
        <v>0</v>
      </c>
      <c r="E9" s="52">
        <v>0</v>
      </c>
      <c r="F9" s="1390"/>
      <c r="G9" s="2236"/>
      <c r="H9" s="2236"/>
      <c r="I9" s="1390"/>
      <c r="J9" s="1390"/>
      <c r="K9" s="1390"/>
      <c r="L9" s="1390"/>
      <c r="M9" s="1390"/>
      <c r="N9" s="1390"/>
      <c r="O9" s="1390"/>
      <c r="P9" s="1390"/>
    </row>
    <row r="10" spans="1:16">
      <c r="A10" s="2237"/>
      <c r="B10" s="2238"/>
      <c r="C10" s="48" t="s">
        <v>1939</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1931</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1932</v>
      </c>
      <c r="D12" s="48">
        <f t="shared" si="0"/>
        <v>0</v>
      </c>
      <c r="E12" s="51">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8" t="s">
        <v>1933</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1945</v>
      </c>
      <c r="D14" s="48">
        <f t="shared" si="0"/>
        <v>1725.71</v>
      </c>
      <c r="E14" s="51">
        <f>SUMPRODUCT(('数据-基础表'!BB10:BK10="地下")*('数据-基础表'!BB11:BK11="车库—商业")*('数据-基础表'!BB5:BK5))</f>
        <v>7609.71</v>
      </c>
      <c r="F14" s="1390"/>
      <c r="G14" s="2236"/>
      <c r="H14" s="2236"/>
      <c r="I14" s="1390"/>
      <c r="J14" s="1390"/>
      <c r="K14" s="1390"/>
      <c r="L14" s="1390"/>
      <c r="M14" s="1390"/>
      <c r="N14" s="1390"/>
      <c r="O14" s="1390"/>
      <c r="P14" s="1390"/>
    </row>
    <row r="15" spans="1:16" ht="15" thickBot="1">
      <c r="A15" s="2237"/>
      <c r="B15" s="2238"/>
      <c r="C15" s="48" t="s">
        <v>1940</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1934</v>
      </c>
      <c r="D16" s="50">
        <f>SUM(D8:D15)</f>
        <v>10649.39</v>
      </c>
      <c r="E16" s="53">
        <f>SUM(E8:E15)</f>
        <v>46959.61</v>
      </c>
      <c r="F16" s="1390"/>
      <c r="G16" s="2236"/>
      <c r="H16" s="2239" t="s">
        <v>1946</v>
      </c>
      <c r="I16" s="2240"/>
      <c r="J16" s="1390"/>
      <c r="K16" s="3077" t="s">
        <v>1946</v>
      </c>
      <c r="L16" s="3078"/>
      <c r="M16" s="3078"/>
      <c r="N16" s="3078"/>
      <c r="O16" s="3078"/>
      <c r="P16" s="3079"/>
    </row>
    <row r="17" spans="1:19" ht="15">
      <c r="A17" s="2241" t="s">
        <v>1947</v>
      </c>
      <c r="B17" s="2242" t="s">
        <v>1948</v>
      </c>
      <c r="C17" s="2243" t="s">
        <v>1949</v>
      </c>
      <c r="D17" s="2244" t="s">
        <v>1937</v>
      </c>
      <c r="E17" s="2245" t="s">
        <v>1938</v>
      </c>
      <c r="F17" s="2246"/>
      <c r="G17" s="2247"/>
      <c r="H17" s="2248" t="s">
        <v>1950</v>
      </c>
      <c r="I17" s="2249" t="s">
        <v>1935</v>
      </c>
      <c r="J17" s="1390"/>
      <c r="K17" s="3074" t="s">
        <v>1951</v>
      </c>
      <c r="L17" s="3075"/>
      <c r="M17" s="3076"/>
      <c r="N17" s="3074" t="s">
        <v>1952</v>
      </c>
      <c r="O17" s="3075"/>
      <c r="P17" s="3076"/>
      <c r="R17" s="2227" t="s">
        <v>1953</v>
      </c>
      <c r="S17" s="64"/>
    </row>
    <row r="18" spans="1:19" ht="15">
      <c r="A18" s="2237"/>
      <c r="B18" s="2250"/>
      <c r="C18" s="2251"/>
      <c r="D18" s="2252"/>
      <c r="E18" s="2253" t="s">
        <v>1954</v>
      </c>
      <c r="F18" s="2254" t="s">
        <v>1955</v>
      </c>
      <c r="G18" s="2255" t="s">
        <v>1956</v>
      </c>
      <c r="H18" s="1260" t="s">
        <v>1957</v>
      </c>
      <c r="I18" s="2256" t="s">
        <v>1958</v>
      </c>
      <c r="J18" s="1390"/>
      <c r="K18" s="1260" t="s">
        <v>1959</v>
      </c>
      <c r="L18" s="2257" t="s">
        <v>1960</v>
      </c>
      <c r="M18" s="1044" t="s">
        <v>1961</v>
      </c>
      <c r="N18" s="1260" t="s">
        <v>1959</v>
      </c>
      <c r="O18" s="2257" t="s">
        <v>1960</v>
      </c>
      <c r="P18" s="1044" t="s">
        <v>1961</v>
      </c>
      <c r="R18" s="1245" t="s">
        <v>1962</v>
      </c>
      <c r="S18" s="1245" t="s">
        <v>1963</v>
      </c>
    </row>
    <row r="19" spans="1:19">
      <c r="A19" s="2258"/>
      <c r="B19" s="50" t="s">
        <v>1936</v>
      </c>
      <c r="C19" s="2945" t="s">
        <v>3199</v>
      </c>
      <c r="D19" s="48">
        <f>ROUND($D$3*E19/$E$3,2)</f>
        <v>5422.43</v>
      </c>
      <c r="E19" s="56">
        <f t="shared" ref="E19:E26" si="1">SUM(F19:G19)</f>
        <v>23910.770000000011</v>
      </c>
      <c r="F19" s="57">
        <f>面积表!M4</f>
        <v>23910.770000000011</v>
      </c>
      <c r="G19" s="58"/>
      <c r="H19" s="723">
        <f>ROUND($D$3*I19/$E$3,2)</f>
        <v>400.18</v>
      </c>
      <c r="I19" s="51">
        <f t="shared" ref="I19:I26" si="2">IF($I$17="自定义",P19,M19)</f>
        <v>1764.64</v>
      </c>
      <c r="J19" s="1390"/>
      <c r="K19" s="1389">
        <f t="shared" ref="K19:K26" si="3">ROUND(E$28*E19/E$27,2)</f>
        <v>1764.64</v>
      </c>
      <c r="L19" s="1245">
        <f t="shared" ref="L19:L26" si="4">ROUND(IF(COUNTIF(C19,"*住宅*")&gt;0,E$29*E19/E$32,0),2)</f>
        <v>0</v>
      </c>
      <c r="M19" s="1401">
        <f>K19+L19</f>
        <v>1764.64</v>
      </c>
      <c r="N19" s="2259"/>
      <c r="O19" s="2260"/>
      <c r="P19" s="1401">
        <f>N19+O19</f>
        <v>0</v>
      </c>
      <c r="R19" s="1245">
        <f t="shared" ref="R19:S26" si="5">D19+H19</f>
        <v>5822.6100000000006</v>
      </c>
      <c r="S19" s="1246">
        <f t="shared" si="5"/>
        <v>25675.410000000011</v>
      </c>
    </row>
    <row r="20" spans="1:19">
      <c r="A20" s="2261"/>
      <c r="B20" s="50" t="s">
        <v>1964</v>
      </c>
      <c r="C20" s="2945" t="s">
        <v>3201</v>
      </c>
      <c r="D20" s="48">
        <f t="shared" ref="D20:D26" si="6">ROUND($D$3*E20/$E$3,2)</f>
        <v>2846.83</v>
      </c>
      <c r="E20" s="56">
        <f t="shared" si="1"/>
        <v>12553.389999999992</v>
      </c>
      <c r="F20" s="57">
        <f>面积表!H18</f>
        <v>12553.389999999992</v>
      </c>
      <c r="G20" s="58"/>
      <c r="H20" s="723">
        <f t="shared" ref="H20:H26" si="7">ROUND($D$3*I20/$E$3,2)</f>
        <v>210.1</v>
      </c>
      <c r="I20" s="51">
        <f t="shared" si="2"/>
        <v>926.45</v>
      </c>
      <c r="J20" s="1390"/>
      <c r="K20" s="1389">
        <f t="shared" si="3"/>
        <v>926.45</v>
      </c>
      <c r="L20" s="1245">
        <f t="shared" si="4"/>
        <v>0</v>
      </c>
      <c r="M20" s="1401">
        <f t="shared" ref="M20:M26" si="8">K20+L20</f>
        <v>926.45</v>
      </c>
      <c r="N20" s="2259"/>
      <c r="O20" s="2260"/>
      <c r="P20" s="1401">
        <f t="shared" ref="P20:P26" si="9">N20+O20</f>
        <v>0</v>
      </c>
      <c r="R20" s="1245">
        <f t="shared" si="5"/>
        <v>3056.93</v>
      </c>
      <c r="S20" s="1246">
        <f t="shared" si="5"/>
        <v>13479.839999999993</v>
      </c>
    </row>
    <row r="21" spans="1:19">
      <c r="A21" s="2261"/>
      <c r="B21" s="50" t="s">
        <v>1964</v>
      </c>
      <c r="C21" s="2945"/>
      <c r="D21" s="48">
        <f t="shared" si="6"/>
        <v>0</v>
      </c>
      <c r="E21" s="56">
        <f t="shared" si="1"/>
        <v>0</v>
      </c>
      <c r="F21" s="57"/>
      <c r="G21" s="58"/>
      <c r="H21" s="723">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1964</v>
      </c>
      <c r="C22" s="2957"/>
      <c r="D22" s="48">
        <f t="shared" si="6"/>
        <v>0</v>
      </c>
      <c r="E22" s="56">
        <f t="shared" si="1"/>
        <v>0</v>
      </c>
      <c r="F22" s="61"/>
      <c r="G22" s="62"/>
      <c r="H22" s="723">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1964</v>
      </c>
      <c r="C23" s="2957" t="s">
        <v>3074</v>
      </c>
      <c r="D23" s="48">
        <f>ROUND($D$3*E23/$E$3,2)</f>
        <v>654.41999999999996</v>
      </c>
      <c r="E23" s="56">
        <f>SUM(F23:G23)</f>
        <v>2885.74</v>
      </c>
      <c r="F23" s="61">
        <f>'数据-基础表'!M13</f>
        <v>2885.74</v>
      </c>
      <c r="G23" s="62"/>
      <c r="H23" s="723">
        <f>ROUND($D$3*I23/$E$3,2)</f>
        <v>48.3</v>
      </c>
      <c r="I23" s="51">
        <f t="shared" si="2"/>
        <v>212.97</v>
      </c>
      <c r="J23" s="1390"/>
      <c r="K23" s="1389">
        <f t="shared" si="3"/>
        <v>212.97</v>
      </c>
      <c r="L23" s="1245">
        <f t="shared" si="4"/>
        <v>0</v>
      </c>
      <c r="M23" s="1401">
        <f t="shared" si="8"/>
        <v>212.97</v>
      </c>
      <c r="N23" s="2259"/>
      <c r="O23" s="2260"/>
      <c r="P23" s="1401">
        <f t="shared" si="9"/>
        <v>0</v>
      </c>
      <c r="R23" s="1245">
        <f t="shared" si="5"/>
        <v>702.71999999999991</v>
      </c>
      <c r="S23" s="1246">
        <f t="shared" si="5"/>
        <v>3098.7099999999996</v>
      </c>
    </row>
    <row r="24" spans="1:19">
      <c r="A24" s="2261"/>
      <c r="B24" s="50" t="s">
        <v>1964</v>
      </c>
      <c r="C24" s="2957" t="s">
        <v>3075</v>
      </c>
      <c r="D24" s="48">
        <f>ROUND($D$3*E24/$E$3,2)</f>
        <v>1725.71</v>
      </c>
      <c r="E24" s="56">
        <f>SUM(F24:G24)</f>
        <v>7609.71</v>
      </c>
      <c r="F24" s="61"/>
      <c r="G24" s="62">
        <f>'数据-基础表'!O5</f>
        <v>7609.71</v>
      </c>
      <c r="H24" s="723">
        <f>ROUND($D$3*I24/$E$3,2)</f>
        <v>127.36</v>
      </c>
      <c r="I24" s="51">
        <f t="shared" si="2"/>
        <v>561.6</v>
      </c>
      <c r="J24" s="1390"/>
      <c r="K24" s="1389">
        <f t="shared" si="3"/>
        <v>561.6</v>
      </c>
      <c r="L24" s="1245">
        <f t="shared" si="4"/>
        <v>0</v>
      </c>
      <c r="M24" s="1401">
        <f t="shared" si="8"/>
        <v>561.6</v>
      </c>
      <c r="N24" s="2259"/>
      <c r="O24" s="2260"/>
      <c r="P24" s="1401">
        <f t="shared" si="9"/>
        <v>0</v>
      </c>
      <c r="R24" s="1245">
        <f t="shared" si="5"/>
        <v>1853.07</v>
      </c>
      <c r="S24" s="1246">
        <f t="shared" si="5"/>
        <v>8171.31</v>
      </c>
    </row>
    <row r="25" spans="1:19">
      <c r="A25" s="2261"/>
      <c r="B25" s="50" t="s">
        <v>1964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1964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1965</v>
      </c>
      <c r="D27" s="1391">
        <f>SUM(D19:D26)</f>
        <v>10649.39</v>
      </c>
      <c r="E27" s="1392">
        <f>IF(SUM(E19:E26)='数据-基础表'!BA5,SUM(E19:E26),IF(F27="地上面积有误","面积有误","地下面积有误"))</f>
        <v>46959.61</v>
      </c>
      <c r="F27" s="1391">
        <f>IF(SUM(F19:F26)=E8,SUM(F19:F26),"地上面积有误")</f>
        <v>39349.9</v>
      </c>
      <c r="G27" s="1393">
        <f>SUM(G19:G26)</f>
        <v>7609.71</v>
      </c>
      <c r="H27" s="1394">
        <f>SUM(H19:H26)</f>
        <v>785.93999999999994</v>
      </c>
      <c r="I27" s="1395">
        <f>SUM(I19:I26)</f>
        <v>3465.66</v>
      </c>
      <c r="J27" s="1390"/>
      <c r="K27" s="1398">
        <f>SUM(K19:K26)</f>
        <v>3465.66</v>
      </c>
      <c r="L27" s="1399">
        <f>SUM(L19:L26)</f>
        <v>0</v>
      </c>
      <c r="M27" s="1402">
        <f>SUM(M19:M26)</f>
        <v>3465.66</v>
      </c>
      <c r="N27" s="1398">
        <f t="shared" ref="N27:O27" si="10">SUM(N19:N26)</f>
        <v>0</v>
      </c>
      <c r="O27" s="1399">
        <f t="shared" si="10"/>
        <v>0</v>
      </c>
      <c r="P27" s="1400">
        <f>SUM(P19:P26)</f>
        <v>0</v>
      </c>
      <c r="R27" s="1247">
        <f>IF(SUM(R19:R26)=$D$3,SUM(R19:R26),SUM(R19:R26)&amp;"误差"&amp;ROUND(SUM(R19:R26)-$D$3,2))</f>
        <v>11435.33</v>
      </c>
      <c r="S27" s="1245">
        <f>IF(SUM(S19:S26)=$E$3,SUM(S19:S26),SUM(S19:S26)&amp;"误差"&amp;ROUND(SUM(S19:S26)-E3,2))</f>
        <v>50425.27</v>
      </c>
    </row>
    <row r="28" spans="1:19">
      <c r="A28" s="2261"/>
      <c r="B28" s="50" t="s">
        <v>1966</v>
      </c>
      <c r="C28" s="1257" t="s">
        <v>1967</v>
      </c>
      <c r="D28" s="48">
        <f>ROUND($D$3*E28/$E$3,2)</f>
        <v>785.93</v>
      </c>
      <c r="E28" s="56">
        <f>SUM(F28:G28)</f>
        <v>3465.66</v>
      </c>
      <c r="F28" s="64">
        <f>'数据-基础表'!BQ5+'数据-基础表'!BS5</f>
        <v>1295.3900000000001</v>
      </c>
      <c r="G28" s="65">
        <f>'数据-基础表'!BR5+'数据-基础表'!BT5</f>
        <v>2170.27</v>
      </c>
      <c r="H28" s="1390"/>
      <c r="I28" s="1390"/>
      <c r="J28" s="1390"/>
      <c r="K28" s="1390"/>
      <c r="L28" s="1390"/>
      <c r="M28" s="1390"/>
      <c r="N28" s="1390"/>
      <c r="O28" s="1390"/>
      <c r="P28" s="1390"/>
    </row>
    <row r="29" spans="1:19">
      <c r="A29" s="2261"/>
      <c r="B29" s="50" t="s">
        <v>1966</v>
      </c>
      <c r="C29" s="2265" t="s">
        <v>1968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1965</v>
      </c>
      <c r="D30" s="1391">
        <f>SUM(D28:D29)</f>
        <v>785.93</v>
      </c>
      <c r="E30" s="1391">
        <f>SUM(E28:E29)</f>
        <v>3465.66</v>
      </c>
      <c r="F30" s="1391">
        <f>SUM(F28:F29)</f>
        <v>1295.3900000000001</v>
      </c>
      <c r="G30" s="1393">
        <f>SUM(G28:G29)</f>
        <v>2170.27</v>
      </c>
      <c r="H30" s="1390"/>
      <c r="I30" s="1390"/>
      <c r="J30" s="1390"/>
      <c r="K30" s="1390"/>
      <c r="L30" s="1390"/>
      <c r="M30" s="1390"/>
      <c r="N30" s="1390"/>
      <c r="O30" s="1390"/>
      <c r="P30" s="1390"/>
    </row>
    <row r="31" spans="1:19" ht="15.75" thickBot="1">
      <c r="A31" s="2267"/>
      <c r="B31" s="2268"/>
      <c r="C31" s="1005" t="s">
        <v>1969</v>
      </c>
      <c r="D31" s="729">
        <f>D27+D30</f>
        <v>11435.32</v>
      </c>
      <c r="E31" s="729">
        <f>E27+E30</f>
        <v>50425.270000000004</v>
      </c>
      <c r="F31" s="730">
        <f>F27+F30</f>
        <v>40645.29</v>
      </c>
      <c r="G31" s="731">
        <f>G27+G30</f>
        <v>9779.98</v>
      </c>
      <c r="H31" s="1390"/>
      <c r="I31" s="1390"/>
      <c r="J31" s="1390"/>
      <c r="K31" s="1390"/>
      <c r="L31" s="1390"/>
      <c r="M31" s="1390"/>
      <c r="N31" s="1390"/>
      <c r="O31" s="1390"/>
      <c r="P31" s="1390"/>
    </row>
    <row r="32" spans="1:19">
      <c r="A32" s="2232"/>
      <c r="B32" s="2232" t="s">
        <v>1970</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1971</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1972</v>
      </c>
      <c r="B2" s="1264">
        <f>项目基本情况!D3</f>
        <v>43444</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1973</v>
      </c>
      <c r="B4" s="2279"/>
      <c r="C4" s="2280"/>
      <c r="D4" s="2281"/>
      <c r="E4" s="2280" t="s">
        <v>1974</v>
      </c>
      <c r="F4" s="2280"/>
      <c r="G4" s="2280"/>
      <c r="H4" s="2280"/>
      <c r="I4" s="2280"/>
      <c r="J4" s="2282"/>
      <c r="K4" s="2283"/>
      <c r="L4" s="2284"/>
      <c r="M4" s="2280"/>
      <c r="N4" s="2280" t="s">
        <v>1975</v>
      </c>
      <c r="O4" s="2280"/>
      <c r="P4" s="2280"/>
      <c r="Q4" s="2280"/>
      <c r="R4" s="2280"/>
      <c r="S4" s="2282"/>
      <c r="T4" s="2285" t="str">
        <f>'数据-汇总表'!I17</f>
        <v>按面积比例</v>
      </c>
      <c r="U4" s="2279" t="s">
        <v>1976</v>
      </c>
      <c r="V4" s="2280"/>
      <c r="W4" s="2280"/>
      <c r="X4" s="2280"/>
      <c r="Y4" s="2282"/>
      <c r="Z4" s="2243" t="s">
        <v>1977</v>
      </c>
      <c r="AA4" s="2243"/>
      <c r="AB4" s="2243"/>
      <c r="AC4" s="2243"/>
      <c r="AD4" s="2243"/>
      <c r="AE4" s="2241" t="s">
        <v>1978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1979</v>
      </c>
      <c r="B5" s="2288" t="s">
        <v>1980</v>
      </c>
      <c r="C5" s="2289" t="s">
        <v>1981</v>
      </c>
      <c r="D5" s="2290" t="s">
        <v>1982</v>
      </c>
      <c r="E5" s="1266" t="s">
        <v>1983</v>
      </c>
      <c r="F5" s="2291" t="s">
        <v>1984</v>
      </c>
      <c r="G5" s="1266" t="s">
        <v>1985</v>
      </c>
      <c r="H5" s="1266" t="s">
        <v>1986</v>
      </c>
      <c r="I5" s="1266" t="s">
        <v>1987</v>
      </c>
      <c r="J5" s="2292" t="s">
        <v>1988</v>
      </c>
      <c r="K5" s="2293" t="s">
        <v>1989</v>
      </c>
      <c r="L5" s="2294" t="s">
        <v>1990</v>
      </c>
      <c r="M5" s="2295" t="s">
        <v>1991</v>
      </c>
      <c r="N5" s="2296" t="s">
        <v>3050</v>
      </c>
      <c r="O5" s="2294" t="s">
        <v>1992</v>
      </c>
      <c r="P5" s="2297" t="s">
        <v>1993</v>
      </c>
      <c r="Q5" s="69" t="s">
        <v>1994</v>
      </c>
      <c r="R5" s="2298" t="s">
        <v>1995</v>
      </c>
      <c r="S5" s="2299" t="s">
        <v>1996</v>
      </c>
      <c r="T5" s="2300" t="s">
        <v>1997</v>
      </c>
      <c r="U5" s="1265" t="s">
        <v>1998</v>
      </c>
      <c r="V5" s="1266" t="s">
        <v>1999</v>
      </c>
      <c r="W5" s="1266" t="s">
        <v>2000</v>
      </c>
      <c r="X5" s="71"/>
      <c r="Y5" s="70" t="s">
        <v>2001</v>
      </c>
      <c r="Z5" s="2301" t="s">
        <v>1998</v>
      </c>
      <c r="AA5" s="1266" t="s">
        <v>1999</v>
      </c>
      <c r="AB5" s="1266" t="s">
        <v>2000</v>
      </c>
      <c r="AC5" s="71"/>
      <c r="AD5" s="71" t="s">
        <v>2001</v>
      </c>
      <c r="AE5" s="1265" t="s">
        <v>2002</v>
      </c>
      <c r="AF5" s="1266" t="s">
        <v>2003</v>
      </c>
      <c r="AG5" s="70" t="s">
        <v>2004</v>
      </c>
      <c r="AH5" s="1265" t="s">
        <v>2005</v>
      </c>
      <c r="AI5" s="2301" t="s">
        <v>2006</v>
      </c>
      <c r="AJ5" s="2301" t="s">
        <v>2007</v>
      </c>
      <c r="AK5" s="1266" t="s">
        <v>2008</v>
      </c>
      <c r="AL5" s="1266" t="s">
        <v>2009</v>
      </c>
      <c r="AM5" s="70" t="s">
        <v>2010</v>
      </c>
      <c r="AN5" s="2302" t="s">
        <v>2011</v>
      </c>
      <c r="AO5" s="2074" t="s">
        <v>2012</v>
      </c>
      <c r="AP5" s="1247" t="s">
        <v>2013</v>
      </c>
      <c r="AQ5" s="2303" t="s">
        <v>2014</v>
      </c>
      <c r="AR5" s="2303"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4" t="str">
        <f>'数据-汇总表'!C19</f>
        <v>商业及办公出租</v>
      </c>
      <c r="B6" s="2305" t="str">
        <f>IF(A6=0,"","经营性")</f>
        <v>经营性</v>
      </c>
      <c r="C6" s="2306" t="s">
        <v>1378</v>
      </c>
      <c r="D6" s="1049">
        <f>SUMIF(项目基本情况!D$12:I$12,C6,项目基本情况!D$14:I$14)</f>
        <v>0</v>
      </c>
      <c r="E6" s="1046">
        <f>IF(B6="","",SUMIF(项目基本情况!D$12:I$12,C6,项目基本情况!D$13:I$13))</f>
        <v>48556</v>
      </c>
      <c r="F6" s="72">
        <f>SUMIF(项目基本情况!D$12:I$12,C6,项目基本情况!D$15:I$15)</f>
        <v>14</v>
      </c>
      <c r="G6" s="73">
        <f>IF(ISERROR(ROUND(POWER(1+H6,D6-F6)*(POWER(1+H6,F6)-1)/(POWER(1+H6,D6)-1),3)),0,ROUND(POWER(1+H6,D6-F6)*(POWER(1+H6,F6)-1)/(POWER(1+H6,D6)-1),3))</f>
        <v>0</v>
      </c>
      <c r="H6" s="802"/>
      <c r="I6" s="802">
        <v>0.06</v>
      </c>
      <c r="J6" s="74"/>
      <c r="K6" s="1249">
        <f>SUMIF('数据-汇总表'!C$19:C$33,A6,'数据-汇总表'!E$19:E$33)</f>
        <v>23910.770000000011</v>
      </c>
      <c r="L6" s="803">
        <v>3500</v>
      </c>
      <c r="M6" s="75">
        <f t="shared" ref="M6:M14" si="0">ROUND(K6*L6/10000,0)</f>
        <v>8369</v>
      </c>
      <c r="N6" s="801">
        <v>1</v>
      </c>
      <c r="O6" s="75" t="str">
        <f>IF($N$5="成新度","——",ROUND(M6*N6,0))</f>
        <v>——</v>
      </c>
      <c r="P6" s="76" t="str">
        <f>IF($N$5="成新度","——",M6-O6)</f>
        <v>——</v>
      </c>
      <c r="Q6" s="804">
        <v>0.2</v>
      </c>
      <c r="R6" s="77">
        <f ca="1">SUMIF('数据-汇总表'!C$19:C$33,A6,'数据-汇总表'!R$19:R$27)</f>
        <v>5822.6100000000006</v>
      </c>
      <c r="S6" s="54">
        <f>IF('数据-汇总表'!$I$17="按面积比例",SUMIF('数据-汇总表'!C$19:C$33,A6,'数据-汇总表'!K$19:K$33),SUMIF('数据-汇总表'!C$19:C$33,A6,'数据-汇总表'!N$19:N$33))</f>
        <v>1764.64</v>
      </c>
      <c r="T6" s="1441">
        <f>ROUND($L$14*S6/10000,0)</f>
        <v>618</v>
      </c>
      <c r="U6" s="83">
        <f>面积表!O4</f>
        <v>3.98</v>
      </c>
      <c r="V6" s="79">
        <v>0</v>
      </c>
      <c r="W6" s="79">
        <v>0</v>
      </c>
      <c r="X6" s="1259"/>
      <c r="Y6" s="80">
        <v>1</v>
      </c>
      <c r="Z6" s="2963">
        <f>ROUND(U6*(1+AA6)^AF6,1)</f>
        <v>5.2</v>
      </c>
      <c r="AA6" s="74">
        <v>0.03</v>
      </c>
      <c r="AB6" s="74">
        <v>0.15</v>
      </c>
      <c r="AC6" s="1259"/>
      <c r="AD6" s="2964">
        <f>ROUND(1-5/60,2)</f>
        <v>0.92</v>
      </c>
      <c r="AE6" s="1260">
        <f ca="1">IF(AN6="",0,SUMIF(INDIRECT("'"&amp;AN6&amp;"'"&amp;"!E:E"),$AE$5,INDIRECT("'"&amp;AN6&amp;"'"&amp;"!F:F")))</f>
        <v>14</v>
      </c>
      <c r="AF6" s="2969">
        <v>9.33</v>
      </c>
      <c r="AG6" s="147">
        <f ca="1">IF(AF6="",0,AE6-AF6)</f>
        <v>4.67</v>
      </c>
      <c r="AH6" s="83"/>
      <c r="AI6" s="85">
        <v>365</v>
      </c>
      <c r="AJ6" s="86"/>
      <c r="AK6" s="87">
        <v>1.4999999999999999E-2</v>
      </c>
      <c r="AL6" s="88">
        <v>1.5E-3</v>
      </c>
      <c r="AM6" s="89">
        <v>0.01</v>
      </c>
      <c r="AN6" s="2307" t="s">
        <v>3083</v>
      </c>
      <c r="AO6" s="55">
        <f ca="1">SUMIF(INDIRECT("'"&amp;AN6&amp;"'"&amp;"!A:A"),"总价",INDIRECT("'"&amp;AN6&amp;"'"&amp;"!B:B"))</f>
        <v>25361</v>
      </c>
      <c r="AP6" s="2308">
        <f>IF(C6="住宅",K6*L6,0)</f>
        <v>0</v>
      </c>
      <c r="AQ6" s="55">
        <f>ROUND($L$14*$N$14*S6/10000,0)</f>
        <v>618</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商业及办公自用</v>
      </c>
      <c r="B7" s="2305" t="str">
        <f t="shared" ref="B7:B13" si="1">IF(A7=0,"","经营性")</f>
        <v>经营性</v>
      </c>
      <c r="C7" s="2306" t="s">
        <v>1378</v>
      </c>
      <c r="D7" s="1049">
        <f>SUMIF(项目基本情况!D$12:I$12,C7,项目基本情况!D$14:I$14)</f>
        <v>0</v>
      </c>
      <c r="E7" s="1046">
        <f>IF(B7="","",SUMIF(项目基本情况!D$12:I$12,C7,项目基本情况!D$13:I$13))</f>
        <v>48556</v>
      </c>
      <c r="F7" s="72">
        <f>SUMIF(项目基本情况!D$12:I$12,C7,项目基本情况!D$15:I$15)</f>
        <v>14</v>
      </c>
      <c r="G7" s="73">
        <f t="shared" ref="G7:G11" si="2">IF(ISERROR(ROUND(POWER(1+H7,D7-F7)*(POWER(1+H7,F7)-1)/(POWER(1+H7,D7)-1),3)),0,ROUND(POWER(1+H7,D7-F7)*(POWER(1+H7,F7)-1)/(POWER(1+H7,D7)-1),3))</f>
        <v>0</v>
      </c>
      <c r="H7" s="802"/>
      <c r="I7" s="802">
        <v>0.06</v>
      </c>
      <c r="J7" s="74"/>
      <c r="K7" s="1249">
        <f>SUMIF('数据-汇总表'!C$19:C$33,A7,'数据-汇总表'!E$19:E$33)</f>
        <v>12553.389999999992</v>
      </c>
      <c r="L7" s="803">
        <v>3500</v>
      </c>
      <c r="M7" s="75">
        <f t="shared" si="0"/>
        <v>4394</v>
      </c>
      <c r="N7" s="801">
        <v>1</v>
      </c>
      <c r="O7" s="75" t="str">
        <f t="shared" ref="O7:O14" si="3">IF($N$5="成新度","——",ROUND(M7*N7,0))</f>
        <v>——</v>
      </c>
      <c r="P7" s="76" t="str">
        <f t="shared" ref="P7:P14" si="4">IF($N$5="成新度","——",M7-O7)</f>
        <v>——</v>
      </c>
      <c r="Q7" s="804">
        <v>0.2</v>
      </c>
      <c r="R7" s="77">
        <f ca="1">SUMIF('数据-汇总表'!C$19:C$33,A7,'数据-汇总表'!R$19:R$27)</f>
        <v>3056.93</v>
      </c>
      <c r="S7" s="54">
        <f>IF('数据-汇总表'!$I$17="按面积比例",SUMIF('数据-汇总表'!C$19:C$33,A7,'数据-汇总表'!K$19:K$33),SUMIF('数据-汇总表'!C$19:C$33,A7,'数据-汇总表'!N$19:N$33))</f>
        <v>926.45</v>
      </c>
      <c r="T7" s="1441">
        <f t="shared" ref="T7:T13" si="5">ROUND($L$14*S7/10000,0)</f>
        <v>324</v>
      </c>
      <c r="U7" s="2971">
        <v>4.5</v>
      </c>
      <c r="V7" s="79">
        <v>0.03</v>
      </c>
      <c r="W7" s="2962">
        <v>0.15</v>
      </c>
      <c r="X7" s="1259"/>
      <c r="Y7" s="80">
        <v>1</v>
      </c>
      <c r="Z7" s="2963"/>
      <c r="AA7" s="74"/>
      <c r="AB7" s="74"/>
      <c r="AC7" s="1259"/>
      <c r="AD7" s="2964"/>
      <c r="AE7" s="1260">
        <f t="shared" ref="AE7:AE13" ca="1" si="6">IF(AN7="",0,SUMIF(INDIRECT("'"&amp;AN7&amp;"'"&amp;"!E:E"),$AE$5,INDIRECT("'"&amp;AN7&amp;"'"&amp;"!F:F")))</f>
        <v>14</v>
      </c>
      <c r="AF7" s="2969"/>
      <c r="AG7" s="147">
        <f t="shared" ref="AG7:AG13" si="7">IF(AF7="",0,AE7-AF7)</f>
        <v>0</v>
      </c>
      <c r="AH7" s="83"/>
      <c r="AI7" s="85">
        <v>365</v>
      </c>
      <c r="AJ7" s="86"/>
      <c r="AK7" s="87">
        <v>1.4999999999999999E-2</v>
      </c>
      <c r="AL7" s="88">
        <v>1.5E-3</v>
      </c>
      <c r="AM7" s="89">
        <v>0.01</v>
      </c>
      <c r="AN7" s="2307" t="s">
        <v>3085</v>
      </c>
      <c r="AO7" s="55">
        <f t="shared" ref="AO7:AO13" ca="1" si="8">SUMIF(INDIRECT("'"&amp;AN7&amp;"'"&amp;"!A:A"),"总价",INDIRECT("'"&amp;AN7&amp;"'"&amp;"!B:B"))</f>
        <v>14486</v>
      </c>
      <c r="AP7" s="2308">
        <f t="shared" ref="AP7:AP13" si="9">IF(C7="住宅",K7*L7,0)</f>
        <v>0</v>
      </c>
      <c r="AQ7" s="55">
        <f t="shared" ref="AQ7:AQ13" si="10">ROUND($L$14*$N$14*S7/10000,0)</f>
        <v>324</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2"/>
      <c r="I8" s="802"/>
      <c r="J8" s="74"/>
      <c r="K8" s="1249">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1">
        <f t="shared" si="5"/>
        <v>0</v>
      </c>
      <c r="U8" s="2995"/>
      <c r="V8" s="79"/>
      <c r="W8" s="805"/>
      <c r="X8" s="1259"/>
      <c r="Y8" s="80"/>
      <c r="Z8" s="2963"/>
      <c r="AA8" s="74"/>
      <c r="AB8" s="74"/>
      <c r="AC8" s="1259"/>
      <c r="AD8" s="2964"/>
      <c r="AE8" s="1260">
        <f t="shared" ca="1" si="6"/>
        <v>0</v>
      </c>
      <c r="AF8" s="2969"/>
      <c r="AG8" s="147">
        <f t="shared" si="7"/>
        <v>0</v>
      </c>
      <c r="AH8" s="806"/>
      <c r="AI8" s="85"/>
      <c r="AJ8" s="86"/>
      <c r="AK8" s="87"/>
      <c r="AL8" s="88"/>
      <c r="AM8" s="8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2971"/>
      <c r="V9" s="79"/>
      <c r="W9" s="79"/>
      <c r="X9" s="1259"/>
      <c r="Y9" s="80"/>
      <c r="Z9" s="2961"/>
      <c r="AA9" s="74"/>
      <c r="AB9" s="74"/>
      <c r="AC9" s="1259"/>
      <c r="AD9" s="82"/>
      <c r="AE9" s="1260">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t="str">
        <f>'数据-汇总表'!C23</f>
        <v>众创空间</v>
      </c>
      <c r="B10" s="2305" t="str">
        <f t="shared" si="1"/>
        <v>经营性</v>
      </c>
      <c r="C10" s="2306" t="s">
        <v>1378</v>
      </c>
      <c r="D10" s="1049">
        <f>SUMIF(项目基本情况!D$12:I$12,C10,项目基本情况!D$14:I$14)</f>
        <v>0</v>
      </c>
      <c r="E10" s="1046">
        <f>IF(B10="","",SUMIF(项目基本情况!D$12:I$12,C10,项目基本情况!D$13:I$13))</f>
        <v>48556</v>
      </c>
      <c r="F10" s="72">
        <f>SUMIF(项目基本情况!D$12:I$12,C10,项目基本情况!D$15:I$15)</f>
        <v>14</v>
      </c>
      <c r="G10" s="73">
        <f t="shared" si="2"/>
        <v>0</v>
      </c>
      <c r="H10" s="74"/>
      <c r="I10" s="74">
        <v>5.5E-2</v>
      </c>
      <c r="J10" s="74"/>
      <c r="K10" s="1249">
        <f>SUMIF('数据-汇总表'!C$19:C$33,A10,'数据-汇总表'!E$19:E$33)</f>
        <v>2885.74</v>
      </c>
      <c r="L10" s="803">
        <v>3500</v>
      </c>
      <c r="M10" s="75">
        <f t="shared" si="0"/>
        <v>1010</v>
      </c>
      <c r="N10" s="801">
        <v>1</v>
      </c>
      <c r="O10" s="75" t="str">
        <f t="shared" si="3"/>
        <v>——</v>
      </c>
      <c r="P10" s="76" t="str">
        <f t="shared" si="4"/>
        <v>——</v>
      </c>
      <c r="Q10" s="90">
        <v>0.15</v>
      </c>
      <c r="R10" s="77">
        <f ca="1">SUMIF('数据-汇总表'!C$19:C$33,A10,'数据-汇总表'!R$19:R$27)</f>
        <v>702.71999999999991</v>
      </c>
      <c r="S10" s="54">
        <f>IF('数据-汇总表'!$I$17="按面积比例",SUMIF('数据-汇总表'!C$19:C$33,A10,'数据-汇总表'!K$19:K$33),SUMIF('数据-汇总表'!C$19:C$33,A10,'数据-汇总表'!N$19:N$33))</f>
        <v>212.97</v>
      </c>
      <c r="T10" s="1441">
        <f t="shared" si="5"/>
        <v>75</v>
      </c>
      <c r="U10" s="2971">
        <v>1500</v>
      </c>
      <c r="V10" s="79">
        <v>2.5000000000000001E-2</v>
      </c>
      <c r="W10" s="79">
        <v>0.2</v>
      </c>
      <c r="X10" s="1259"/>
      <c r="Y10" s="80">
        <v>1</v>
      </c>
      <c r="Z10" s="81"/>
      <c r="AA10" s="74"/>
      <c r="AB10" s="74"/>
      <c r="AC10" s="1259"/>
      <c r="AD10" s="82"/>
      <c r="AE10" s="1260">
        <f t="shared" ca="1" si="6"/>
        <v>14</v>
      </c>
      <c r="AF10" s="1803"/>
      <c r="AG10" s="147">
        <f t="shared" si="7"/>
        <v>0</v>
      </c>
      <c r="AH10" s="83">
        <v>220</v>
      </c>
      <c r="AI10" s="85">
        <v>12</v>
      </c>
      <c r="AJ10" s="86"/>
      <c r="AK10" s="87">
        <v>1.4999999999999999E-2</v>
      </c>
      <c r="AL10" s="88">
        <v>1.5E-3</v>
      </c>
      <c r="AM10" s="89">
        <v>0.01</v>
      </c>
      <c r="AN10" s="2307" t="s">
        <v>3089</v>
      </c>
      <c r="AO10" s="55">
        <f t="shared" ca="1" si="8"/>
        <v>2485</v>
      </c>
      <c r="AP10" s="2308">
        <f t="shared" si="9"/>
        <v>0</v>
      </c>
      <c r="AQ10" s="55">
        <f t="shared" si="10"/>
        <v>75</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t="str">
        <f>'数据-汇总表'!C24</f>
        <v>地下车库</v>
      </c>
      <c r="B11" s="2305" t="str">
        <f t="shared" si="1"/>
        <v>经营性</v>
      </c>
      <c r="C11" s="2306" t="s">
        <v>3073</v>
      </c>
      <c r="D11" s="1049">
        <f>SUMIF(项目基本情况!D$12:I$12,C11,项目基本情况!D$14:I$14)</f>
        <v>0</v>
      </c>
      <c r="E11" s="1046">
        <f>IF(B11="","",SUMIF(项目基本情况!D$12:I$12,C11,项目基本情况!D$13:I$13))</f>
        <v>48556</v>
      </c>
      <c r="F11" s="72">
        <f>SUMIF(项目基本情况!D$12:I$12,C11,项目基本情况!D$15:I$15)</f>
        <v>14</v>
      </c>
      <c r="G11" s="73">
        <f t="shared" si="2"/>
        <v>0</v>
      </c>
      <c r="H11" s="74"/>
      <c r="I11" s="74">
        <v>0.05</v>
      </c>
      <c r="J11" s="74"/>
      <c r="K11" s="1249">
        <f>SUMIF('数据-汇总表'!C$19:C$33,A11,'数据-汇总表'!E$19:E$33)</f>
        <v>7609.71</v>
      </c>
      <c r="L11" s="91">
        <v>3500</v>
      </c>
      <c r="M11" s="75">
        <f t="shared" si="0"/>
        <v>2663</v>
      </c>
      <c r="N11" s="92">
        <v>1</v>
      </c>
      <c r="O11" s="75" t="str">
        <f t="shared" si="3"/>
        <v>——</v>
      </c>
      <c r="P11" s="76" t="str">
        <f t="shared" si="4"/>
        <v>——</v>
      </c>
      <c r="Q11" s="90">
        <v>0.1</v>
      </c>
      <c r="R11" s="77">
        <f ca="1">SUMIF('数据-汇总表'!C$19:C$33,A11,'数据-汇总表'!R$19:R$27)</f>
        <v>1853.07</v>
      </c>
      <c r="S11" s="54">
        <f>IF('数据-汇总表'!$I$17="按面积比例",SUMIF('数据-汇总表'!C$19:C$33,A11,'数据-汇总表'!K$19:K$33),SUMIF('数据-汇总表'!C$19:C$33,A11,'数据-汇总表'!N$19:N$33))</f>
        <v>561.6</v>
      </c>
      <c r="T11" s="1441">
        <f t="shared" si="5"/>
        <v>197</v>
      </c>
      <c r="U11" s="2971">
        <v>500</v>
      </c>
      <c r="V11" s="74">
        <v>0.02</v>
      </c>
      <c r="W11" s="74">
        <v>0.2</v>
      </c>
      <c r="X11" s="1259"/>
      <c r="Y11" s="80">
        <v>1</v>
      </c>
      <c r="Z11" s="93"/>
      <c r="AA11" s="74"/>
      <c r="AB11" s="74"/>
      <c r="AC11" s="1259"/>
      <c r="AD11" s="82"/>
      <c r="AE11" s="1260">
        <f t="shared" ca="1" si="6"/>
        <v>14</v>
      </c>
      <c r="AF11" s="1803"/>
      <c r="AG11" s="147">
        <f t="shared" si="7"/>
        <v>0</v>
      </c>
      <c r="AH11" s="83">
        <v>251</v>
      </c>
      <c r="AI11" s="85">
        <v>12</v>
      </c>
      <c r="AJ11" s="86"/>
      <c r="AK11" s="87">
        <v>1.4999999999999999E-2</v>
      </c>
      <c r="AL11" s="88">
        <v>1.5E-3</v>
      </c>
      <c r="AM11" s="89">
        <v>0.01</v>
      </c>
      <c r="AN11" s="2307" t="s">
        <v>3091</v>
      </c>
      <c r="AO11" s="55">
        <f t="shared" ca="1" si="8"/>
        <v>345</v>
      </c>
      <c r="AP11" s="2308">
        <f t="shared" si="9"/>
        <v>0</v>
      </c>
      <c r="AQ11" s="55">
        <f t="shared" si="10"/>
        <v>197</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2016</v>
      </c>
      <c r="B14" s="2305" t="s">
        <v>2017</v>
      </c>
      <c r="C14" s="2310" t="s">
        <v>2016</v>
      </c>
      <c r="D14" s="1049"/>
      <c r="E14" s="1046"/>
      <c r="F14" s="72"/>
      <c r="G14" s="73"/>
      <c r="H14" s="1248"/>
      <c r="I14" s="1248"/>
      <c r="J14" s="1248"/>
      <c r="K14" s="1249">
        <f>SUMIF('数据-汇总表'!C$19:C$33,A14,'数据-汇总表'!E$19:E$33)</f>
        <v>3465.66</v>
      </c>
      <c r="L14" s="3326">
        <v>3500</v>
      </c>
      <c r="M14" s="75">
        <f t="shared" si="0"/>
        <v>1213</v>
      </c>
      <c r="N14" s="3327">
        <v>1</v>
      </c>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4"/>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2018</v>
      </c>
      <c r="B15" s="2305" t="s">
        <v>2017</v>
      </c>
      <c r="C15" s="2310" t="s">
        <v>2019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4"/>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2020</v>
      </c>
      <c r="B16" s="97"/>
      <c r="C16" s="1003"/>
      <c r="D16" s="2312"/>
      <c r="E16" s="97"/>
      <c r="F16" s="97"/>
      <c r="G16" s="98" t="e">
        <f>ROUND(SUMPRODUCT(G6:G13,K6:K13)/SUMPRODUCT((G6:G13&gt;0)*(K6:K13)),3)</f>
        <v>#DIV/0!</v>
      </c>
      <c r="H16" s="99" t="e">
        <f>ROUND(SUMPRODUCT(H6:H13,K6:K13)/SUMPRODUCT((H6:H13&gt;0)*(K6:K13)),3)</f>
        <v>#DIV/0!</v>
      </c>
      <c r="I16" s="100"/>
      <c r="J16" s="100"/>
      <c r="K16" s="101">
        <f>SUM(K6:K15)</f>
        <v>50425.270000000004</v>
      </c>
      <c r="L16" s="102">
        <f>ROUND(M16*10000/SUM(K6:K14),0)</f>
        <v>3500</v>
      </c>
      <c r="M16" s="102">
        <f>SUM(M6:M14)</f>
        <v>17649</v>
      </c>
      <c r="N16" s="103">
        <f>ROUND(SUMPRODUCT(M6:M14,N6:N14)/M16,3)</f>
        <v>1</v>
      </c>
      <c r="O16" s="102">
        <f>SUM(O6:O14)</f>
        <v>0</v>
      </c>
      <c r="P16" s="102">
        <f>SUM(P6:P14)</f>
        <v>0</v>
      </c>
      <c r="Q16" s="104">
        <f>ROUND(SUMPRODUCT(Q6:Q13,K6:K13)/SUMPRODUCT((Q6:Q13&gt;0)*(K6:K13)),2)</f>
        <v>0.18</v>
      </c>
      <c r="R16" s="1253">
        <f ca="1">SUM(R6:R13)</f>
        <v>11435.33</v>
      </c>
      <c r="S16" s="105">
        <f>SUM(S6:S13)</f>
        <v>3465.66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2021</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2022</v>
      </c>
      <c r="B19" s="112">
        <v>0</v>
      </c>
      <c r="C19" s="2275" t="s">
        <v>2023</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2024</v>
      </c>
      <c r="B20" s="113">
        <v>2</v>
      </c>
      <c r="C20" s="2275" t="s">
        <v>2025</v>
      </c>
      <c r="D20" s="2276"/>
      <c r="E20" s="2275"/>
      <c r="F20" s="2275"/>
      <c r="G20" s="2275"/>
      <c r="H20" s="2275"/>
      <c r="I20" s="2275"/>
      <c r="J20" s="2275"/>
      <c r="K20" s="168"/>
      <c r="L20" s="168"/>
      <c r="M20" s="1580"/>
      <c r="N20" s="1580"/>
      <c r="O20" s="1580"/>
      <c r="P20" s="1580"/>
      <c r="Q20" s="1580"/>
      <c r="R20" s="1580"/>
      <c r="S20" s="1580"/>
      <c r="T20" s="1580"/>
      <c r="U20" s="1580">
        <f>U6</f>
        <v>3.98</v>
      </c>
      <c r="V20" s="2986">
        <v>0.05</v>
      </c>
      <c r="W20" s="1580">
        <v>10</v>
      </c>
      <c r="X20" s="1580"/>
      <c r="Y20" s="1580"/>
      <c r="Z20" s="1580"/>
      <c r="AA20" s="1580"/>
      <c r="AB20" s="1580"/>
      <c r="AC20" s="1580"/>
      <c r="AD20" s="1580"/>
      <c r="AE20" s="1580"/>
      <c r="AF20" s="1580"/>
      <c r="AG20" s="1580"/>
      <c r="AH20" s="1580"/>
      <c r="AI20" s="1580"/>
      <c r="AJ20" s="1580"/>
      <c r="AK20" s="1580"/>
      <c r="AL20" s="1580"/>
      <c r="AM20" s="1580"/>
    </row>
    <row r="21" spans="1:67" ht="14.25">
      <c r="A21" s="2316" t="s">
        <v>2026</v>
      </c>
      <c r="B21" s="113">
        <v>2</v>
      </c>
      <c r="C21" s="2275"/>
      <c r="D21" s="2276"/>
      <c r="E21" s="2275"/>
      <c r="F21" s="2275"/>
      <c r="G21" s="2275"/>
      <c r="H21" s="2275"/>
      <c r="I21" s="2275"/>
      <c r="J21" s="2275"/>
      <c r="K21" s="168"/>
      <c r="L21" s="168"/>
      <c r="M21" s="1580"/>
      <c r="N21" s="1580"/>
      <c r="O21" s="1580"/>
      <c r="P21" s="1580"/>
      <c r="Q21" s="1580"/>
      <c r="R21" s="1580"/>
      <c r="S21" s="1580"/>
      <c r="T21" s="1580"/>
      <c r="U21" s="1580">
        <f>U20*(1+V20)^W20</f>
        <v>6.4830006145742178</v>
      </c>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2027</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2028</v>
      </c>
      <c r="B23" s="114">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2029</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t="e">
        <f ca="1">'收益法-地下车库'!C6+'收益法-众创空间'!C6+'收益法-办公自用'!C6+'收益法-办公出租'!C6+'收益法-商业自用'!C6+'收益法-商业出租'!C6</f>
        <v>#N/A</v>
      </c>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2030</v>
      </c>
      <c r="B26" s="2318" t="s">
        <v>2031</v>
      </c>
      <c r="C26" s="2319" t="s">
        <v>2032</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2033</v>
      </c>
      <c r="B27" s="116"/>
      <c r="C27" s="1763" t="s">
        <v>2034</v>
      </c>
      <c r="D27" s="2321"/>
      <c r="E27" s="1425"/>
      <c r="F27" s="1425"/>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2035</v>
      </c>
      <c r="B28" s="119"/>
      <c r="C28" s="2324"/>
      <c r="D28" s="2321"/>
      <c r="E28" s="1425"/>
      <c r="F28" s="1425"/>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2036</v>
      </c>
      <c r="B29" s="121"/>
      <c r="C29" s="1763" t="s">
        <v>2037</v>
      </c>
      <c r="D29" s="2321"/>
      <c r="E29" s="1425"/>
      <c r="F29" s="1425"/>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2038</v>
      </c>
      <c r="B30" s="724">
        <v>200</v>
      </c>
      <c r="C30" s="2324"/>
      <c r="D30" s="2321"/>
      <c r="E30" s="1425"/>
      <c r="F30" s="1425"/>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2039</v>
      </c>
      <c r="B31" s="120">
        <f>B30-B32</f>
        <v>200</v>
      </c>
      <c r="C31" s="1763"/>
      <c r="D31" s="2321"/>
      <c r="E31" s="1425"/>
      <c r="F31" s="1425"/>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2040</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2041</v>
      </c>
      <c r="B33" s="726">
        <v>0.05</v>
      </c>
      <c r="C33" s="1762" t="s">
        <v>2042</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2043</v>
      </c>
      <c r="B34" s="122">
        <v>0</v>
      </c>
      <c r="C34" s="1762" t="s">
        <v>2044</v>
      </c>
      <c r="D34" s="2276" t="s">
        <v>2045</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2046</v>
      </c>
      <c r="B35" s="119">
        <v>200</v>
      </c>
      <c r="C35" s="1762" t="s">
        <v>2047</v>
      </c>
      <c r="D35" s="2321"/>
      <c r="E35" s="1425"/>
      <c r="F35" s="1425"/>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2048</v>
      </c>
      <c r="B36" s="123">
        <v>1.4999999999999999E-2</v>
      </c>
      <c r="C36" s="1762" t="s">
        <v>2049</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2050</v>
      </c>
      <c r="B37" s="124">
        <v>0.02</v>
      </c>
      <c r="C37" s="1762" t="s">
        <v>2051</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2052</v>
      </c>
      <c r="B38" s="122">
        <v>0.02</v>
      </c>
      <c r="C38" s="1762" t="s">
        <v>2051</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2053</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2054</v>
      </c>
      <c r="B40" s="1298">
        <f ca="1">存贷款利率!G1</f>
        <v>4.7500000000000001E-2</v>
      </c>
      <c r="C40" s="1762" t="s">
        <v>2055</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2056</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2057</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2058</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2059</v>
      </c>
      <c r="B44" s="128">
        <v>7.0000000000000007E-2</v>
      </c>
      <c r="C44" s="1762" t="s">
        <v>2060</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2061</v>
      </c>
      <c r="B45" s="126">
        <v>0.03</v>
      </c>
      <c r="C45" s="1763" t="s">
        <v>2062</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2063</v>
      </c>
      <c r="B46" s="126">
        <v>0.02</v>
      </c>
      <c r="C46" s="1763" t="s">
        <v>2064</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2065</v>
      </c>
      <c r="B47" s="129">
        <v>0</v>
      </c>
      <c r="C47" s="1763" t="s">
        <v>2066</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2067</v>
      </c>
      <c r="B48" s="130">
        <v>0.03</v>
      </c>
      <c r="C48" s="1770" t="s">
        <v>2068</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2069</v>
      </c>
      <c r="B49" s="126">
        <v>5.0000000000000001E-4</v>
      </c>
      <c r="C49" s="1770" t="s">
        <v>2070</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2071</v>
      </c>
      <c r="B50" s="131">
        <v>1.2E-2</v>
      </c>
      <c r="C50" s="1425"/>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2072</v>
      </c>
      <c r="B51" s="132">
        <v>0.12</v>
      </c>
      <c r="C51" s="1425"/>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2073</v>
      </c>
      <c r="B52" s="133">
        <f>SUMIF(A54:A63,B53,B54:B63)</f>
        <v>0</v>
      </c>
      <c r="C52" s="1425"/>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2074</v>
      </c>
      <c r="B53" s="2334"/>
      <c r="C53" s="1425" t="s">
        <v>2075</v>
      </c>
      <c r="D53" s="2335" t="s">
        <v>2076</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2077</v>
      </c>
      <c r="B54" s="84"/>
      <c r="C54" s="1425">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2078</v>
      </c>
      <c r="B55" s="84"/>
      <c r="C55" s="1425">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2079</v>
      </c>
      <c r="B56" s="84"/>
      <c r="C56" s="1425">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2080</v>
      </c>
      <c r="B57" s="84"/>
      <c r="C57" s="1425">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2081</v>
      </c>
      <c r="B58" s="84"/>
      <c r="C58" s="1425">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2082</v>
      </c>
      <c r="B59" s="84"/>
      <c r="C59" s="1425">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2083</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2084</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2085</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2086</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9" t="s">
        <v>2087</v>
      </c>
      <c r="B1" s="3090"/>
      <c r="C1" s="3090"/>
      <c r="D1" s="3090"/>
      <c r="E1" s="3090"/>
      <c r="F1" s="3090"/>
      <c r="G1" s="309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42.75">
      <c r="A3" s="415" t="s">
        <v>2090</v>
      </c>
      <c r="B3" s="1266" t="s">
        <v>2091</v>
      </c>
      <c r="C3" s="2368"/>
      <c r="D3" s="2369"/>
      <c r="E3" s="431" t="s">
        <v>2090</v>
      </c>
      <c r="F3" s="2370" t="s">
        <v>2092</v>
      </c>
      <c r="G3" s="2371" t="s">
        <v>2093</v>
      </c>
      <c r="H3" s="2366"/>
      <c r="I3" s="2366"/>
      <c r="J3" s="2366"/>
      <c r="K3" s="2366"/>
      <c r="L3" s="2366"/>
      <c r="M3" s="2366"/>
      <c r="N3" s="2366"/>
      <c r="O3" s="2366"/>
      <c r="P3" s="2366"/>
      <c r="Q3" s="2366"/>
      <c r="R3" s="2366"/>
    </row>
    <row r="4" spans="1:29" ht="40.5">
      <c r="A4" s="431"/>
      <c r="B4" s="1794" t="s">
        <v>2094</v>
      </c>
      <c r="C4" s="2975" t="s">
        <v>3115</v>
      </c>
      <c r="D4" s="2369"/>
      <c r="E4" s="2372"/>
      <c r="F4" s="42" t="s">
        <v>2095</v>
      </c>
      <c r="G4" s="2373" t="s">
        <v>2096</v>
      </c>
      <c r="H4" s="2366"/>
      <c r="I4" s="2366"/>
      <c r="J4" s="2366"/>
      <c r="K4" s="2366"/>
      <c r="L4" s="2366"/>
      <c r="M4" s="2366"/>
      <c r="N4" s="2366"/>
      <c r="O4" s="2366"/>
      <c r="P4" s="2366"/>
      <c r="Q4" s="2366"/>
      <c r="R4" s="2366"/>
    </row>
    <row r="5" spans="1:29" ht="27">
      <c r="A5" s="431"/>
      <c r="B5" s="1794" t="s">
        <v>2097</v>
      </c>
      <c r="C5" s="2975" t="s">
        <v>3115</v>
      </c>
      <c r="D5" s="2369"/>
      <c r="E5" s="2372"/>
      <c r="F5" s="1794" t="s">
        <v>2098</v>
      </c>
      <c r="G5" s="2373" t="s">
        <v>2099</v>
      </c>
      <c r="H5" s="2366"/>
      <c r="I5" s="2366"/>
      <c r="J5" s="2366"/>
      <c r="K5" s="2366"/>
      <c r="L5" s="2366"/>
      <c r="M5" s="2366"/>
      <c r="N5" s="2366"/>
      <c r="O5" s="2366"/>
      <c r="P5" s="2366"/>
      <c r="Q5" s="2366"/>
      <c r="R5" s="2366"/>
    </row>
    <row r="6" spans="1:29" ht="15">
      <c r="A6" s="431"/>
      <c r="B6" s="1794" t="s">
        <v>2100</v>
      </c>
      <c r="C6" s="2976" t="s">
        <v>3117</v>
      </c>
      <c r="D6" s="2369"/>
      <c r="E6" s="2372"/>
      <c r="F6" s="1794" t="s">
        <v>2101</v>
      </c>
      <c r="G6" s="2373" t="s">
        <v>2102</v>
      </c>
      <c r="H6" s="2366"/>
      <c r="I6" s="2366"/>
      <c r="J6" s="2366"/>
      <c r="K6" s="2366"/>
      <c r="L6" s="2366"/>
      <c r="M6" s="2366"/>
      <c r="N6" s="2366"/>
      <c r="O6" s="2366"/>
      <c r="P6" s="2366"/>
      <c r="Q6" s="2366"/>
      <c r="R6" s="2366"/>
    </row>
    <row r="7" spans="1:29" ht="41.25" thickBot="1">
      <c r="A7" s="431"/>
      <c r="B7" s="1794" t="s">
        <v>2098</v>
      </c>
      <c r="C7" s="2976" t="s">
        <v>3117</v>
      </c>
      <c r="D7" s="2374"/>
      <c r="E7" s="2375"/>
      <c r="F7" s="2376" t="s">
        <v>2103</v>
      </c>
      <c r="G7" s="2377" t="s">
        <v>2104</v>
      </c>
      <c r="H7" s="2366"/>
      <c r="I7" s="2366"/>
      <c r="J7" s="2366"/>
      <c r="K7" s="2366"/>
      <c r="L7" s="2366"/>
      <c r="M7" s="2366"/>
      <c r="N7" s="2366"/>
      <c r="O7" s="2366"/>
      <c r="P7" s="2366"/>
      <c r="Q7" s="2366"/>
      <c r="R7" s="2366"/>
    </row>
    <row r="8" spans="1:29" ht="15">
      <c r="A8" s="431"/>
      <c r="B8" s="1794" t="s">
        <v>2101</v>
      </c>
      <c r="C8" s="2976" t="s">
        <v>3119</v>
      </c>
      <c r="D8" s="2374"/>
      <c r="E8" s="2374"/>
      <c r="F8" s="1131"/>
      <c r="G8" s="1131"/>
      <c r="H8" s="2366"/>
      <c r="I8" s="2366"/>
      <c r="J8" s="2366"/>
      <c r="K8" s="2366"/>
      <c r="L8" s="2366"/>
      <c r="M8" s="2366"/>
      <c r="N8" s="2366"/>
      <c r="O8" s="2366"/>
      <c r="P8" s="2366"/>
      <c r="Q8" s="2366"/>
      <c r="R8" s="2366"/>
    </row>
    <row r="9" spans="1:29" ht="15">
      <c r="A9" s="431"/>
      <c r="B9" s="1794" t="s">
        <v>2105</v>
      </c>
      <c r="C9" s="2975" t="s">
        <v>3120</v>
      </c>
      <c r="D9" s="2369"/>
      <c r="E9" s="2374"/>
      <c r="F9" s="1131"/>
      <c r="G9" s="1131"/>
      <c r="H9" s="2366"/>
      <c r="I9" s="2366"/>
      <c r="J9" s="2366"/>
      <c r="K9" s="2366"/>
      <c r="L9" s="2366"/>
      <c r="M9" s="2366"/>
      <c r="N9" s="2366"/>
      <c r="O9" s="2366"/>
      <c r="P9" s="2366"/>
      <c r="Q9" s="2366"/>
      <c r="R9" s="2366"/>
    </row>
    <row r="10" spans="1:29" s="117" customFormat="1" ht="15.75" thickBot="1">
      <c r="A10" s="2378"/>
      <c r="B10" s="2379" t="s">
        <v>2106</v>
      </c>
      <c r="C10" s="2977" t="s">
        <v>3122</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2107</v>
      </c>
      <c r="B13" s="2384"/>
      <c r="C13" s="2384"/>
      <c r="D13" s="2391"/>
      <c r="E13" s="2384"/>
      <c r="F13" s="2384"/>
      <c r="G13" s="2384"/>
    </row>
    <row r="14" spans="1:29" ht="15.75" thickBot="1">
      <c r="A14" s="2395"/>
      <c r="B14" s="2396"/>
      <c r="C14" s="2397" t="s">
        <v>2108</v>
      </c>
      <c r="D14" s="2369"/>
      <c r="E14" s="2398"/>
      <c r="F14" s="2398"/>
      <c r="G14" s="2363" t="s">
        <v>2109</v>
      </c>
    </row>
    <row r="15" spans="1:29" ht="42.75">
      <c r="A15" s="68" t="s">
        <v>2110</v>
      </c>
      <c r="B15" s="1265" t="s">
        <v>2091</v>
      </c>
      <c r="C15" s="2399">
        <f>C3</f>
        <v>0</v>
      </c>
      <c r="D15" s="2369"/>
      <c r="E15" s="2400" t="s">
        <v>2111</v>
      </c>
      <c r="F15" s="1265" t="s">
        <v>2112</v>
      </c>
      <c r="G15" s="135" t="str">
        <f>G3</f>
        <v>估价对象位于XX开发区，园区建设成熟度XX，产业集聚程度XX</v>
      </c>
    </row>
    <row r="16" spans="1:29" ht="42.75">
      <c r="A16" s="645"/>
      <c r="B16" s="2401" t="s">
        <v>2094</v>
      </c>
      <c r="C16" s="2402" t="str">
        <f>C4</f>
        <v>一般</v>
      </c>
      <c r="D16" s="2369"/>
      <c r="E16" s="2403"/>
      <c r="F16" s="2404" t="s">
        <v>2095</v>
      </c>
      <c r="G16" s="136" t="str">
        <f>G4</f>
        <v>估价对象周边道路状况、公共交通通达情况、停车便捷程度，综合评价交通便捷度较好</v>
      </c>
    </row>
    <row r="17" spans="1:18" ht="15">
      <c r="A17" s="645"/>
      <c r="B17" s="2401" t="s">
        <v>2097</v>
      </c>
      <c r="C17" s="2402" t="str">
        <f>C5</f>
        <v>一般</v>
      </c>
      <c r="D17" s="2374"/>
      <c r="E17" s="2403"/>
      <c r="F17" s="2404" t="s">
        <v>2113</v>
      </c>
      <c r="G17" s="1568"/>
    </row>
    <row r="18" spans="1:18" ht="42.75">
      <c r="A18" s="645"/>
      <c r="B18" s="2404" t="s">
        <v>2100</v>
      </c>
      <c r="C18" s="136" t="str">
        <f>C6</f>
        <v>较好</v>
      </c>
      <c r="D18" s="2374"/>
      <c r="E18" s="2403"/>
      <c r="F18" s="2404" t="s">
        <v>2103</v>
      </c>
      <c r="G18" s="136" t="str">
        <f>G7</f>
        <v>该园区内是否有污染型企业，绿化情况，卫生条件，整体环境状况判断</v>
      </c>
    </row>
    <row r="19" spans="1:18" ht="28.5">
      <c r="A19" s="645"/>
      <c r="B19" s="2404" t="s">
        <v>2114</v>
      </c>
      <c r="C19" s="1568"/>
      <c r="D19" s="2369"/>
      <c r="E19" s="2403"/>
      <c r="F19" s="1794" t="s">
        <v>2098</v>
      </c>
      <c r="G19" s="136" t="str">
        <f>G5</f>
        <v>估价对象所在区域公共配套设施齐备情况</v>
      </c>
    </row>
    <row r="20" spans="1:18" ht="15">
      <c r="A20" s="645"/>
      <c r="B20" s="2404" t="s">
        <v>2115</v>
      </c>
      <c r="C20" s="2402" t="str">
        <f>C9</f>
        <v>一般</v>
      </c>
      <c r="D20" s="2374"/>
      <c r="E20" s="2403"/>
      <c r="F20" s="1794" t="s">
        <v>2116</v>
      </c>
      <c r="G20" s="136" t="str">
        <f>G6</f>
        <v>估价对象所在区域基础设施水平</v>
      </c>
    </row>
    <row r="21" spans="1:18" ht="15">
      <c r="A21" s="645"/>
      <c r="B21" s="1794" t="s">
        <v>2098</v>
      </c>
      <c r="C21" s="136" t="str">
        <f>C7</f>
        <v>较好</v>
      </c>
      <c r="D21" s="2369"/>
      <c r="E21" s="2403"/>
      <c r="F21" s="2404" t="s">
        <v>2117</v>
      </c>
      <c r="G21" s="2405"/>
    </row>
    <row r="22" spans="1:18" ht="13.5" customHeight="1">
      <c r="A22" s="645"/>
      <c r="B22" s="1794" t="s">
        <v>2101</v>
      </c>
      <c r="C22" s="136" t="str">
        <f>C8</f>
        <v>七通</v>
      </c>
      <c r="D22" s="2369"/>
      <c r="E22" s="2403"/>
      <c r="F22" s="2404" t="s">
        <v>2106</v>
      </c>
      <c r="G22" s="1568"/>
    </row>
    <row r="23" spans="1:18" s="2366"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6" customFormat="1" ht="15.75" thickBot="1">
      <c r="A24" s="2409"/>
      <c r="B24" s="2407" t="s">
        <v>2119</v>
      </c>
      <c r="C24" s="137" t="str">
        <f>C10</f>
        <v>快速路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2" t="s">
        <v>1366</v>
      </c>
      <c r="B1" s="1742">
        <f>SUM(B14:B23)</f>
        <v>50425.270000000004</v>
      </c>
      <c r="C1" s="1741"/>
      <c r="D1" s="1741"/>
      <c r="E1" s="1741"/>
      <c r="F1" s="1741"/>
      <c r="G1" s="1739"/>
    </row>
    <row r="2" spans="1:10" ht="16.5">
      <c r="A2" s="1742" t="s">
        <v>1354</v>
      </c>
      <c r="B2" s="1742">
        <f>SUM(C14:C23)</f>
        <v>11435.33</v>
      </c>
      <c r="C2" s="1741"/>
      <c r="D2" s="1741"/>
      <c r="E2" s="1741"/>
      <c r="F2" s="1741"/>
      <c r="G2" s="1739"/>
    </row>
    <row r="3" spans="1:10" ht="16.5">
      <c r="A3" s="1742" t="s">
        <v>1363</v>
      </c>
      <c r="B3" s="1743">
        <f>项目基本情况!D3</f>
        <v>43444</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42677</v>
      </c>
      <c r="C5" s="1742">
        <f ca="1">ROUND(B5*10000/$B$1,0)</f>
        <v>8463</v>
      </c>
      <c r="D5" s="1742">
        <f ca="1">ROUND(B5*10000/$B$2,0)</f>
        <v>37320</v>
      </c>
      <c r="E5" s="1741"/>
      <c r="F5" s="1739"/>
      <c r="G5" s="1739"/>
    </row>
    <row r="6" spans="1:10" ht="16.5">
      <c r="A6" s="1742" t="s">
        <v>1357</v>
      </c>
      <c r="B6" s="1742">
        <f ca="1">SUM(G14:G23)</f>
        <v>42677</v>
      </c>
      <c r="C6" s="1742">
        <f ca="1">ROUND(B6*10000/$B$1,0)</f>
        <v>8463</v>
      </c>
      <c r="D6" s="1742">
        <f ca="1">ROUND(B6*10000/$B$2,0)</f>
        <v>37320</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50425.270000000004</v>
      </c>
      <c r="C14" s="1740">
        <f>结果表!C118</f>
        <v>11435.33</v>
      </c>
      <c r="D14" s="1740">
        <f ca="1">结果表!H118</f>
        <v>42677</v>
      </c>
      <c r="E14" s="1740">
        <f ca="1">ROUND(D14*10000/B14,0)</f>
        <v>8463</v>
      </c>
      <c r="F14" s="1740">
        <f ca="1">ROUND(D14*10000/C14,0)</f>
        <v>37320</v>
      </c>
      <c r="G14" s="1740">
        <f ca="1">结果表!D122</f>
        <v>42677</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2120</v>
      </c>
      <c r="B1" s="2415"/>
      <c r="C1" s="2416"/>
      <c r="D1" s="2415"/>
      <c r="E1" s="2415"/>
      <c r="F1" s="2417" t="s">
        <v>2121</v>
      </c>
      <c r="G1" s="2070" t="s">
        <v>2122</v>
      </c>
      <c r="H1" s="2418" t="str">
        <f>IF(G1="现房","——","估价对象范围")</f>
        <v>估价对象范围</v>
      </c>
      <c r="I1" s="2419"/>
    </row>
    <row r="2" spans="1:12" ht="21.75" customHeight="1" thickBot="1">
      <c r="A2" s="3124" t="str">
        <f>项目基本情况!S2</f>
        <v>出让国有建设用地使用权及在建建筑物房地产</v>
      </c>
      <c r="B2" s="3125"/>
      <c r="C2" s="3125"/>
      <c r="D2" s="3125"/>
      <c r="E2" s="3125"/>
      <c r="F2" s="3125"/>
      <c r="G2" s="3125"/>
      <c r="H2" s="3125"/>
      <c r="I2" s="3126"/>
    </row>
    <row r="3" spans="1:12" ht="12.75">
      <c r="A3" s="3128" t="s">
        <v>2123</v>
      </c>
      <c r="B3" s="3129"/>
      <c r="C3" s="3129"/>
      <c r="D3" s="3129"/>
      <c r="E3" s="3129"/>
      <c r="F3" s="3129"/>
      <c r="G3" s="3129"/>
      <c r="H3" s="3129"/>
      <c r="I3" s="3129"/>
    </row>
    <row r="4" spans="1:12" ht="14.25">
      <c r="A4" s="2422" t="s">
        <v>2124</v>
      </c>
      <c r="B4" s="2423" t="s">
        <v>2125</v>
      </c>
      <c r="C4" s="2424" t="s">
        <v>3190</v>
      </c>
      <c r="D4" s="2424" t="s">
        <v>3099</v>
      </c>
      <c r="E4" s="3121" t="s">
        <v>2126</v>
      </c>
      <c r="F4" s="3122"/>
      <c r="G4" s="3122"/>
      <c r="H4" s="3122"/>
      <c r="I4" s="313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2127</v>
      </c>
      <c r="B5" s="3040">
        <v>25</v>
      </c>
      <c r="C5" s="3107"/>
      <c r="D5" s="3127"/>
      <c r="E5" s="140" t="s">
        <v>2128</v>
      </c>
      <c r="F5" s="2426"/>
      <c r="G5" s="2426"/>
      <c r="H5" s="2426"/>
      <c r="I5" s="1830"/>
    </row>
    <row r="6" spans="1:12" ht="12.75">
      <c r="A6" s="3104"/>
      <c r="B6" s="3040"/>
      <c r="C6" s="3108"/>
      <c r="D6" s="3127"/>
      <c r="E6" s="140" t="s">
        <v>2129</v>
      </c>
      <c r="F6" s="2426"/>
      <c r="G6" s="2426"/>
      <c r="H6" s="2426"/>
      <c r="I6" s="1830"/>
    </row>
    <row r="7" spans="1:12" ht="12.75">
      <c r="A7" s="3104"/>
      <c r="B7" s="3040"/>
      <c r="C7" s="3109"/>
      <c r="D7" s="3127"/>
      <c r="E7" s="140" t="s">
        <v>2130</v>
      </c>
      <c r="F7" s="2426"/>
      <c r="G7" s="2426"/>
      <c r="H7" s="2426"/>
      <c r="I7" s="1830"/>
    </row>
    <row r="8" spans="1:12" ht="12.75">
      <c r="A8" s="3104" t="s">
        <v>2131</v>
      </c>
      <c r="B8" s="3040">
        <v>15</v>
      </c>
      <c r="C8" s="3107"/>
      <c r="D8" s="3127"/>
      <c r="E8" s="140" t="s">
        <v>2132</v>
      </c>
      <c r="F8" s="2426"/>
      <c r="G8" s="2426"/>
      <c r="H8" s="2426"/>
      <c r="I8" s="1830"/>
    </row>
    <row r="9" spans="1:12" ht="12.75">
      <c r="A9" s="3104"/>
      <c r="B9" s="3040"/>
      <c r="C9" s="3109"/>
      <c r="D9" s="3127"/>
      <c r="E9" s="140" t="s">
        <v>2133</v>
      </c>
      <c r="F9" s="2426"/>
      <c r="G9" s="2426"/>
      <c r="H9" s="2426"/>
      <c r="I9" s="1830"/>
    </row>
    <row r="10" spans="1:12" ht="12.75">
      <c r="A10" s="3104" t="s">
        <v>2134</v>
      </c>
      <c r="B10" s="3040">
        <v>15</v>
      </c>
      <c r="C10" s="3107"/>
      <c r="D10" s="3127"/>
      <c r="E10" s="140" t="s">
        <v>2135</v>
      </c>
      <c r="F10" s="2426"/>
      <c r="G10" s="2426"/>
      <c r="H10" s="2426"/>
      <c r="I10" s="1830"/>
    </row>
    <row r="11" spans="1:12" ht="12.75">
      <c r="A11" s="3104"/>
      <c r="B11" s="3040"/>
      <c r="C11" s="3109"/>
      <c r="D11" s="3127"/>
      <c r="E11" s="140" t="s">
        <v>2136</v>
      </c>
      <c r="F11" s="2426"/>
      <c r="G11" s="2426"/>
      <c r="H11" s="2426"/>
      <c r="I11" s="1830"/>
    </row>
    <row r="12" spans="1:12" ht="12.75">
      <c r="A12" s="3104" t="s">
        <v>2137</v>
      </c>
      <c r="B12" s="3040">
        <v>15</v>
      </c>
      <c r="C12" s="3107"/>
      <c r="D12" s="3127"/>
      <c r="E12" s="140" t="s">
        <v>2138</v>
      </c>
      <c r="F12" s="2426"/>
      <c r="G12" s="2426"/>
      <c r="H12" s="2426"/>
      <c r="I12" s="1830"/>
    </row>
    <row r="13" spans="1:12" ht="12.75">
      <c r="A13" s="3104"/>
      <c r="B13" s="3040"/>
      <c r="C13" s="3109"/>
      <c r="D13" s="3127"/>
      <c r="E13" s="140" t="s">
        <v>2139</v>
      </c>
      <c r="F13" s="2426"/>
      <c r="G13" s="2426"/>
      <c r="H13" s="2426"/>
      <c r="I13" s="1830"/>
    </row>
    <row r="14" spans="1:12" ht="12.75">
      <c r="A14" s="3104" t="s">
        <v>2140</v>
      </c>
      <c r="B14" s="3040">
        <v>30</v>
      </c>
      <c r="C14" s="3107">
        <v>0</v>
      </c>
      <c r="D14" s="3127">
        <v>1</v>
      </c>
      <c r="E14" s="140" t="s">
        <v>2141</v>
      </c>
      <c r="F14" s="2426"/>
      <c r="G14" s="2426"/>
      <c r="H14" s="2426"/>
      <c r="I14" s="1830"/>
    </row>
    <row r="15" spans="1:12" ht="12.75">
      <c r="A15" s="3104"/>
      <c r="B15" s="3040"/>
      <c r="C15" s="3108"/>
      <c r="D15" s="3127"/>
      <c r="E15" s="140" t="s">
        <v>2142</v>
      </c>
      <c r="F15" s="2426"/>
      <c r="G15" s="2426"/>
      <c r="H15" s="2426"/>
      <c r="I15" s="1830"/>
    </row>
    <row r="16" spans="1:12" ht="12.75">
      <c r="A16" s="3104"/>
      <c r="B16" s="3040"/>
      <c r="C16" s="3109"/>
      <c r="D16" s="3127"/>
      <c r="E16" s="140" t="s">
        <v>2143</v>
      </c>
      <c r="F16" s="2426"/>
      <c r="G16" s="2426"/>
      <c r="H16" s="2426"/>
      <c r="I16" s="1830"/>
    </row>
    <row r="17" spans="1:35" ht="15">
      <c r="A17" s="2427" t="s">
        <v>2144</v>
      </c>
      <c r="B17" s="64"/>
      <c r="C17" s="141">
        <f>SUM(C5:C16)</f>
        <v>0</v>
      </c>
      <c r="D17" s="141">
        <f>SUM(D5:D16)</f>
        <v>1</v>
      </c>
      <c r="E17" s="138"/>
      <c r="F17" s="138"/>
      <c r="G17" s="138"/>
      <c r="H17" s="138"/>
      <c r="I17" s="138"/>
      <c r="K17" s="2425"/>
      <c r="L17" s="2428" t="s">
        <v>2145</v>
      </c>
      <c r="M17" s="2428" t="s">
        <v>2146</v>
      </c>
    </row>
    <row r="18" spans="1:35" ht="15.75" thickBot="1">
      <c r="A18" s="2429" t="s">
        <v>2147</v>
      </c>
      <c r="B18" s="2430"/>
      <c r="C18" s="142">
        <f>ROUND(C17/SUM(C17:D17),2)</f>
        <v>0</v>
      </c>
      <c r="D18" s="142">
        <f>1-C18</f>
        <v>1</v>
      </c>
      <c r="E18" s="138"/>
      <c r="F18" s="138"/>
      <c r="G18" s="138"/>
      <c r="H18" s="138"/>
      <c r="I18" s="138"/>
      <c r="K18" s="2425" t="s">
        <v>2148</v>
      </c>
      <c r="L18" s="2425">
        <f>IF(C1="",'数据-汇总表'!E3,SUMIF(项目类型,C1,'数据-汇总表'!E17:E26)+SUMIF(项目类型,C1,'数据-汇总表'!I17:I26))</f>
        <v>50425.270000000004</v>
      </c>
      <c r="M18" s="2425">
        <f>IF(C1="",'数据-汇总表'!E3,SUMIF(项目类型,C1,'数据-汇总表'!E17:E26))</f>
        <v>50425.270000000004</v>
      </c>
    </row>
    <row r="19" spans="1:35" ht="15">
      <c r="A19" s="2431" t="s">
        <v>2149</v>
      </c>
      <c r="B19" s="2432" t="s">
        <v>2150</v>
      </c>
      <c r="C19" s="143">
        <f ca="1">SUMIF(INDIRECT("'"&amp;C4&amp;"'"&amp;"!A:A"),结果表!B19,INDIRECT("'"&amp;C4&amp;"'"&amp;"!B:B"))</f>
        <v>28316</v>
      </c>
      <c r="D19" s="144">
        <f ca="1">SUMIF(INDIRECT("'"&amp;D4&amp;"'"&amp;"!A:A"),结果表!B19,INDIRECT("'"&amp;D4&amp;"'"&amp;"!B:B"))</f>
        <v>42677</v>
      </c>
      <c r="E19" s="2431" t="s">
        <v>2151</v>
      </c>
      <c r="F19" s="2432" t="s">
        <v>2150</v>
      </c>
      <c r="G19" s="145">
        <f ca="1">ROUND(C19*$C$18+D19*$D$18,0)</f>
        <v>42677</v>
      </c>
      <c r="H19" s="2433" t="s">
        <v>2152</v>
      </c>
      <c r="I19" s="138"/>
      <c r="K19" s="2425" t="s">
        <v>2153</v>
      </c>
      <c r="L19" s="2425">
        <f>IF(C1="",'数据-汇总表'!D3,SUMIF(项目类型,C1,'数据-汇总表'!D17:D26)+SUMIF(项目类型,C1,'数据-汇总表'!H17:H27))</f>
        <v>11435.33</v>
      </c>
      <c r="M19" s="2425">
        <f>IF(C1="",'数据-汇总表'!D3,SUMIF(项目类型,C1,'数据-汇总表'!D17:D26))</f>
        <v>11435.33</v>
      </c>
    </row>
    <row r="20" spans="1:35" ht="15">
      <c r="A20" s="2434"/>
      <c r="B20" s="1245" t="s">
        <v>2154</v>
      </c>
      <c r="C20" s="146">
        <f ca="1">SUMIF(INDIRECT("'"&amp;C4&amp;"'"&amp;"!A:A"),结果表!B20,INDIRECT("'"&amp;C4&amp;"'"&amp;"!B:B"))</f>
        <v>5615</v>
      </c>
      <c r="D20" s="147">
        <f ca="1">SUMIF(INDIRECT("'"&amp;D4&amp;"'"&amp;"!A:A"),结果表!B20,INDIRECT("'"&amp;D4&amp;"'"&amp;"!B:B"))</f>
        <v>8463</v>
      </c>
      <c r="E20" s="2434"/>
      <c r="F20" s="1245" t="s">
        <v>2154</v>
      </c>
      <c r="G20" s="148">
        <f ca="1">ROUND(C20*$C$18+D20*$D$18,0)</f>
        <v>8463</v>
      </c>
      <c r="H20" s="978" t="s">
        <v>2155</v>
      </c>
      <c r="I20" s="138"/>
    </row>
    <row r="21" spans="1:35" ht="15" customHeight="1" thickBot="1">
      <c r="A21" s="998"/>
      <c r="B21" s="2435" t="s">
        <v>2156</v>
      </c>
      <c r="C21" s="789">
        <f ca="1">ROUND(C19*10000/L19,0)</f>
        <v>24762</v>
      </c>
      <c r="D21" s="790">
        <f ca="1">ROUND(D19*10000/L19,0)</f>
        <v>37320</v>
      </c>
      <c r="E21" s="998"/>
      <c r="F21" s="2435" t="s">
        <v>2156</v>
      </c>
      <c r="G21" s="149">
        <f ca="1">ROUND(G19*10000/L19,0)</f>
        <v>37320</v>
      </c>
      <c r="H21" s="2436" t="s">
        <v>2155</v>
      </c>
      <c r="I21" s="138"/>
    </row>
    <row r="22" spans="1:35" ht="15" thickBot="1">
      <c r="A22" s="2279" t="s">
        <v>2157</v>
      </c>
      <c r="B22" s="2437"/>
      <c r="C22" s="2438"/>
      <c r="D22" s="791">
        <f ca="1">IF(C19&lt;D19,D19/C19-1,C19/D19-1)</f>
        <v>0.50716909167961566</v>
      </c>
      <c r="E22" s="138"/>
      <c r="F22" s="138"/>
      <c r="G22" s="138"/>
      <c r="H22" s="138"/>
      <c r="I22" s="138"/>
    </row>
    <row r="23" spans="1:35" ht="13.5" thickBot="1">
      <c r="A23" s="2415"/>
      <c r="B23" s="2415"/>
      <c r="C23" s="2415"/>
      <c r="D23" s="2415"/>
      <c r="E23" s="138"/>
      <c r="F23" s="138"/>
      <c r="G23" s="138"/>
      <c r="H23" s="138"/>
      <c r="I23" s="138"/>
    </row>
    <row r="24" spans="1:35" ht="14.25">
      <c r="A24" s="3098" t="s">
        <v>2158</v>
      </c>
      <c r="B24" s="2432" t="s">
        <v>2150</v>
      </c>
      <c r="C24" s="145">
        <f>IF(B30=0,0,D30)</f>
        <v>0</v>
      </c>
      <c r="D24" s="2439"/>
      <c r="E24" s="138"/>
      <c r="F24" s="138"/>
      <c r="G24" s="138"/>
      <c r="H24" s="138"/>
      <c r="I24" s="138"/>
    </row>
    <row r="25" spans="1:35" ht="14.25">
      <c r="A25" s="3099"/>
      <c r="B25" s="1245"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42677</v>
      </c>
      <c r="D32" s="2446" t="s">
        <v>2165</v>
      </c>
      <c r="E32" s="138"/>
      <c r="F32" s="138"/>
      <c r="G32" s="138"/>
      <c r="H32" s="138"/>
      <c r="I32" s="138"/>
    </row>
    <row r="33" spans="1:15" ht="15">
      <c r="A33" s="955"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3" t="e">
        <f ca="1">IF(C33="自定义",ROUND(C34/C32,3),IF(C33="收益比率",SUMIF(INDIRECT("'"&amp;D33&amp;"'"&amp;"!b:b"),"土地收益比率",INDIRECT("'"&amp;D33&amp;"'"&amp;"!c:c")),SUMIF(INDIRECT("'"&amp;D33&amp;"'"&amp;"!b:b"),"土地成本比率",INDIRECT("'"&amp;D33&amp;"'"&amp;"!c:c"))))</f>
        <v>#REF!</v>
      </c>
      <c r="E34" s="2454" t="s">
        <v>2169</v>
      </c>
      <c r="F34" s="1735"/>
      <c r="G34" s="138"/>
      <c r="H34" s="138"/>
      <c r="I34" s="138"/>
    </row>
    <row r="35" spans="1:15" ht="15.75" thickBot="1">
      <c r="A35" s="2455"/>
      <c r="B35" s="2456" t="s">
        <v>2170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116" t="s">
        <v>2172</v>
      </c>
      <c r="B36" s="2458" t="s">
        <v>2173</v>
      </c>
      <c r="C36" s="154"/>
      <c r="D36" s="2459"/>
      <c r="E36" s="2460"/>
      <c r="F36" s="2461"/>
      <c r="G36" s="138"/>
      <c r="H36" s="138"/>
      <c r="I36" s="138"/>
    </row>
    <row r="37" spans="1:15" ht="15.75" thickBot="1">
      <c r="A37" s="3117"/>
      <c r="B37" s="2265" t="s">
        <v>2174</v>
      </c>
      <c r="C37" s="156"/>
      <c r="D37" s="1390"/>
      <c r="E37" s="1390"/>
      <c r="F37" s="2461"/>
      <c r="G37" s="138"/>
      <c r="H37" s="138"/>
      <c r="I37" s="138"/>
    </row>
    <row r="38" spans="1:15" ht="15.75" thickBot="1">
      <c r="A38" s="3118"/>
      <c r="B38" s="2462" t="s">
        <v>2175</v>
      </c>
      <c r="C38" s="727"/>
      <c r="D38" s="2463" t="s">
        <v>2176</v>
      </c>
      <c r="E38" s="1390"/>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095" t="s">
        <v>2186</v>
      </c>
      <c r="B45" s="3096"/>
      <c r="C45" s="3097"/>
      <c r="D45" s="164">
        <f ca="1">ROUND(H101*F45,0)</f>
        <v>42677</v>
      </c>
      <c r="E45" s="165" t="s">
        <v>2187</v>
      </c>
      <c r="F45" s="166">
        <v>1</v>
      </c>
      <c r="G45" s="167" t="s">
        <v>2188</v>
      </c>
      <c r="H45" s="138"/>
      <c r="I45" s="138"/>
      <c r="J45" s="3155" t="s">
        <v>2189</v>
      </c>
      <c r="K45" s="3155"/>
      <c r="L45" s="3155"/>
      <c r="M45" s="3155"/>
      <c r="N45" s="3155"/>
      <c r="O45" s="3155"/>
    </row>
    <row r="46" spans="1:15" ht="14.25" customHeight="1">
      <c r="A46" s="3092" t="s">
        <v>2190</v>
      </c>
      <c r="B46" s="3093"/>
      <c r="C46" s="3093"/>
      <c r="D46" s="3093"/>
      <c r="E46" s="3093"/>
      <c r="F46" s="3093"/>
      <c r="G46" s="3094"/>
      <c r="H46" s="2477"/>
      <c r="I46" s="168"/>
      <c r="J46" s="1808">
        <v>1</v>
      </c>
      <c r="K46" s="3155" t="s">
        <v>2191</v>
      </c>
      <c r="L46" s="3155"/>
      <c r="M46" s="3175"/>
      <c r="N46" s="3175"/>
      <c r="O46" s="3175"/>
    </row>
    <row r="47" spans="1:15" ht="12" customHeight="1">
      <c r="A47" s="169" t="s">
        <v>2192</v>
      </c>
      <c r="B47" s="170"/>
      <c r="C47" s="171"/>
      <c r="D47" s="172" t="s">
        <v>2193</v>
      </c>
      <c r="E47" s="24" t="s">
        <v>2194</v>
      </c>
      <c r="F47" s="173" t="s">
        <v>2195</v>
      </c>
      <c r="G47" s="174" t="s">
        <v>2196</v>
      </c>
      <c r="H47" s="2477"/>
      <c r="I47" s="168"/>
      <c r="J47" s="1808">
        <v>2</v>
      </c>
      <c r="K47" s="3155" t="s">
        <v>2197</v>
      </c>
      <c r="L47" s="3155"/>
      <c r="M47" s="3176">
        <f>'数据-取费表'!B2</f>
        <v>43444</v>
      </c>
      <c r="N47" s="3176"/>
      <c r="O47" s="3176"/>
    </row>
    <row r="48" spans="1:15" ht="25.5">
      <c r="A48" s="3123" t="s">
        <v>2198</v>
      </c>
      <c r="B48" s="3106"/>
      <c r="C48" s="3106"/>
      <c r="D48" s="140">
        <f>IF(H48="情况1",0,IF(H48="情况2",D52,IF(H48="情况3",D53,IF(H48="情况4",D54))))</f>
        <v>0</v>
      </c>
      <c r="E48" s="1797" t="str">
        <f>IF(H48="情况4","(销售额-原购置价)×税（费）率","销售额×税（费）率")</f>
        <v>销售额×税（费）率</v>
      </c>
      <c r="F48" s="175" t="str">
        <f>IF(H48="情况1","免征",'数据-取费表'!B41)</f>
        <v>免征</v>
      </c>
      <c r="G48" s="2478" t="s">
        <v>2199</v>
      </c>
      <c r="H48" s="2479" t="s">
        <v>2200</v>
      </c>
      <c r="I48" s="2477"/>
      <c r="J48" s="1808">
        <v>3</v>
      </c>
      <c r="K48" s="3155" t="s">
        <v>2201</v>
      </c>
      <c r="L48" s="3155"/>
      <c r="M48" s="3177">
        <f ca="1">H101</f>
        <v>42677</v>
      </c>
      <c r="N48" s="3177"/>
      <c r="O48" s="3177"/>
    </row>
    <row r="49" spans="1:35" ht="25.5" customHeight="1">
      <c r="A49" s="176" t="s">
        <v>2202</v>
      </c>
      <c r="B49" s="3091" t="s">
        <v>2203</v>
      </c>
      <c r="C49" s="3091"/>
      <c r="D49" s="177">
        <v>0</v>
      </c>
      <c r="E49" s="23" t="s">
        <v>2204</v>
      </c>
      <c r="F49" s="28" t="s">
        <v>34</v>
      </c>
      <c r="G49" s="3161"/>
      <c r="H49" s="138"/>
      <c r="I49" s="2480"/>
      <c r="J49" s="1808">
        <v>4</v>
      </c>
      <c r="K49" s="3155" t="str">
        <f>IF(项目基本情况!E8="房地产抵押价值","房地产抵押价值","抵押担保权已注销时的房地产抵押价值")</f>
        <v>抵押担保权已注销时的房地产抵押价值</v>
      </c>
      <c r="L49" s="3155"/>
      <c r="M49" s="3177" t="str">
        <f>IF(项目基本情况!E8="房地产抵押价值",H107,H109)</f>
        <v>——</v>
      </c>
      <c r="N49" s="3177"/>
      <c r="O49" s="3177"/>
    </row>
    <row r="50" spans="1:35" ht="25.5" customHeight="1">
      <c r="A50" s="178"/>
      <c r="B50" s="3091" t="s">
        <v>2205</v>
      </c>
      <c r="C50" s="3091"/>
      <c r="D50" s="179"/>
      <c r="E50" s="31"/>
      <c r="F50" s="180"/>
      <c r="G50" s="3162"/>
      <c r="H50" s="138"/>
      <c r="I50" s="2480"/>
      <c r="J50" s="3155" t="s">
        <v>2206</v>
      </c>
      <c r="K50" s="3155"/>
      <c r="L50" s="3155"/>
      <c r="M50" s="3155"/>
      <c r="N50" s="3155"/>
      <c r="O50" s="3155"/>
    </row>
    <row r="51" spans="1:35" ht="12" customHeight="1">
      <c r="A51" s="181"/>
      <c r="B51" s="3091" t="s">
        <v>2207</v>
      </c>
      <c r="C51" s="3091"/>
      <c r="D51" s="182"/>
      <c r="E51" s="30"/>
      <c r="F51" s="180"/>
      <c r="G51" s="3163"/>
      <c r="H51" s="138"/>
      <c r="I51" s="2480"/>
      <c r="J51" s="2481" t="s">
        <v>2208</v>
      </c>
      <c r="K51" s="3155" t="s">
        <v>2209</v>
      </c>
      <c r="L51" s="3155"/>
      <c r="M51" s="2481" t="s">
        <v>2210</v>
      </c>
      <c r="N51" s="2481" t="s">
        <v>2211</v>
      </c>
      <c r="O51" s="2481" t="s">
        <v>2212</v>
      </c>
    </row>
    <row r="52" spans="1:35" ht="24" customHeight="1">
      <c r="A52" s="183" t="s">
        <v>2213</v>
      </c>
      <c r="B52" s="3091" t="s">
        <v>2214</v>
      </c>
      <c r="C52" s="3091"/>
      <c r="D52" s="182">
        <f ca="1">ROUND(D45*'数据-取费表'!B41/(1+'数据-取费表'!C42),0)</f>
        <v>2276</v>
      </c>
      <c r="E52" s="11" t="s">
        <v>2215</v>
      </c>
      <c r="F52" s="184">
        <f>'数据-取费表'!B41</f>
        <v>5.6000000000000001E-2</v>
      </c>
      <c r="G52" s="2482"/>
      <c r="H52" s="138"/>
      <c r="I52" s="2480"/>
      <c r="J52" s="1808">
        <v>1</v>
      </c>
      <c r="K52" s="3156" t="s">
        <v>2216</v>
      </c>
      <c r="L52" s="3156"/>
      <c r="M52" s="1750">
        <f>D48</f>
        <v>0</v>
      </c>
      <c r="N52" s="1808" t="str">
        <f>E48</f>
        <v>销售额×税（费）率</v>
      </c>
      <c r="O52" s="1751" t="str">
        <f>F48</f>
        <v>免征</v>
      </c>
    </row>
    <row r="53" spans="1:35" ht="12" customHeight="1">
      <c r="A53" s="183" t="s">
        <v>2217</v>
      </c>
      <c r="B53" s="3114" t="s">
        <v>2218</v>
      </c>
      <c r="C53" s="3115"/>
      <c r="D53" s="182">
        <f ca="1">ROUND(D45*'数据-取费表'!B41/(1+'数据-取费表'!C42),0)</f>
        <v>2276</v>
      </c>
      <c r="E53" s="11" t="s">
        <v>2215</v>
      </c>
      <c r="F53" s="184">
        <f>'数据-取费表'!B41</f>
        <v>5.6000000000000001E-2</v>
      </c>
      <c r="G53" s="2482"/>
      <c r="H53" s="138"/>
      <c r="I53" s="2480"/>
      <c r="J53" s="1808">
        <v>2</v>
      </c>
      <c r="K53" s="3156" t="s">
        <v>2219</v>
      </c>
      <c r="L53" s="3156"/>
      <c r="M53" s="1750">
        <f t="shared" ref="M53:O54" ca="1" si="0">D55</f>
        <v>21</v>
      </c>
      <c r="N53" s="1808" t="str">
        <f t="shared" si="0"/>
        <v>销售额×税（费）率</v>
      </c>
      <c r="O53" s="1751">
        <f t="shared" si="0"/>
        <v>5.0000000000000001E-4</v>
      </c>
    </row>
    <row r="54" spans="1:35" ht="12" customHeight="1">
      <c r="A54" s="183" t="s">
        <v>2220</v>
      </c>
      <c r="B54" s="3114" t="s">
        <v>2221</v>
      </c>
      <c r="C54" s="3115"/>
      <c r="D54" s="182">
        <f ca="1">C68</f>
        <v>2276</v>
      </c>
      <c r="E54" s="30" t="s">
        <v>2222</v>
      </c>
      <c r="F54" s="184">
        <f>'数据-取费表'!B41</f>
        <v>5.6000000000000001E-2</v>
      </c>
      <c r="G54" s="2482"/>
      <c r="H54" s="2483"/>
      <c r="I54" s="2480"/>
      <c r="J54" s="1808">
        <v>3</v>
      </c>
      <c r="K54" s="3156" t="s">
        <v>2223</v>
      </c>
      <c r="L54" s="3156"/>
      <c r="M54" s="1750">
        <f t="shared" ca="1" si="0"/>
        <v>24155</v>
      </c>
      <c r="N54" s="1808" t="str">
        <f t="shared" si="0"/>
        <v>增值额×税（费）率</v>
      </c>
      <c r="O54" s="1752" t="str">
        <f t="shared" si="0"/>
        <v>——</v>
      </c>
    </row>
    <row r="55" spans="1:35" ht="24" customHeight="1">
      <c r="A55" s="3105" t="s">
        <v>2224</v>
      </c>
      <c r="B55" s="3106"/>
      <c r="C55" s="3106"/>
      <c r="D55" s="185">
        <f ca="1">IF(H55="个人住宅",0,ROUND(D45*I55,0))</f>
        <v>21</v>
      </c>
      <c r="E55" s="11" t="s">
        <v>2225</v>
      </c>
      <c r="F55" s="184">
        <f>IF(H55="正常",I55,"免征")</f>
        <v>5.0000000000000001E-4</v>
      </c>
      <c r="G55" s="2482"/>
      <c r="H55" s="2479" t="s">
        <v>2226</v>
      </c>
      <c r="I55" s="186">
        <f>'数据-取费表'!B49</f>
        <v>5.0000000000000001E-4</v>
      </c>
      <c r="J55" s="1808" t="str">
        <f>IF(H59="非个人房产","",4)</f>
        <v/>
      </c>
      <c r="K55" s="3156" t="str">
        <f>IF(H59="非个人房产","——","个人所得税")</f>
        <v>——</v>
      </c>
      <c r="L55" s="3156"/>
      <c r="M55" s="1753" t="str">
        <f>D59</f>
        <v>——</v>
      </c>
      <c r="N55" s="1806" t="str">
        <f>E59</f>
        <v>——</v>
      </c>
      <c r="O55" s="1754" t="str">
        <f>F59</f>
        <v>——</v>
      </c>
    </row>
    <row r="56" spans="1:35" ht="24.75">
      <c r="A56" s="3105" t="s">
        <v>2227</v>
      </c>
      <c r="B56" s="3106"/>
      <c r="C56" s="3106"/>
      <c r="D56" s="185">
        <f ca="1">IF(H56="个人住宅",D57,D58)</f>
        <v>24155</v>
      </c>
      <c r="E56" s="11" t="s">
        <v>2228</v>
      </c>
      <c r="F56" s="184" t="str">
        <f>IF(H56="正常",F58,"免征")</f>
        <v>——</v>
      </c>
      <c r="G56" s="2484" t="s">
        <v>2229</v>
      </c>
      <c r="H56" s="2485" t="s">
        <v>2226</v>
      </c>
      <c r="I56" s="2486"/>
      <c r="J56" s="1808" t="str">
        <f>IF(项目基本情况!K6="上海银行",IF(J55="",4,J55+1),"")</f>
        <v/>
      </c>
      <c r="K56" s="3179" t="str">
        <f>IF(项目基本情况!K6="上海银行","其他处置费用","")</f>
        <v/>
      </c>
      <c r="L56" s="3180"/>
      <c r="M56" s="1750" t="str">
        <f>IF(项目基本情况!K6="上海银行",M69,"")</f>
        <v/>
      </c>
      <c r="N56" s="3182" t="str">
        <f>IF(项目基本情况!K6="上海银行","包含处置中涉及的律师、诉讼、拍卖、评估等费用","")</f>
        <v/>
      </c>
      <c r="O56" s="3183"/>
    </row>
    <row r="57" spans="1:35" ht="12.75">
      <c r="A57" s="183" t="s">
        <v>2202</v>
      </c>
      <c r="B57" s="3121" t="s">
        <v>2230</v>
      </c>
      <c r="C57" s="3130"/>
      <c r="D57" s="187">
        <v>0</v>
      </c>
      <c r="E57" s="23" t="s">
        <v>2204</v>
      </c>
      <c r="F57" s="155"/>
      <c r="G57" s="2482"/>
      <c r="H57" s="2486"/>
      <c r="I57" s="2486"/>
      <c r="J57" s="3156">
        <f>IF(AND(J55="",J56=""),4,IF(项目基本情况!K6="上海银行",结果表!J56+1,结果表!J55+1))</f>
        <v>4</v>
      </c>
      <c r="K57" s="3156" t="s">
        <v>2231</v>
      </c>
      <c r="L57" s="2487" t="s">
        <v>2232</v>
      </c>
      <c r="M57" s="1755"/>
      <c r="N57" s="1756">
        <f ca="1">SUMIF(M52:M56,"&lt;9e307")</f>
        <v>24176</v>
      </c>
      <c r="O57" s="2488"/>
      <c r="P57" s="1749" t="e">
        <f ca="1">N57/M49</f>
        <v>#VALUE!</v>
      </c>
    </row>
    <row r="58" spans="1:35" ht="24.75">
      <c r="A58" s="183" t="s">
        <v>2213</v>
      </c>
      <c r="B58" s="3121" t="s">
        <v>2233</v>
      </c>
      <c r="C58" s="3122"/>
      <c r="D58" s="185">
        <f ca="1">IF(H58="转让取得",C81,C97)</f>
        <v>24155</v>
      </c>
      <c r="E58" s="11" t="s">
        <v>2228</v>
      </c>
      <c r="F58" s="24" t="s">
        <v>34</v>
      </c>
      <c r="G58" s="2482"/>
      <c r="H58" s="2485" t="s">
        <v>2234</v>
      </c>
      <c r="I58" s="2486"/>
      <c r="J58" s="3156"/>
      <c r="K58" s="3156"/>
      <c r="L58" s="2487" t="s">
        <v>2235</v>
      </c>
      <c r="M58" s="1757"/>
      <c r="N58" s="2489" t="str">
        <f ca="1">NUMBERSTRING(INT(N57*10000),2)&amp;"元整"</f>
        <v>贰亿肆仟壹佰柒拾陆万元整</v>
      </c>
      <c r="O58" s="2490"/>
    </row>
    <row r="59" spans="1:35" ht="24.75" thickBot="1">
      <c r="A59" s="3159" t="s">
        <v>2236</v>
      </c>
      <c r="B59" s="3160"/>
      <c r="C59" s="3160"/>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157">
        <f>J57+1</f>
        <v>5</v>
      </c>
      <c r="K59" s="3156" t="s">
        <v>2238</v>
      </c>
      <c r="L59" s="1808" t="s">
        <v>2232</v>
      </c>
      <c r="M59" s="1758"/>
      <c r="N59" s="1759" t="e">
        <f ca="1">M49-N57</f>
        <v>#VALUE!</v>
      </c>
      <c r="O59" s="2492"/>
    </row>
    <row r="60" spans="1:35" ht="12" customHeight="1">
      <c r="A60" s="2493"/>
      <c r="B60" s="2415"/>
      <c r="C60" s="2415"/>
      <c r="D60" s="2415"/>
      <c r="E60" s="2166"/>
      <c r="F60" s="2486"/>
      <c r="G60" s="2486"/>
      <c r="H60" s="2494"/>
      <c r="I60" s="138"/>
      <c r="J60" s="3158"/>
      <c r="K60" s="3156"/>
      <c r="L60" s="2487" t="s">
        <v>2235</v>
      </c>
      <c r="M60" s="1757"/>
      <c r="N60" s="2489" t="e">
        <f ca="1">NUMBERSTRING(INT(N59*10000),2)&amp;"元整"</f>
        <v>#VALUE!</v>
      </c>
      <c r="O60" s="2490"/>
    </row>
    <row r="61" spans="1:35" ht="13.5" thickBot="1">
      <c r="A61" s="3103" t="s">
        <v>2239</v>
      </c>
      <c r="B61" s="3103"/>
      <c r="C61" s="3103"/>
      <c r="D61" s="3103"/>
      <c r="E61" s="3103"/>
      <c r="F61" s="2486"/>
      <c r="G61" s="2486"/>
      <c r="H61" s="2494"/>
      <c r="I61" s="138"/>
      <c r="J61" s="1808">
        <f>J59+1</f>
        <v>6</v>
      </c>
      <c r="K61" s="3156" t="s">
        <v>2240</v>
      </c>
      <c r="L61" s="3156"/>
      <c r="M61" s="1760"/>
      <c r="N61" s="1761" t="e">
        <f ca="1">ROUND(N59*10000/'数据-汇总表'!E3,0)</f>
        <v>#VALUE!</v>
      </c>
      <c r="O61" s="2495"/>
    </row>
    <row r="62" spans="1:35" ht="12.75">
      <c r="A62" s="3119" t="s">
        <v>2241</v>
      </c>
      <c r="B62" s="3120"/>
      <c r="C62" s="1800"/>
      <c r="D62" s="1800" t="s">
        <v>2242</v>
      </c>
      <c r="E62" s="192" t="s">
        <v>2243</v>
      </c>
      <c r="F62" s="2486"/>
      <c r="G62" s="2486"/>
      <c r="H62" s="2494"/>
      <c r="I62" s="138"/>
    </row>
    <row r="63" spans="1:35" ht="12.75">
      <c r="A63" s="203" t="s">
        <v>775</v>
      </c>
      <c r="B63" s="193" t="s">
        <v>2244</v>
      </c>
      <c r="C63" s="194">
        <f ca="1">ROUND((C64+C65)/(1+'数据-取费表'!C42),0)</f>
        <v>40645</v>
      </c>
      <c r="D63" s="195"/>
      <c r="E63" s="196"/>
      <c r="F63" s="2486"/>
      <c r="G63" s="2486"/>
      <c r="H63" s="2494"/>
      <c r="I63" s="138"/>
      <c r="J63" s="3181" t="s">
        <v>2245</v>
      </c>
      <c r="K63" s="2496" t="s">
        <v>2246</v>
      </c>
      <c r="L63" s="1748" t="e">
        <f>IF(M49&gt;10000,M49*0.5%,IF(AND(M49&gt;1000,M49&lt;=10000),M49*1%,IF(AND(M49&gt;100,M49&lt;=1000),M49*3%,IF(AND(M49&gt;10,M49&lt;=100),M49*5%,M49*8%))))</f>
        <v>#VALUE!</v>
      </c>
      <c r="M63" s="24" t="e">
        <f>ROUND(L63,1)</f>
        <v>#VALUE!</v>
      </c>
      <c r="Z63" s="2420"/>
      <c r="AI63" s="2421"/>
    </row>
    <row r="64" spans="1:35" ht="14.25" customHeight="1">
      <c r="A64" s="197" t="s">
        <v>770</v>
      </c>
      <c r="B64" s="198" t="s">
        <v>2247</v>
      </c>
      <c r="C64" s="199">
        <f ca="1">D45</f>
        <v>42677</v>
      </c>
      <c r="D64" s="200" t="s">
        <v>32</v>
      </c>
      <c r="E64" s="201"/>
      <c r="F64" s="2486"/>
      <c r="G64" s="2486"/>
      <c r="H64" s="2494"/>
      <c r="I64" s="138"/>
      <c r="J64" s="3181"/>
      <c r="K64" s="2496" t="s">
        <v>2248</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0"/>
      <c r="AI64" s="2421"/>
    </row>
    <row r="65" spans="1:35" ht="14.25" customHeight="1">
      <c r="A65" s="197" t="s">
        <v>771</v>
      </c>
      <c r="B65" s="198" t="s">
        <v>2250</v>
      </c>
      <c r="C65" s="202"/>
      <c r="D65" s="200"/>
      <c r="E65" s="201"/>
      <c r="F65" s="2486"/>
      <c r="G65" s="2486"/>
      <c r="H65" s="2494"/>
      <c r="I65" s="138"/>
      <c r="J65" s="3181"/>
      <c r="K65" s="2496" t="s">
        <v>2251</v>
      </c>
      <c r="L65" s="1748" t="e">
        <f>IF(M49&gt;1000,M49*0.1%,IF(AND(M49&gt;500,M49&lt;=1000),M49*0.5%,IF(AND(M49&gt;50,M49&lt;=500),M49*1%,IF(AND(M49&gt;1,M49&lt;=50),M49*1.5%))))</f>
        <v>#VALUE!</v>
      </c>
      <c r="M65" s="24" t="e">
        <f t="shared" si="1"/>
        <v>#VALUE!</v>
      </c>
      <c r="N65" s="138" t="s">
        <v>2249</v>
      </c>
      <c r="Z65" s="2420"/>
      <c r="AI65" s="2421"/>
    </row>
    <row r="66" spans="1:35" ht="14.25" customHeight="1">
      <c r="A66" s="203" t="s">
        <v>772</v>
      </c>
      <c r="B66" s="204" t="s">
        <v>2252</v>
      </c>
      <c r="C66" s="205"/>
      <c r="D66" s="206" t="s">
        <v>32</v>
      </c>
      <c r="E66" s="1772" t="s">
        <v>1372</v>
      </c>
      <c r="F66" s="2486"/>
      <c r="G66" s="2486"/>
      <c r="H66" s="2494"/>
      <c r="I66" s="138"/>
      <c r="J66" s="3181"/>
      <c r="K66" s="2496" t="s">
        <v>2253</v>
      </c>
      <c r="L66" s="1748" t="e">
        <f>M49*0.5%</f>
        <v>#VALUE!</v>
      </c>
      <c r="M66" s="24" t="e">
        <f>IF(L66&gt;0.5,0.5,ROUND(L66,0))</f>
        <v>#VALUE!</v>
      </c>
      <c r="N66" s="138" t="s">
        <v>2254</v>
      </c>
      <c r="Z66" s="2420"/>
      <c r="AI66" s="2421"/>
    </row>
    <row r="67" spans="1:35" ht="14.25" customHeight="1">
      <c r="A67" s="203" t="s">
        <v>773</v>
      </c>
      <c r="B67" s="204" t="s">
        <v>2255</v>
      </c>
      <c r="C67" s="207">
        <f ca="1">C63-C66</f>
        <v>40645</v>
      </c>
      <c r="D67" s="200" t="s">
        <v>32</v>
      </c>
      <c r="E67" s="201"/>
      <c r="F67" s="2486"/>
      <c r="G67" s="2486"/>
      <c r="H67" s="2494"/>
      <c r="I67" s="138"/>
      <c r="J67" s="3181"/>
      <c r="K67" s="2496" t="s">
        <v>2256</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2257</v>
      </c>
      <c r="C68" s="210">
        <f ca="1">IF(C67&lt;=0,0,ROUND(C67*D68,0))</f>
        <v>2276</v>
      </c>
      <c r="D68" s="211">
        <f>'数据-取费表'!B41</f>
        <v>5.6000000000000001E-2</v>
      </c>
      <c r="E68" s="212"/>
      <c r="F68" s="2486"/>
      <c r="G68" s="2486"/>
      <c r="H68" s="2494"/>
      <c r="I68" s="138"/>
      <c r="J68" s="3181"/>
      <c r="K68" s="2496" t="s">
        <v>2258</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6"/>
      <c r="G69" s="2166"/>
      <c r="H69" s="2165"/>
      <c r="I69" s="2415"/>
      <c r="J69" s="3181"/>
      <c r="K69" s="2496" t="s">
        <v>2259</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40" t="s">
        <v>2260</v>
      </c>
      <c r="B70" s="3141"/>
      <c r="C70" s="3141"/>
      <c r="D70" s="3141"/>
      <c r="E70" s="3141"/>
      <c r="F70" s="3141"/>
      <c r="G70" s="3141"/>
      <c r="H70" s="314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9" t="s">
        <v>2241</v>
      </c>
      <c r="B71" s="3120"/>
      <c r="C71" s="1800"/>
      <c r="D71" s="1800"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40645</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244</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114" t="s">
        <v>2269</v>
      </c>
      <c r="F76" s="3091"/>
      <c r="G76" s="3091"/>
      <c r="H76" s="313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244</v>
      </c>
      <c r="D78" s="226">
        <f>'数据-取费表'!B43</f>
        <v>6.000000000000001E-3</v>
      </c>
      <c r="E78" s="3100" t="s">
        <v>2274</v>
      </c>
      <c r="F78" s="3101"/>
      <c r="G78" s="3101"/>
      <c r="H78" s="311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40401</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165.57786885245901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24155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0" t="s">
        <v>2278</v>
      </c>
      <c r="B83" s="3141"/>
      <c r="C83" s="3141"/>
      <c r="D83" s="3141"/>
      <c r="E83" s="3141"/>
      <c r="F83" s="3141"/>
      <c r="G83" s="3141"/>
      <c r="H83" s="314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9" t="s">
        <v>2241</v>
      </c>
      <c r="B84" s="3120"/>
      <c r="C84" s="1800"/>
      <c r="D84" s="1800"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40645</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244</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6"/>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100" t="s">
        <v>2287</v>
      </c>
      <c r="F91" s="3101"/>
      <c r="G91" s="310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100" t="s">
        <v>2291</v>
      </c>
      <c r="F92" s="3101"/>
      <c r="G92" s="3101"/>
      <c r="H92" s="311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244</v>
      </c>
      <c r="D93" s="226">
        <f>'数据-取费表'!B43</f>
        <v>6.000000000000001E-3</v>
      </c>
      <c r="E93" s="3100" t="s">
        <v>2274</v>
      </c>
      <c r="F93" s="3101"/>
      <c r="G93" s="3101"/>
      <c r="H93" s="311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111" t="s">
        <v>2295</v>
      </c>
      <c r="F94" s="3112"/>
      <c r="G94" s="3112"/>
      <c r="H94" s="31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40401</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165.57786885245901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24155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2296</v>
      </c>
      <c r="B99" s="2415"/>
      <c r="C99" s="2415"/>
      <c r="D99" s="2415"/>
      <c r="E99" s="2166"/>
      <c r="F99" s="2166"/>
      <c r="G99" s="2166"/>
      <c r="H99" s="2165"/>
      <c r="I99" s="138"/>
    </row>
    <row r="100" spans="1:35" ht="18.75" customHeight="1">
      <c r="A100" s="3085" t="s">
        <v>2297</v>
      </c>
      <c r="B100" s="3086"/>
      <c r="C100" s="3086"/>
      <c r="D100" s="3102"/>
      <c r="E100" s="3086" t="s">
        <v>2298</v>
      </c>
      <c r="F100" s="3086"/>
      <c r="G100" s="3086"/>
      <c r="H100" s="3102"/>
      <c r="I100" s="138"/>
    </row>
    <row r="101" spans="1:35" ht="18.75" customHeight="1">
      <c r="A101" s="3164" t="s">
        <v>2299</v>
      </c>
      <c r="B101" s="3165"/>
      <c r="C101" s="736" t="str">
        <f>C4</f>
        <v>成本法</v>
      </c>
      <c r="D101" s="737" t="str">
        <f>D4</f>
        <v>收益法（汇总）</v>
      </c>
      <c r="E101" s="3178" t="s">
        <v>2300</v>
      </c>
      <c r="F101" s="3132"/>
      <c r="G101" s="2517" t="s">
        <v>2301</v>
      </c>
      <c r="H101" s="1043">
        <f ca="1">H118</f>
        <v>42677</v>
      </c>
      <c r="I101" s="138"/>
    </row>
    <row r="102" spans="1:35" ht="18.75" customHeight="1">
      <c r="A102" s="3134" t="s">
        <v>2302</v>
      </c>
      <c r="B102" s="2517" t="s">
        <v>2301</v>
      </c>
      <c r="C102" s="736">
        <f ca="1">C19</f>
        <v>28316</v>
      </c>
      <c r="D102" s="737">
        <f ca="1">D19</f>
        <v>42677</v>
      </c>
      <c r="E102" s="3178"/>
      <c r="F102" s="3132"/>
      <c r="G102" s="2517" t="s">
        <v>2303</v>
      </c>
      <c r="H102" s="371">
        <f ca="1">I118</f>
        <v>8463</v>
      </c>
      <c r="I102" s="138"/>
    </row>
    <row r="103" spans="1:35" ht="42.75" customHeight="1">
      <c r="A103" s="3134"/>
      <c r="B103" s="2517" t="s">
        <v>2303</v>
      </c>
      <c r="C103" s="738">
        <f ca="1">C20</f>
        <v>5615</v>
      </c>
      <c r="D103" s="739">
        <f ca="1">D20</f>
        <v>8463</v>
      </c>
      <c r="E103" s="3173" t="s">
        <v>2304</v>
      </c>
      <c r="F103" s="3174"/>
      <c r="G103" s="2518" t="s">
        <v>2305</v>
      </c>
      <c r="H103" s="1043">
        <f>IF(D36="正常操作",H104+H105+H106,H105+H106)</f>
        <v>0</v>
      </c>
      <c r="I103" s="138"/>
    </row>
    <row r="104" spans="1:35" ht="18.75" customHeight="1">
      <c r="A104" s="3134" t="s">
        <v>2306</v>
      </c>
      <c r="B104" s="2519" t="s">
        <v>2301</v>
      </c>
      <c r="C104" s="740">
        <f ca="1">H118</f>
        <v>42677</v>
      </c>
      <c r="D104" s="741"/>
      <c r="E104" s="2265" t="s">
        <v>2307</v>
      </c>
      <c r="F104" s="2257"/>
      <c r="G104" s="2518" t="s">
        <v>2305</v>
      </c>
      <c r="H104" s="1044">
        <f>IF(D36="同一抵押权人同一抵押物续贷",C36&amp;"（未扣减，详见特别提示）",C36)</f>
        <v>0</v>
      </c>
      <c r="I104" s="138"/>
    </row>
    <row r="105" spans="1:35" ht="18.75" customHeight="1" thickBot="1">
      <c r="A105" s="3135"/>
      <c r="B105" s="2520" t="s">
        <v>2303</v>
      </c>
      <c r="C105" s="742">
        <f ca="1">I118</f>
        <v>8463</v>
      </c>
      <c r="D105" s="743"/>
      <c r="E105" s="2265" t="s">
        <v>2308</v>
      </c>
      <c r="F105" s="2257"/>
      <c r="G105" s="2518" t="s">
        <v>2305</v>
      </c>
      <c r="H105" s="1044">
        <f>C37</f>
        <v>0</v>
      </c>
      <c r="I105" s="138"/>
    </row>
    <row r="106" spans="1:35" ht="18.75" customHeight="1">
      <c r="A106" s="2415" t="s">
        <v>2309</v>
      </c>
      <c r="B106" s="2415"/>
      <c r="C106" s="2415"/>
      <c r="D106" s="2415"/>
      <c r="E106" s="2521" t="s">
        <v>2310</v>
      </c>
      <c r="F106" s="2257"/>
      <c r="G106" s="2518" t="s">
        <v>2305</v>
      </c>
      <c r="H106" s="1044">
        <f>C38</f>
        <v>0</v>
      </c>
      <c r="I106" s="138"/>
    </row>
    <row r="107" spans="1:35" ht="18.75" customHeight="1">
      <c r="A107" s="138"/>
      <c r="B107" s="138"/>
      <c r="C107" s="138"/>
      <c r="D107" s="138"/>
      <c r="E107" s="3131" t="str">
        <f>IF(项目基本情况!E8="已注销","——","3.房地产抵押价值")</f>
        <v>3.房地产抵押价值</v>
      </c>
      <c r="F107" s="3132"/>
      <c r="G107" s="2517" t="s">
        <v>2301</v>
      </c>
      <c r="H107" s="1043">
        <f ca="1">IF(E107="——","——",H101-H103)</f>
        <v>42677</v>
      </c>
      <c r="I107" s="138"/>
    </row>
    <row r="108" spans="1:35" ht="18.75" customHeight="1">
      <c r="A108" s="138"/>
      <c r="B108" s="138"/>
      <c r="C108" s="138"/>
      <c r="D108" s="138"/>
      <c r="E108" s="3131"/>
      <c r="F108" s="3132"/>
      <c r="G108" s="2517" t="s">
        <v>2303</v>
      </c>
      <c r="H108" s="371">
        <f ca="1">ROUND(H107*10000/'数据-汇总表'!E3,0)</f>
        <v>8463</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32"/>
      <c r="G109" s="2517" t="s">
        <v>2301</v>
      </c>
      <c r="H109" s="348" t="str">
        <f>IF(E109="——","——",H101-H105-H106)</f>
        <v>——</v>
      </c>
      <c r="I109" s="138"/>
    </row>
    <row r="110" spans="1:35" ht="18.75" customHeight="1">
      <c r="A110" s="138"/>
      <c r="B110" s="138"/>
      <c r="C110" s="138"/>
      <c r="D110" s="138"/>
      <c r="E110" s="3131"/>
      <c r="F110" s="3132"/>
      <c r="G110" s="2517" t="s">
        <v>2303</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7" t="s">
        <v>2301</v>
      </c>
      <c r="H111" s="1043" t="str">
        <f>IF(E111="——","——",N59)</f>
        <v>——</v>
      </c>
      <c r="I111" s="138"/>
    </row>
    <row r="112" spans="1:35" ht="18.75" customHeight="1" thickBot="1">
      <c r="A112" s="138"/>
      <c r="B112" s="138"/>
      <c r="C112" s="138"/>
      <c r="D112" s="138"/>
      <c r="E112" s="3168"/>
      <c r="F112" s="3169"/>
      <c r="G112" s="2522" t="s">
        <v>2303</v>
      </c>
      <c r="H112" s="790" t="str">
        <f>IF(E111="——","——",N61)</f>
        <v>——</v>
      </c>
      <c r="I112" s="138"/>
    </row>
    <row r="113" spans="1:11" ht="18.75" customHeight="1">
      <c r="A113" s="138"/>
      <c r="B113" s="138"/>
      <c r="C113" s="138"/>
      <c r="D113" s="138"/>
      <c r="E113" s="3136" t="s">
        <v>2309</v>
      </c>
      <c r="F113" s="3136"/>
      <c r="G113" s="3136"/>
      <c r="H113" s="3136"/>
      <c r="I113" s="138"/>
    </row>
    <row r="114" spans="1:11" ht="3.75" customHeight="1">
      <c r="A114" s="2415"/>
      <c r="B114" s="2415"/>
      <c r="C114" s="2415"/>
      <c r="D114" s="2415"/>
      <c r="E114" s="2493"/>
      <c r="F114" s="2493"/>
      <c r="G114" s="2493"/>
      <c r="H114" s="2493"/>
      <c r="I114" s="2415"/>
    </row>
    <row r="115" spans="1:11" ht="18.75" customHeight="1">
      <c r="A115" s="3149" t="s">
        <v>2311</v>
      </c>
      <c r="B115" s="3150"/>
      <c r="C115" s="3150"/>
      <c r="D115" s="3150"/>
      <c r="E115" s="3150"/>
      <c r="F115" s="3150"/>
      <c r="G115" s="3150"/>
      <c r="H115" s="3150"/>
      <c r="I115" s="3151"/>
    </row>
    <row r="116" spans="1:11" ht="27" customHeight="1">
      <c r="A116" s="3040" t="s">
        <v>2312</v>
      </c>
      <c r="B116" s="3137" t="s">
        <v>2313</v>
      </c>
      <c r="C116" s="3137" t="s">
        <v>2314</v>
      </c>
      <c r="D116" s="3153" t="s">
        <v>2315</v>
      </c>
      <c r="E116" s="3154"/>
      <c r="F116" s="3145" t="s">
        <v>2316</v>
      </c>
      <c r="G116" s="3145"/>
      <c r="H116" s="3040" t="s">
        <v>2317</v>
      </c>
      <c r="I116" s="3040"/>
    </row>
    <row r="117" spans="1:11" ht="18.75" customHeight="1">
      <c r="A117" s="3040"/>
      <c r="B117" s="3138"/>
      <c r="C117" s="3138"/>
      <c r="D117" s="1794" t="s">
        <v>2318</v>
      </c>
      <c r="E117" s="1794" t="s">
        <v>2319</v>
      </c>
      <c r="F117" s="1794" t="s">
        <v>2318</v>
      </c>
      <c r="G117" s="1794" t="s">
        <v>2320</v>
      </c>
      <c r="H117" s="1794" t="s">
        <v>2318</v>
      </c>
      <c r="I117" s="1794" t="s">
        <v>2320</v>
      </c>
    </row>
    <row r="118" spans="1:11" ht="24.75" customHeight="1">
      <c r="A118" s="2523" t="str">
        <f>项目基本情况!S2</f>
        <v>出让国有建设用地使用权及在建建筑物房地产</v>
      </c>
      <c r="B118" s="1794">
        <f>M18</f>
        <v>50425.270000000004</v>
      </c>
      <c r="C118" s="1794">
        <f>M19</f>
        <v>11435.33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42677</v>
      </c>
      <c r="I118" s="1794">
        <f ca="1">ROUND(IF(D32="楼面单价",C32,H118*10000/B118),0)</f>
        <v>8463</v>
      </c>
    </row>
    <row r="119" spans="1:11" ht="18.75" customHeight="1">
      <c r="A119" s="3040" t="s">
        <v>2321</v>
      </c>
      <c r="B119" s="3040"/>
      <c r="C119" s="3040"/>
      <c r="D119" s="3142" t="e">
        <f ca="1">NUMBERSTRING(INT(D118*10000),2)&amp;"元整"</f>
        <v>#REF!</v>
      </c>
      <c r="E119" s="3144"/>
      <c r="F119" s="3142" t="e">
        <f ca="1">NUMBERSTRING(INT(F118*10000),2)&amp;"元整"</f>
        <v>#REF!</v>
      </c>
      <c r="G119" s="3144"/>
      <c r="H119" s="3142" t="str">
        <f ca="1">NUMBERSTRING(INT(H118*10000),2)&amp;"元整"</f>
        <v>肆亿贰仟陆佰柒拾柒万元整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20" t="str">
        <f>IF(D120=0,"故，本次评估不存在"&amp;A120,"故，本次评估"&amp;A120&amp;"为人民币"&amp;D120&amp;"万元整。")</f>
        <v>故，本次评估不存在估价师知悉的法定优先受偿款</v>
      </c>
    </row>
    <row r="121" spans="1:11" ht="18.75" customHeight="1">
      <c r="A121" s="3146" t="s">
        <v>2321</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42677</v>
      </c>
      <c r="E122" s="3171"/>
      <c r="F122" s="3171"/>
      <c r="G122" s="3171"/>
      <c r="H122" s="3171"/>
      <c r="I122" s="3172"/>
    </row>
    <row r="123" spans="1:11" ht="18.75" customHeight="1">
      <c r="A123" s="3040" t="s">
        <v>2321</v>
      </c>
      <c r="B123" s="3040"/>
      <c r="C123" s="3040"/>
      <c r="D123" s="3142" t="str">
        <f ca="1">NUMBERSTRING(INT(D122*10000),2)&amp;"元整"</f>
        <v>肆亿贰仟陆佰柒拾柒万元整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0" t="s">
        <v>2321</v>
      </c>
      <c r="B125" s="3040"/>
      <c r="C125" s="3040"/>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0" t="s">
        <v>2321</v>
      </c>
      <c r="B127" s="3040"/>
      <c r="C127" s="3040"/>
      <c r="D127" s="3142" t="e">
        <f>NUMBERSTRING(INT(D126*10000),2)&amp;"元整"</f>
        <v>#VALUE!</v>
      </c>
      <c r="E127" s="3143"/>
      <c r="F127" s="3143"/>
      <c r="G127" s="3143"/>
      <c r="H127" s="3143"/>
      <c r="I127" s="3144"/>
    </row>
    <row r="128" spans="1:11" ht="21.75" customHeight="1">
      <c r="A128" s="3152" t="s">
        <v>2322</v>
      </c>
      <c r="B128" s="3152"/>
      <c r="C128" s="3152"/>
      <c r="D128" s="3152"/>
      <c r="E128" s="3152"/>
      <c r="F128" s="3152"/>
      <c r="G128" s="3152"/>
      <c r="H128" s="3152"/>
      <c r="I128" s="3152"/>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6" t="str">
        <f>项目基本情况!B1</f>
        <v>出让国有建设用地使用权及在建建筑物预评估</v>
      </c>
      <c r="C37" s="2996"/>
      <c r="D37" s="2996"/>
      <c r="E37" s="2996"/>
      <c r="F37" s="2996"/>
      <c r="G37" s="2996"/>
      <c r="H37" s="2996"/>
      <c r="I37" s="2996"/>
    </row>
    <row r="38" spans="1:9">
      <c r="A38" s="1014"/>
      <c r="B38" s="1014"/>
    </row>
    <row r="39" spans="1:9">
      <c r="A39" s="1012" t="s">
        <v>818</v>
      </c>
      <c r="B39" s="1012" t="s">
        <v>820</v>
      </c>
    </row>
    <row r="40" spans="1:9">
      <c r="A40" s="1012"/>
      <c r="B40" s="1941">
        <f>项目基本情况!B5</f>
        <v>0</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项目基本情况!K4</f>
        <v>（注册号：0)、（注册号：0)</v>
      </c>
    </row>
    <row r="47" spans="1:9">
      <c r="A47" s="1012"/>
      <c r="B47" s="1012" t="str">
        <f>项目基本情况!K5</f>
        <v/>
      </c>
    </row>
    <row r="48" spans="1:9">
      <c r="A48" s="1012" t="s">
        <v>818</v>
      </c>
      <c r="B48" s="1012" t="s">
        <v>824</v>
      </c>
    </row>
    <row r="49" spans="2:2">
      <c r="B49" s="1941" t="str">
        <f>"康正预评字"&amp;项目基本情况!B2&amp;"号"</f>
        <v>康正预评字2017-1-1100-P01DYGJ1号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6"/>
      <c r="C1" s="242"/>
      <c r="D1" s="242"/>
      <c r="E1" s="242"/>
      <c r="F1" s="242"/>
      <c r="G1" s="1377">
        <f>MATCH(B1,'数据-取费表'!A6:A16,0)+5</f>
        <v>8</v>
      </c>
    </row>
    <row r="2" spans="1:9" s="244" customFormat="1" ht="18" customHeight="1">
      <c r="A2" s="245" t="s">
        <v>2331</v>
      </c>
      <c r="B2" s="246">
        <f ca="1">IF(D2="——",C52,C52-E2)</f>
        <v>28316</v>
      </c>
      <c r="C2" s="243" t="s">
        <v>2332</v>
      </c>
      <c r="D2" s="2546" t="s">
        <v>70</v>
      </c>
      <c r="E2" s="1438"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5615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47" t="s">
        <v>2341</v>
      </c>
      <c r="B6" s="259" t="s">
        <v>2342</v>
      </c>
      <c r="C6" s="260"/>
      <c r="D6" s="261"/>
      <c r="E6" s="262"/>
      <c r="F6" s="262"/>
      <c r="G6" s="263"/>
    </row>
    <row r="7" spans="1:9" s="258" customFormat="1" ht="13.5" customHeight="1">
      <c r="A7" s="947" t="s">
        <v>2343</v>
      </c>
      <c r="B7" s="259" t="s">
        <v>2344</v>
      </c>
      <c r="C7" s="264">
        <f>ROUND(C6*F7,0)</f>
        <v>0</v>
      </c>
      <c r="D7" s="264"/>
      <c r="E7" s="262"/>
      <c r="F7" s="265">
        <f>'数据-取费表'!B48+'数据-取费表'!B49</f>
        <v>3.0499999999999999E-2</v>
      </c>
      <c r="G7" s="263"/>
    </row>
    <row r="8" spans="1:9" s="267" customFormat="1">
      <c r="A8" s="947" t="s">
        <v>2345</v>
      </c>
      <c r="B8" s="259" t="s">
        <v>2346</v>
      </c>
      <c r="C8" s="264">
        <f>IF(G8="已包含在土地购买价格中","0",IF(B1="",'数据-取费表'!B29,IF(G9="全部缴纳",C9+C10,H9)))</f>
        <v>0</v>
      </c>
      <c r="D8" s="266"/>
      <c r="E8" s="264"/>
      <c r="F8" s="265"/>
      <c r="G8" s="2549"/>
    </row>
    <row r="9" spans="1:9" s="258" customFormat="1" ht="13.5" customHeight="1">
      <c r="A9" s="948" t="s">
        <v>800</v>
      </c>
      <c r="B9" s="268" t="s">
        <v>2347</v>
      </c>
      <c r="C9" s="269">
        <f ca="1">ROUND(D9*E9/10000,0)</f>
        <v>0</v>
      </c>
      <c r="D9" s="1030">
        <f ca="1">IF(B1="",'数据-汇总表'!E5,IF(INDIRECT("'数据-取费表'!c"&amp;$G$1)="住宅",INDIRECT("'数据-取费表'!k"&amp;$G$1),0))</f>
        <v>0</v>
      </c>
      <c r="E9" s="269">
        <f>'数据-取费表'!B27</f>
        <v>0</v>
      </c>
      <c r="F9" s="265"/>
      <c r="G9" s="2550"/>
      <c r="H9" s="1388"/>
      <c r="I9" s="2551" t="s">
        <v>2348</v>
      </c>
    </row>
    <row r="10" spans="1:9" s="258" customFormat="1" ht="13.5" customHeight="1">
      <c r="A10" s="948" t="s">
        <v>801</v>
      </c>
      <c r="B10" s="268" t="s">
        <v>2349</v>
      </c>
      <c r="C10" s="269">
        <f ca="1">ROUND(D10*E10/10000,0)</f>
        <v>0</v>
      </c>
      <c r="D10" s="1030">
        <f ca="1">IF(B1="",'数据-汇总表'!E6,IF(INDIRECT("'数据-取费表'!c"&amp;$G$1)="住宅",INDIRECT("'数据-取费表'!s"&amp;$G$1),INDIRECT("'数据-取费表'!k"&amp;$G$1)+INDIRECT("'数据-取费表'!s"&amp;$G$1)))</f>
        <v>50425.270000000004</v>
      </c>
      <c r="E10" s="269">
        <f>'数据-取费表'!B28</f>
        <v>0</v>
      </c>
      <c r="F10" s="265"/>
      <c r="G10" s="270"/>
    </row>
    <row r="11" spans="1:9" s="258" customFormat="1" ht="13.5" hidden="1" customHeight="1">
      <c r="A11" s="271" t="s">
        <v>7</v>
      </c>
      <c r="B11" s="259" t="s">
        <v>2350</v>
      </c>
      <c r="C11" s="255"/>
      <c r="D11" s="1032"/>
      <c r="E11" s="262"/>
      <c r="F11" s="262"/>
      <c r="G11" s="263"/>
    </row>
    <row r="12" spans="1:9" s="258" customFormat="1" ht="13.5" hidden="1" customHeight="1">
      <c r="A12" s="271" t="s">
        <v>8</v>
      </c>
      <c r="B12" s="259" t="s">
        <v>2351</v>
      </c>
      <c r="C12" s="255">
        <v>0</v>
      </c>
      <c r="D12" s="1032"/>
      <c r="E12" s="272"/>
      <c r="F12" s="265">
        <v>3.0499999999999999E-2</v>
      </c>
      <c r="G12" s="263"/>
    </row>
    <row r="13" spans="1:9" s="258" customFormat="1" ht="13.5" hidden="1" customHeight="1">
      <c r="A13" s="271" t="s">
        <v>9</v>
      </c>
      <c r="B13" s="259" t="s">
        <v>2352</v>
      </c>
      <c r="C13" s="255"/>
      <c r="D13" s="1032"/>
      <c r="E13" s="262"/>
      <c r="F13" s="262"/>
      <c r="G13" s="263"/>
    </row>
    <row r="14" spans="1:9" s="258" customFormat="1" ht="13.5" hidden="1" customHeight="1">
      <c r="A14" s="271" t="s">
        <v>10</v>
      </c>
      <c r="B14" s="259" t="s">
        <v>2353</v>
      </c>
      <c r="C14" s="255"/>
      <c r="D14" s="1032"/>
      <c r="E14" s="262"/>
      <c r="F14" s="262"/>
      <c r="G14" s="263" t="s">
        <v>2354</v>
      </c>
    </row>
    <row r="15" spans="1:9" s="258" customFormat="1" ht="13.5" hidden="1" customHeight="1">
      <c r="A15" s="271" t="s">
        <v>11</v>
      </c>
      <c r="B15" s="259" t="s">
        <v>2355</v>
      </c>
      <c r="C15" s="264"/>
      <c r="D15" s="1032"/>
      <c r="E15" s="262"/>
      <c r="F15" s="262"/>
      <c r="G15" s="263" t="s">
        <v>2356</v>
      </c>
    </row>
    <row r="16" spans="1:9" s="258" customFormat="1" ht="13.5" hidden="1" customHeight="1">
      <c r="A16" s="271" t="s">
        <v>12</v>
      </c>
      <c r="B16" s="259" t="s">
        <v>2353</v>
      </c>
      <c r="C16" s="264"/>
      <c r="D16" s="1032"/>
      <c r="E16" s="262"/>
      <c r="F16" s="262"/>
      <c r="G16" s="263"/>
    </row>
    <row r="17" spans="1:7" s="258" customFormat="1" ht="13.5" hidden="1" customHeight="1">
      <c r="A17" s="271" t="s">
        <v>13</v>
      </c>
      <c r="B17" s="259" t="s">
        <v>2357</v>
      </c>
      <c r="C17" s="273"/>
      <c r="D17" s="1033"/>
      <c r="E17" s="273"/>
      <c r="F17" s="273"/>
      <c r="G17" s="263" t="s">
        <v>2356</v>
      </c>
    </row>
    <row r="18" spans="1:7" s="258" customFormat="1" ht="13.5" hidden="1" customHeight="1">
      <c r="A18" s="271" t="s">
        <v>14</v>
      </c>
      <c r="B18" s="259" t="s">
        <v>2358</v>
      </c>
      <c r="C18" s="264">
        <v>0</v>
      </c>
      <c r="D18" s="1032"/>
      <c r="E18" s="262"/>
      <c r="F18" s="265">
        <v>3.0499999999999999E-2</v>
      </c>
      <c r="G18" s="263" t="s">
        <v>2359</v>
      </c>
    </row>
    <row r="19" spans="1:7" s="267" customFormat="1" ht="13.5" customHeight="1">
      <c r="A19" s="299" t="s">
        <v>2360</v>
      </c>
      <c r="B19" s="254" t="s">
        <v>2361</v>
      </c>
      <c r="C19" s="255">
        <f ca="1">IF(G19="已包含在土地取得成本中","0",ROUND(D19*E19/10000,0))</f>
        <v>1009</v>
      </c>
      <c r="D19" s="1034">
        <f ca="1">D9+D10</f>
        <v>50425.270000000004</v>
      </c>
      <c r="E19" s="255">
        <f>'数据-取费表'!B31</f>
        <v>200</v>
      </c>
      <c r="F19" s="275"/>
      <c r="G19" s="2549"/>
    </row>
    <row r="20" spans="1:7" s="258" customFormat="1" ht="13.5" customHeight="1">
      <c r="A20" s="299" t="s">
        <v>2362</v>
      </c>
      <c r="B20" s="254" t="s">
        <v>2363</v>
      </c>
      <c r="C20" s="276">
        <f ca="1">ROUND((C5+C19)*F20,0)</f>
        <v>20</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2">
        <f ca="1">ROUND(SUM(C23:C25),0)</f>
        <v>99</v>
      </c>
      <c r="D22" s="279">
        <f ca="1">C26</f>
        <v>1E-3</v>
      </c>
      <c r="E22" s="280" t="s">
        <v>2367</v>
      </c>
      <c r="F22" s="281">
        <f ca="1">'数据-取费表'!B40</f>
        <v>4.7500000000000001E-2</v>
      </c>
      <c r="G22" s="278" t="str">
        <f>IF('数据-取费表'!B22&lt;=1,"单利计息","复利计息")</f>
        <v>复利计息</v>
      </c>
    </row>
    <row r="23" spans="1:7" s="258" customFormat="1" ht="13.5" customHeight="1">
      <c r="A23" s="949" t="s">
        <v>2371</v>
      </c>
      <c r="B23" s="259" t="s">
        <v>2372</v>
      </c>
      <c r="C23" s="1353">
        <f ca="1">ROUND(IF('数据-取费表'!B22&lt;=1,C5*F22*'数据-取费表'!B23,C5*(POWER((1+F22),'数据-取费表'!B23)-1)),0)</f>
        <v>0</v>
      </c>
      <c r="D23" s="282"/>
      <c r="E23" s="282"/>
      <c r="F23" s="283"/>
      <c r="G23" s="284" t="s">
        <v>2373</v>
      </c>
    </row>
    <row r="24" spans="1:7" s="258" customFormat="1" ht="13.5" customHeight="1">
      <c r="A24" s="949" t="s">
        <v>2374</v>
      </c>
      <c r="B24" s="259" t="s">
        <v>2375</v>
      </c>
      <c r="C24" s="1353">
        <f ca="1">ROUND(IF('数据-取费表'!B22&lt;=1,C19*F22*('数据-取费表'!B19/2+'数据-取费表'!B21),C19*(POWER((1+F22),('数据-取费表'!B19/2+'数据-取费表'!B21))-1)),0)</f>
        <v>98</v>
      </c>
      <c r="D24" s="282"/>
      <c r="E24" s="282"/>
      <c r="F24" s="283"/>
      <c r="G24" s="284" t="s">
        <v>2376</v>
      </c>
    </row>
    <row r="25" spans="1:7" s="258" customFormat="1" ht="24">
      <c r="A25" s="949" t="s">
        <v>2377</v>
      </c>
      <c r="B25" s="259" t="s">
        <v>2378</v>
      </c>
      <c r="C25" s="1353">
        <f ca="1">ROUND(IF('数据-取费表'!B22&lt;=1,C20*F22*'数据-取费表'!B23/2,C20*(POWER((1+F22),'数据-取费表'!B23/2)-1)),0)</f>
        <v>1</v>
      </c>
      <c r="D25" s="282"/>
      <c r="E25" s="285"/>
      <c r="F25" s="283"/>
      <c r="G25" s="286" t="s">
        <v>2379</v>
      </c>
    </row>
    <row r="26" spans="1:7" s="258" customFormat="1">
      <c r="A26" s="949"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185</v>
      </c>
      <c r="D27" s="279">
        <f ca="1">C29</f>
        <v>3.5999999999999999E-3</v>
      </c>
      <c r="E27" s="280" t="s">
        <v>2383</v>
      </c>
      <c r="F27" s="290">
        <f ca="1">IF(B1="",'数据-取费表'!Q16,INDIRECT("'数据-取费表'!q"&amp;$G$1))</f>
        <v>0.18</v>
      </c>
      <c r="G27" s="291" t="s">
        <v>2384</v>
      </c>
    </row>
    <row r="28" spans="1:7" s="258" customFormat="1" ht="13.5" customHeight="1">
      <c r="A28" s="949" t="s">
        <v>791</v>
      </c>
      <c r="B28" s="292" t="s">
        <v>2385</v>
      </c>
      <c r="C28" s="293">
        <f ca="1">ROUND((C5+C19+C20)*F27*'数据-取费表'!B21/'数据-取费表'!B20,0)</f>
        <v>185</v>
      </c>
      <c r="D28" s="279"/>
      <c r="E28" s="280"/>
      <c r="F28" s="290"/>
      <c r="G28" s="291"/>
    </row>
    <row r="29" spans="1:7" s="258" customFormat="1" ht="13.5" customHeight="1">
      <c r="A29" s="949" t="s">
        <v>792</v>
      </c>
      <c r="B29" s="292" t="s">
        <v>2386</v>
      </c>
      <c r="C29" s="282">
        <f ca="1">ROUND(C21*F27*'数据-取费表'!B21/'数据-取费表'!B20,4)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1424</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19805</v>
      </c>
      <c r="D33" s="276"/>
      <c r="E33" s="256"/>
      <c r="F33" s="285"/>
      <c r="G33" s="278"/>
    </row>
    <row r="34" spans="1:7" s="302" customFormat="1" ht="13.5" customHeight="1">
      <c r="A34" s="949" t="s">
        <v>791</v>
      </c>
      <c r="B34" s="259" t="s">
        <v>2394</v>
      </c>
      <c r="C34" s="264">
        <f ca="1">IF(B1="",IF(F34=100%,'数据-取费表'!M16,'数据-取费表'!O16),IF(F34=100%,INDIRECT("'数据-取费表'!m"&amp;$G$1)+INDIRECT("'数据-取费表'!t"&amp;$G$1),INDIRECT("'数据-取费表'!o"&amp;$G$1)+INDIRECT("'数据-取费表'!aq"&amp;$G$1)))</f>
        <v>17649</v>
      </c>
      <c r="D34" s="261"/>
      <c r="E34" s="264"/>
      <c r="F34" s="301">
        <f ca="1">IF('数据-取费表'!B24=0,1,IF(B1="",'数据-取费表'!N16,INDIRECT("'数据-取费表'!n"&amp;$G$1)))</f>
        <v>1</v>
      </c>
      <c r="G34" s="263" t="s">
        <v>2395</v>
      </c>
    </row>
    <row r="35" spans="1:7" ht="13.5" customHeight="1">
      <c r="A35" s="949" t="s">
        <v>796</v>
      </c>
      <c r="B35" s="259" t="s">
        <v>2396</v>
      </c>
      <c r="C35" s="264">
        <f ca="1">ROUND(C34*F35,0)</f>
        <v>882</v>
      </c>
      <c r="D35" s="264"/>
      <c r="E35" s="264"/>
      <c r="F35" s="303">
        <f>'数据-取费表'!B33</f>
        <v>0.05</v>
      </c>
      <c r="G35" s="263" t="s">
        <v>2397</v>
      </c>
    </row>
    <row r="36" spans="1:7" ht="24">
      <c r="A36" s="949"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49" t="s">
        <v>798</v>
      </c>
      <c r="B37" s="259" t="s">
        <v>2400</v>
      </c>
      <c r="C37" s="293">
        <f ca="1">ROUND(E37*D37*F34/10000,0)</f>
        <v>1009</v>
      </c>
      <c r="D37" s="261">
        <f ca="1">D19</f>
        <v>50425.270000000004</v>
      </c>
      <c r="E37" s="293">
        <f>'数据-取费表'!B35</f>
        <v>200</v>
      </c>
      <c r="F37" s="303"/>
      <c r="G37" s="305" t="s">
        <v>2401</v>
      </c>
    </row>
    <row r="38" spans="1:7" ht="13.5" customHeight="1">
      <c r="A38" s="949" t="s">
        <v>799</v>
      </c>
      <c r="B38" s="259" t="s">
        <v>2402</v>
      </c>
      <c r="C38" s="264">
        <f ca="1">ROUND(C34*F38,0)</f>
        <v>265</v>
      </c>
      <c r="D38" s="264"/>
      <c r="E38" s="264"/>
      <c r="F38" s="303">
        <f>'数据-取费表'!B36</f>
        <v>1.4999999999999999E-2</v>
      </c>
      <c r="G38" s="263" t="s">
        <v>2397</v>
      </c>
    </row>
    <row r="39" spans="1:7" s="258" customFormat="1" ht="13.5" customHeight="1">
      <c r="A39" s="299" t="s">
        <v>2403</v>
      </c>
      <c r="B39" s="254" t="s">
        <v>2404</v>
      </c>
      <c r="C39" s="276">
        <f ca="1">ROUND(C33*F20,0)</f>
        <v>396</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960</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ROUND(IF('数据-取费表'!B22&lt;=1,C33*F22*'数据-取费表'!B21/2,C33*(POWER((1+F22),'数据-取费表'!B21/2)-1)),0)</f>
        <v>941</v>
      </c>
      <c r="D42" s="282"/>
      <c r="E42" s="282"/>
      <c r="F42" s="283"/>
      <c r="G42" s="3184" t="s">
        <v>2413</v>
      </c>
    </row>
    <row r="43" spans="1:7" ht="13.5" customHeight="1">
      <c r="A43" s="949" t="s">
        <v>792</v>
      </c>
      <c r="B43" s="259" t="s">
        <v>2414</v>
      </c>
      <c r="C43" s="282">
        <f ca="1">ROUND(IF('数据-取费表'!B22&lt;=1,C39*F22*'数据-取费表'!B21/2,C39*(POWER((1+F22),'数据-取费表'!B21/2)-1)),0)</f>
        <v>19</v>
      </c>
      <c r="D43" s="282"/>
      <c r="E43" s="282"/>
      <c r="F43" s="283"/>
      <c r="G43" s="3185"/>
    </row>
    <row r="44" spans="1:7" ht="13.5" customHeight="1">
      <c r="A44" s="949" t="s">
        <v>793</v>
      </c>
      <c r="B44" s="259" t="s">
        <v>2415</v>
      </c>
      <c r="C44" s="282">
        <f ca="1">ROUND(IF('数据-取费表'!B22&lt;=1,C40*F22*'数据-取费表'!B21/2,C40*(POWER((1+F22),'数据-取费表'!B21/2)-1)),4)</f>
        <v>1E-3</v>
      </c>
      <c r="D44" s="282"/>
      <c r="E44" s="282"/>
      <c r="F44" s="283"/>
      <c r="G44" s="3186"/>
    </row>
    <row r="45" spans="1:7" s="258" customFormat="1" ht="13.5" customHeight="1">
      <c r="A45" s="299" t="s">
        <v>2416</v>
      </c>
      <c r="B45" s="288" t="s">
        <v>2382</v>
      </c>
      <c r="C45" s="289">
        <f ca="1">C46</f>
        <v>3636</v>
      </c>
      <c r="D45" s="279">
        <f ca="1">C47</f>
        <v>3.5999999999999999E-3</v>
      </c>
      <c r="E45" s="280" t="s">
        <v>2408</v>
      </c>
      <c r="F45" s="290"/>
      <c r="G45" s="291" t="s">
        <v>2417</v>
      </c>
    </row>
    <row r="46" spans="1:7" s="258" customFormat="1" ht="13.5" customHeight="1">
      <c r="A46" s="949" t="s">
        <v>791</v>
      </c>
      <c r="B46" s="292" t="s">
        <v>2418</v>
      </c>
      <c r="C46" s="293">
        <f ca="1">ROUND((C33+C39)*F27,0)</f>
        <v>3636</v>
      </c>
      <c r="D46" s="307"/>
      <c r="E46" s="280"/>
      <c r="F46" s="290"/>
      <c r="G46" s="291"/>
    </row>
    <row r="47" spans="1:7" s="258" customFormat="1" ht="13.5" customHeight="1">
      <c r="A47" s="949" t="s">
        <v>792</v>
      </c>
      <c r="B47" s="292" t="s">
        <v>2419</v>
      </c>
      <c r="C47" s="282">
        <f ca="1">ROUND(C40*F27,4)</f>
        <v>3.5999999999999999E-3</v>
      </c>
      <c r="D47" s="307"/>
      <c r="E47" s="280"/>
      <c r="F47" s="290"/>
      <c r="G47" s="291"/>
    </row>
    <row r="48" spans="1:7" s="258" customFormat="1" ht="13.5" customHeight="1">
      <c r="A48" s="299" t="s">
        <v>2381</v>
      </c>
      <c r="B48" s="254" t="s">
        <v>2420</v>
      </c>
      <c r="C48" s="1727">
        <f>ROUND(F30/(1+'数据-取费表'!C42),4)</f>
        <v>5.33E-2</v>
      </c>
      <c r="D48" s="280" t="s">
        <v>2408</v>
      </c>
      <c r="E48" s="276"/>
      <c r="F48" s="281"/>
      <c r="G48" s="278" t="s">
        <v>2421</v>
      </c>
    </row>
    <row r="49" spans="1:7" ht="16.5" customHeight="1">
      <c r="A49" s="299" t="s">
        <v>2387</v>
      </c>
      <c r="B49" s="254" t="s">
        <v>2422</v>
      </c>
      <c r="C49" s="276">
        <f ca="1">ROUND((C33+C39+C41+C45)/(1-C40-D41-D45-C48),0)</f>
        <v>26892</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26892</v>
      </c>
      <c r="D51" s="276"/>
      <c r="E51" s="276"/>
      <c r="F51" s="308"/>
      <c r="G51" s="278" t="s">
        <v>2429</v>
      </c>
    </row>
    <row r="52" spans="1:7" s="252" customFormat="1" ht="16.5" thickBot="1">
      <c r="A52" s="309" t="s">
        <v>2430</v>
      </c>
      <c r="B52" s="310"/>
      <c r="C52" s="311">
        <f ca="1">C31+C51</f>
        <v>28316</v>
      </c>
      <c r="D52" s="310"/>
      <c r="E52" s="310"/>
      <c r="F52" s="310"/>
      <c r="G52" s="312"/>
    </row>
    <row r="55" spans="1:7" ht="15">
      <c r="B55" s="314" t="s">
        <v>2431</v>
      </c>
      <c r="C55" s="315"/>
    </row>
    <row r="56" spans="1:7">
      <c r="B56" s="317" t="s">
        <v>1515</v>
      </c>
      <c r="C56" s="319">
        <f ca="1">1-C57</f>
        <v>5.0000000000000044E-2</v>
      </c>
    </row>
    <row r="57" spans="1:7">
      <c r="B57" s="317" t="s">
        <v>1516</v>
      </c>
      <c r="C57" s="318">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6"/>
      <c r="C1" s="2552" t="s">
        <v>2432</v>
      </c>
      <c r="D1" s="242"/>
      <c r="E1" s="242"/>
      <c r="F1" s="242"/>
      <c r="G1" s="1377">
        <f>MATCH(B1,'数据-取费表'!A6:A16,0)+5</f>
        <v>8</v>
      </c>
      <c r="H1" s="1280" t="str">
        <f>IF(ISERROR(FIND("住宅",B1)),"非住宅","住宅")</f>
        <v>非住宅</v>
      </c>
    </row>
    <row r="2" spans="1:8" s="244" customFormat="1" ht="18" customHeight="1">
      <c r="A2" s="245" t="s">
        <v>2331</v>
      </c>
      <c r="B2" s="246">
        <f ca="1">ROUND(IF(D2="——",C52/10000,C52/10000-E2),0)</f>
        <v>28315</v>
      </c>
      <c r="C2" s="243" t="s">
        <v>2332</v>
      </c>
      <c r="D2" s="2546" t="s">
        <v>70</v>
      </c>
      <c r="E2" s="1438"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5615</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7" t="s">
        <v>2341</v>
      </c>
      <c r="B6" s="259" t="s">
        <v>2342</v>
      </c>
      <c r="C6" s="260"/>
      <c r="D6" s="261"/>
      <c r="E6" s="262"/>
      <c r="F6" s="262"/>
      <c r="G6" s="263"/>
    </row>
    <row r="7" spans="1:8" s="258" customFormat="1" ht="13.5" customHeight="1">
      <c r="A7" s="947" t="s">
        <v>2343</v>
      </c>
      <c r="B7" s="259" t="s">
        <v>2344</v>
      </c>
      <c r="C7" s="264">
        <f>ROUND(C6*F7,0)</f>
        <v>0</v>
      </c>
      <c r="D7" s="264"/>
      <c r="E7" s="262"/>
      <c r="F7" s="265">
        <f>'数据-取费表'!B48+'数据-取费表'!B49</f>
        <v>3.0499999999999999E-2</v>
      </c>
      <c r="G7" s="263"/>
    </row>
    <row r="8" spans="1:8" s="267" customFormat="1">
      <c r="A8" s="947" t="s">
        <v>2345</v>
      </c>
      <c r="B8" s="259" t="s">
        <v>2346</v>
      </c>
      <c r="C8" s="264">
        <f ca="1">IF(G8="已包含在土地购买价格中",0,C9+C10)</f>
        <v>0</v>
      </c>
      <c r="D8" s="266"/>
      <c r="E8" s="264"/>
      <c r="F8" s="265"/>
      <c r="G8" s="2549"/>
    </row>
    <row r="9" spans="1:8" s="258" customFormat="1" ht="13.5" customHeight="1">
      <c r="A9" s="948" t="s">
        <v>800</v>
      </c>
      <c r="B9" s="268" t="s">
        <v>2347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2349</v>
      </c>
      <c r="C10" s="269">
        <f ca="1">ROUND(D10*E10,0)</f>
        <v>0</v>
      </c>
      <c r="D10" s="1030">
        <f ca="1">IF(B1="",'数据-汇总表'!E6,IF(INDIRECT("'数据-取费表'!c"&amp;$G$1)="住宅",INDIRECT("'数据-取费表'!s"&amp;$G$1),INDIRECT("'数据-取费表'!k"&amp;$G$1)+INDIRECT("'数据-取费表'!s"&amp;$G$1)))</f>
        <v>50425.270000000004</v>
      </c>
      <c r="E10" s="269">
        <f>'数据-取费表'!B28</f>
        <v>0</v>
      </c>
      <c r="F10" s="265"/>
      <c r="G10" s="270"/>
    </row>
    <row r="11" spans="1:8" s="258" customFormat="1" ht="13.5" hidden="1" customHeight="1">
      <c r="A11" s="271" t="s">
        <v>7</v>
      </c>
      <c r="B11" s="259" t="s">
        <v>2350</v>
      </c>
      <c r="C11" s="255"/>
      <c r="D11" s="1032"/>
      <c r="E11" s="262"/>
      <c r="F11" s="262"/>
      <c r="G11" s="263"/>
    </row>
    <row r="12" spans="1:8" s="258" customFormat="1" ht="13.5" hidden="1" customHeight="1">
      <c r="A12" s="271" t="s">
        <v>8</v>
      </c>
      <c r="B12" s="259" t="s">
        <v>2433</v>
      </c>
      <c r="C12" s="255">
        <v>0</v>
      </c>
      <c r="D12" s="1032"/>
      <c r="E12" s="272"/>
      <c r="F12" s="265">
        <v>3.0499999999999999E-2</v>
      </c>
      <c r="G12" s="263"/>
    </row>
    <row r="13" spans="1:8" s="258" customFormat="1" ht="13.5" hidden="1" customHeight="1">
      <c r="A13" s="271" t="s">
        <v>9</v>
      </c>
      <c r="B13" s="259" t="s">
        <v>2434</v>
      </c>
      <c r="C13" s="255"/>
      <c r="D13" s="1032"/>
      <c r="E13" s="262"/>
      <c r="F13" s="262"/>
      <c r="G13" s="263"/>
    </row>
    <row r="14" spans="1:8" s="258" customFormat="1" ht="13.5" hidden="1" customHeight="1">
      <c r="A14" s="271" t="s">
        <v>10</v>
      </c>
      <c r="B14" s="259" t="s">
        <v>2346</v>
      </c>
      <c r="C14" s="255"/>
      <c r="D14" s="1032"/>
      <c r="E14" s="262"/>
      <c r="F14" s="262"/>
      <c r="G14" s="263" t="s">
        <v>2435</v>
      </c>
    </row>
    <row r="15" spans="1:8" s="258" customFormat="1" ht="13.5" hidden="1" customHeight="1">
      <c r="A15" s="271" t="s">
        <v>11</v>
      </c>
      <c r="B15" s="259" t="s">
        <v>2436</v>
      </c>
      <c r="C15" s="264"/>
      <c r="D15" s="1032"/>
      <c r="E15" s="262"/>
      <c r="F15" s="262"/>
      <c r="G15" s="263" t="s">
        <v>2437</v>
      </c>
    </row>
    <row r="16" spans="1:8" s="258" customFormat="1" ht="13.5" hidden="1" customHeight="1">
      <c r="A16" s="271" t="s">
        <v>12</v>
      </c>
      <c r="B16" s="259" t="s">
        <v>2346</v>
      </c>
      <c r="C16" s="264"/>
      <c r="D16" s="1032"/>
      <c r="E16" s="262"/>
      <c r="F16" s="262"/>
      <c r="G16" s="263"/>
    </row>
    <row r="17" spans="1:7" s="258" customFormat="1" ht="13.5" hidden="1" customHeight="1">
      <c r="A17" s="271" t="s">
        <v>13</v>
      </c>
      <c r="B17" s="259" t="s">
        <v>2438</v>
      </c>
      <c r="C17" s="273"/>
      <c r="D17" s="1033"/>
      <c r="E17" s="273"/>
      <c r="F17" s="273"/>
      <c r="G17" s="263" t="s">
        <v>2437</v>
      </c>
    </row>
    <row r="18" spans="1:7" s="258" customFormat="1" ht="13.5" hidden="1" customHeight="1">
      <c r="A18" s="271" t="s">
        <v>14</v>
      </c>
      <c r="B18" s="259" t="s">
        <v>2439</v>
      </c>
      <c r="C18" s="264">
        <v>0</v>
      </c>
      <c r="D18" s="1032"/>
      <c r="E18" s="262"/>
      <c r="F18" s="265">
        <v>3.0499999999999999E-2</v>
      </c>
      <c r="G18" s="263" t="s">
        <v>2440</v>
      </c>
    </row>
    <row r="19" spans="1:7" s="267" customFormat="1" ht="13.5" customHeight="1">
      <c r="A19" s="299" t="s">
        <v>2441</v>
      </c>
      <c r="B19" s="254" t="s">
        <v>2442</v>
      </c>
      <c r="C19" s="255">
        <f ca="1">IF(G19="已包含在土地取得成本中","0",ROUND(D19*E19,0))</f>
        <v>10085054</v>
      </c>
      <c r="D19" s="1034">
        <f ca="1">D9+D10</f>
        <v>50425.270000000004</v>
      </c>
      <c r="E19" s="255">
        <f>'数据-取费表'!B31</f>
        <v>200</v>
      </c>
      <c r="F19" s="275"/>
      <c r="G19" s="2549"/>
    </row>
    <row r="20" spans="1:7" s="258" customFormat="1" ht="13.5" customHeight="1">
      <c r="A20" s="299" t="s">
        <v>2443</v>
      </c>
      <c r="B20" s="254" t="s">
        <v>2444</v>
      </c>
      <c r="C20" s="276">
        <f ca="1">ROUND((C5+C19)*F20,0)</f>
        <v>201701</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8">
        <f ca="1">ROUND(SUM(C23:C25),0)</f>
        <v>990416</v>
      </c>
      <c r="D22" s="279">
        <f ca="1">C26</f>
        <v>1E-3</v>
      </c>
      <c r="E22" s="280" t="s">
        <v>2448</v>
      </c>
      <c r="F22" s="281">
        <f ca="1">'数据-取费表'!B40</f>
        <v>4.7500000000000001E-2</v>
      </c>
      <c r="G22" s="278" t="str">
        <f>IF('数据-取费表'!B22&lt;=1,"单利计息","复利计息")</f>
        <v>复利计息</v>
      </c>
    </row>
    <row r="23" spans="1:7" s="258" customFormat="1" ht="13.5" customHeight="1">
      <c r="A23" s="949" t="s">
        <v>2341</v>
      </c>
      <c r="B23" s="259" t="s">
        <v>2452</v>
      </c>
      <c r="C23" s="1379">
        <f ca="1">ROUND(IF('数据-取费表'!B22&lt;=1,C5*F22*'数据-取费表'!B22,C5*(POWER((1+F22),'数据-取费表'!B22)-1)),0)</f>
        <v>0</v>
      </c>
      <c r="D23" s="282"/>
      <c r="E23" s="282"/>
      <c r="F23" s="283"/>
      <c r="G23" s="284" t="s">
        <v>2453</v>
      </c>
    </row>
    <row r="24" spans="1:7" s="258" customFormat="1" ht="13.5" customHeight="1">
      <c r="A24" s="949" t="s">
        <v>2343</v>
      </c>
      <c r="B24" s="259" t="s">
        <v>2454</v>
      </c>
      <c r="C24" s="1379">
        <f ca="1">ROUND(IF('数据-取费表'!B22&lt;=1,C19*F22*('数据-取费表'!B19/2+'数据-取费表'!B20),C19*(POWER((1+F22),('数据-取费表'!B19/2+'数据-取费表'!B20))-1)),0)</f>
        <v>980835</v>
      </c>
      <c r="D24" s="282"/>
      <c r="E24" s="282"/>
      <c r="F24" s="283"/>
      <c r="G24" s="284" t="s">
        <v>2455</v>
      </c>
    </row>
    <row r="25" spans="1:7" s="258" customFormat="1" ht="24">
      <c r="A25" s="949" t="s">
        <v>2345</v>
      </c>
      <c r="B25" s="259" t="s">
        <v>2456</v>
      </c>
      <c r="C25" s="1379">
        <f ca="1">ROUND(IF('数据-取费表'!B22&lt;=1,C20*F22*'数据-取费表'!B22/2,C20*(POWER((1+F22),'数据-取费表'!B22/2)-1)),0)</f>
        <v>9581</v>
      </c>
      <c r="D25" s="282"/>
      <c r="E25" s="285"/>
      <c r="F25" s="283"/>
      <c r="G25" s="286" t="s">
        <v>2457</v>
      </c>
    </row>
    <row r="26" spans="1:7" s="258" customFormat="1">
      <c r="A26" s="949"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1851616</v>
      </c>
      <c r="D27" s="279">
        <f ca="1">C29</f>
        <v>3.5999999999999999E-3</v>
      </c>
      <c r="E27" s="280" t="s">
        <v>2383</v>
      </c>
      <c r="F27" s="290">
        <f ca="1">IF(B1="",'数据-取费表'!Q16,INDIRECT("'数据-取费表'!q"&amp;$G$1))</f>
        <v>0.18</v>
      </c>
      <c r="G27" s="291" t="s">
        <v>2384</v>
      </c>
    </row>
    <row r="28" spans="1:7" s="258" customFormat="1" ht="13.5" customHeight="1">
      <c r="A28" s="949" t="s">
        <v>791</v>
      </c>
      <c r="B28" s="292" t="s">
        <v>2385</v>
      </c>
      <c r="C28" s="293">
        <f ca="1">ROUND((C5+C19+C20)*F27,0)</f>
        <v>1851616</v>
      </c>
      <c r="D28" s="279"/>
      <c r="E28" s="280"/>
      <c r="F28" s="290"/>
      <c r="G28" s="291"/>
    </row>
    <row r="29" spans="1:7" s="258" customFormat="1" ht="13.5" customHeight="1">
      <c r="A29" s="949" t="s">
        <v>792</v>
      </c>
      <c r="B29" s="292" t="s">
        <v>2386</v>
      </c>
      <c r="C29" s="282">
        <f ca="1">ROUND(C21*F27,4)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14237921</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198045248</v>
      </c>
      <c r="D33" s="276"/>
      <c r="E33" s="256"/>
      <c r="F33" s="285"/>
      <c r="G33" s="278"/>
    </row>
    <row r="34" spans="1:7" s="302" customFormat="1" ht="13.5" customHeight="1">
      <c r="A34" s="949" t="s">
        <v>791</v>
      </c>
      <c r="B34" s="259" t="s">
        <v>2394</v>
      </c>
      <c r="C34" s="264">
        <f ca="1">ROUND(IF(B1="",SUMPRODUCT('数据-取费表'!K6:K14,'数据-取费表'!L6:L14),INDIRECT("'数据-取费表'!l"&amp;$G$1)*INDIRECT("'数据-取费表'!k"&amp;$G$1)+'数据-取费表'!L14*INDIRECT("'数据-取费表'!S"&amp;$G$1)),0)</f>
        <v>176488445</v>
      </c>
      <c r="D34" s="261"/>
      <c r="E34" s="264"/>
      <c r="F34" s="301"/>
      <c r="G34" s="263"/>
    </row>
    <row r="35" spans="1:7" ht="13.5" customHeight="1">
      <c r="A35" s="949" t="s">
        <v>796</v>
      </c>
      <c r="B35" s="259" t="s">
        <v>2396</v>
      </c>
      <c r="C35" s="264">
        <f ca="1">ROUND(C34*F35,0)</f>
        <v>8824422</v>
      </c>
      <c r="D35" s="264"/>
      <c r="E35" s="264"/>
      <c r="F35" s="303">
        <f>'数据-取费表'!B33</f>
        <v>0.05</v>
      </c>
      <c r="G35" s="263" t="s">
        <v>2397</v>
      </c>
    </row>
    <row r="36" spans="1:7" ht="24">
      <c r="A36" s="949"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49" t="s">
        <v>798</v>
      </c>
      <c r="B37" s="259" t="s">
        <v>2400</v>
      </c>
      <c r="C37" s="293">
        <f ca="1">ROUND(E37*D37,0)</f>
        <v>10085054</v>
      </c>
      <c r="D37" s="261">
        <f ca="1">D19</f>
        <v>50425.270000000004</v>
      </c>
      <c r="E37" s="293">
        <f>'数据-取费表'!B35</f>
        <v>200</v>
      </c>
      <c r="F37" s="303"/>
      <c r="G37" s="305"/>
    </row>
    <row r="38" spans="1:7" ht="13.5" customHeight="1">
      <c r="A38" s="949" t="s">
        <v>799</v>
      </c>
      <c r="B38" s="259" t="s">
        <v>2402</v>
      </c>
      <c r="C38" s="264">
        <f ca="1">ROUND(C34*F38,0)</f>
        <v>2647327</v>
      </c>
      <c r="D38" s="264"/>
      <c r="E38" s="264"/>
      <c r="F38" s="303">
        <f>'数据-取费表'!B36</f>
        <v>1.4999999999999999E-2</v>
      </c>
      <c r="G38" s="263" t="s">
        <v>2397</v>
      </c>
    </row>
    <row r="39" spans="1:7" s="258" customFormat="1" ht="13.5" customHeight="1">
      <c r="A39" s="299" t="s">
        <v>2403</v>
      </c>
      <c r="B39" s="254" t="s">
        <v>2404</v>
      </c>
      <c r="C39" s="276">
        <f ca="1">ROUND(C33*F20,0)</f>
        <v>3960905</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9595292</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ROUND(IF('数据-取费表'!B22&lt;=1,C33*F22*'数据-取费表'!B20/2,C33*(POWER((1+F22),'数据-取费表'!B20/2)-1)),0)</f>
        <v>9407149</v>
      </c>
      <c r="D42" s="282"/>
      <c r="E42" s="282"/>
      <c r="F42" s="283"/>
      <c r="G42" s="3184" t="s">
        <v>2460</v>
      </c>
    </row>
    <row r="43" spans="1:7" ht="13.5" customHeight="1">
      <c r="A43" s="949" t="s">
        <v>792</v>
      </c>
      <c r="B43" s="259" t="s">
        <v>2414</v>
      </c>
      <c r="C43" s="282">
        <f ca="1">ROUND(IF('数据-取费表'!B22&lt;=1,C39*F22*'数据-取费表'!B20/2,C39*(POWER((1+F22),'数据-取费表'!B20/2)-1)),0)</f>
        <v>188143</v>
      </c>
      <c r="D43" s="282"/>
      <c r="E43" s="282"/>
      <c r="F43" s="283"/>
      <c r="G43" s="3185"/>
    </row>
    <row r="44" spans="1:7" ht="13.5" customHeight="1">
      <c r="A44" s="949" t="s">
        <v>793</v>
      </c>
      <c r="B44" s="259" t="s">
        <v>2415</v>
      </c>
      <c r="C44" s="282">
        <f ca="1">ROUND(IF('数据-取费表'!B22&lt;=1,C40*F22*'数据-取费表'!B20/2,C40*(POWER((1+F22),'数据-取费表'!B20/2)-1)),4)</f>
        <v>1E-3</v>
      </c>
      <c r="D44" s="282"/>
      <c r="E44" s="282"/>
      <c r="F44" s="283"/>
      <c r="G44" s="3186"/>
    </row>
    <row r="45" spans="1:7" s="258" customFormat="1" ht="13.5" customHeight="1">
      <c r="A45" s="299" t="s">
        <v>2416</v>
      </c>
      <c r="B45" s="288" t="s">
        <v>2382</v>
      </c>
      <c r="C45" s="289">
        <f ca="1">C46</f>
        <v>36361108</v>
      </c>
      <c r="D45" s="279">
        <f ca="1">C47</f>
        <v>3.5999999999999999E-3</v>
      </c>
      <c r="E45" s="280" t="s">
        <v>2408</v>
      </c>
      <c r="F45" s="290"/>
      <c r="G45" s="291" t="s">
        <v>2417</v>
      </c>
    </row>
    <row r="46" spans="1:7" s="258" customFormat="1" ht="13.5" customHeight="1">
      <c r="A46" s="949" t="s">
        <v>791</v>
      </c>
      <c r="B46" s="292" t="s">
        <v>2418</v>
      </c>
      <c r="C46" s="293">
        <f ca="1">ROUND((C33+C39)*F27,0)</f>
        <v>36361108</v>
      </c>
      <c r="D46" s="307"/>
      <c r="E46" s="280"/>
      <c r="F46" s="290"/>
      <c r="G46" s="291"/>
    </row>
    <row r="47" spans="1:7" s="258" customFormat="1" ht="13.5" customHeight="1">
      <c r="A47" s="949" t="s">
        <v>792</v>
      </c>
      <c r="B47" s="292" t="s">
        <v>2419</v>
      </c>
      <c r="C47" s="282">
        <f ca="1">ROUND(C40*F27,4)</f>
        <v>3.5999999999999999E-3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268910696</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268910696</v>
      </c>
      <c r="D51" s="276"/>
      <c r="E51" s="276"/>
      <c r="F51" s="308"/>
      <c r="G51" s="278" t="s">
        <v>2429</v>
      </c>
    </row>
    <row r="52" spans="1:7" s="252" customFormat="1" ht="16.5" thickBot="1">
      <c r="A52" s="309" t="s">
        <v>2430</v>
      </c>
      <c r="B52" s="310"/>
      <c r="C52" s="311">
        <f ca="1">C31+C51</f>
        <v>283148617</v>
      </c>
      <c r="D52" s="310"/>
      <c r="E52" s="310"/>
      <c r="F52" s="310"/>
      <c r="G52" s="312"/>
    </row>
    <row r="55" spans="1:7" ht="15">
      <c r="B55" s="314" t="s">
        <v>2431</v>
      </c>
      <c r="C55" s="315"/>
    </row>
    <row r="56" spans="1:7">
      <c r="B56" s="317" t="s">
        <v>1515</v>
      </c>
      <c r="C56" s="319">
        <f ca="1">1-C57</f>
        <v>5.0000000000000044E-2</v>
      </c>
    </row>
    <row r="57" spans="1:7">
      <c r="B57" s="317" t="s">
        <v>1516</v>
      </c>
      <c r="C57" s="318">
        <f ca="1">ROUND(C51/C52,3)</f>
        <v>0.95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2463</v>
      </c>
      <c r="B1" s="1580"/>
      <c r="C1" s="1581"/>
      <c r="D1" s="1579"/>
      <c r="E1" s="320"/>
      <c r="F1" s="320"/>
      <c r="G1" s="1580"/>
      <c r="H1" s="320"/>
      <c r="I1" s="320"/>
      <c r="J1" s="320"/>
      <c r="K1" s="320">
        <f>MATCH(C1,'数据-取费表'!A6:A16,0)+5</f>
        <v>8</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4" customFormat="1" ht="16.5" customHeight="1">
      <c r="A4" s="951" t="s">
        <v>2466</v>
      </c>
      <c r="B4" s="952"/>
      <c r="C4" s="994">
        <f>SUM(C8:K8)</f>
        <v>0</v>
      </c>
      <c r="D4" s="952"/>
      <c r="E4" s="952"/>
      <c r="F4" s="952"/>
      <c r="G4" s="952"/>
      <c r="H4" s="952"/>
      <c r="I4" s="952"/>
      <c r="J4" s="952"/>
      <c r="K4" s="953"/>
    </row>
    <row r="5" spans="1:33" s="958" customFormat="1" ht="24.75">
      <c r="A5" s="955" t="s">
        <v>2467</v>
      </c>
      <c r="B5" s="956" t="s">
        <v>2468</v>
      </c>
      <c r="C5" s="2553" t="s">
        <v>2469</v>
      </c>
      <c r="D5" s="2553" t="s">
        <v>2470</v>
      </c>
      <c r="E5" s="2553" t="s">
        <v>2471</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7609.71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2475</v>
      </c>
      <c r="B8" s="177" t="s">
        <v>2476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2477</v>
      </c>
      <c r="B9" s="952"/>
      <c r="C9" s="952"/>
      <c r="D9" s="952"/>
      <c r="E9" s="952"/>
      <c r="F9" s="952"/>
      <c r="G9" s="952"/>
      <c r="H9" s="952"/>
      <c r="I9" s="952"/>
      <c r="J9" s="952"/>
      <c r="K9" s="953"/>
    </row>
    <row r="10" spans="1:33" s="968" customFormat="1" ht="13.5" customHeight="1">
      <c r="A10" s="955" t="s">
        <v>2478</v>
      </c>
      <c r="B10" s="8" t="s">
        <v>2479</v>
      </c>
      <c r="C10" s="964" t="s">
        <v>2480</v>
      </c>
      <c r="D10" s="965" t="s">
        <v>2481</v>
      </c>
      <c r="E10" s="965" t="s">
        <v>2482</v>
      </c>
      <c r="F10" s="965" t="s">
        <v>2483</v>
      </c>
      <c r="G10" s="8"/>
      <c r="H10" s="966"/>
      <c r="I10" s="966"/>
      <c r="J10" s="966"/>
      <c r="K10" s="967"/>
    </row>
    <row r="11" spans="1:33" s="973" customFormat="1" ht="13.5" customHeight="1">
      <c r="A11" s="969" t="s">
        <v>1335</v>
      </c>
      <c r="B11" s="970" t="s">
        <v>2484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1336</v>
      </c>
      <c r="B12" s="970" t="s">
        <v>2485</v>
      </c>
      <c r="C12" s="24">
        <f ca="1">ROUND(C11*F12,0)</f>
        <v>0</v>
      </c>
      <c r="D12" s="971"/>
      <c r="E12" s="375"/>
      <c r="F12" s="974">
        <f>'数据-取费表'!B33</f>
        <v>0.05</v>
      </c>
      <c r="G12" s="8" t="s">
        <v>2486</v>
      </c>
      <c r="H12" s="966"/>
      <c r="I12" s="966"/>
      <c r="J12" s="966"/>
      <c r="K12" s="967"/>
    </row>
    <row r="13" spans="1:33" s="973" customFormat="1" ht="13.5" customHeight="1">
      <c r="A13" s="969" t="s">
        <v>1337</v>
      </c>
      <c r="B13" s="970" t="s">
        <v>2487</v>
      </c>
      <c r="C13" s="24">
        <f ca="1">ROUND(IF(C1="",SUMIF('数据-取费表'!C:C,"住宅",'数据-取费表'!P:P)*F13,IF(INDIRECT("'数据-取费表'!c"&amp;$K$1)="住宅",INDIRECT("'数据-取费表'!P"&amp;$K$1)*F13,0)),0)</f>
        <v>0</v>
      </c>
      <c r="D13" s="1031"/>
      <c r="E13" s="375"/>
      <c r="F13" s="974">
        <f>'数据-取费表'!B34</f>
        <v>0</v>
      </c>
      <c r="G13" s="8" t="s">
        <v>2488</v>
      </c>
      <c r="H13" s="966"/>
      <c r="I13" s="966"/>
      <c r="J13" s="966"/>
      <c r="K13" s="967"/>
    </row>
    <row r="14" spans="1:33" s="975" customFormat="1" ht="13.5" customHeight="1">
      <c r="A14" s="969" t="s">
        <v>1338</v>
      </c>
      <c r="B14" s="970" t="s">
        <v>2489</v>
      </c>
      <c r="C14" s="24">
        <f ca="1">ROUND(D14*E14*F11/10000,0)</f>
        <v>0</v>
      </c>
      <c r="D14" s="1031">
        <f ca="1">IF(C1="",'数据-汇总表'!E3,INDIRECT("'数据-取费表'!K"&amp;$K$1)+INDIRECT("'数据-取费表'!S"&amp;$K$1))</f>
        <v>50425.270000000004</v>
      </c>
      <c r="E14" s="24">
        <f>'数据-取费表'!B35</f>
        <v>200</v>
      </c>
      <c r="F14" s="974"/>
      <c r="G14" s="8" t="s">
        <v>2490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2491</v>
      </c>
      <c r="C15" s="981">
        <f ca="1">ROUND(C11*F15,0)</f>
        <v>0</v>
      </c>
      <c r="D15" s="976"/>
      <c r="E15" s="981"/>
      <c r="F15" s="982">
        <f>'数据-取费表'!B36</f>
        <v>1.4999999999999999E-2</v>
      </c>
      <c r="G15" s="140" t="s">
        <v>2492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2493</v>
      </c>
      <c r="C16" s="981">
        <f ca="1">SUM(C11:C15)</f>
        <v>0</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2494</v>
      </c>
      <c r="C17" s="24">
        <f ca="1">ROUND(D17*E17/10000,0)</f>
        <v>0</v>
      </c>
      <c r="D17" s="1031">
        <f ca="1">D14</f>
        <v>50425.270000000004</v>
      </c>
      <c r="E17" s="24">
        <f>'数据-取费表'!B32</f>
        <v>0</v>
      </c>
      <c r="F17" s="976"/>
      <c r="G17" s="140" t="s">
        <v>2495</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2496</v>
      </c>
      <c r="C18" s="24">
        <f ca="1">C19+C20-IF(C1="",'数据-取费表'!B29,IF(G18="已全部缴纳",C19+C20,H18))</f>
        <v>0</v>
      </c>
      <c r="D18" s="1031"/>
      <c r="E18" s="24"/>
      <c r="F18" s="974"/>
      <c r="G18" s="2555"/>
      <c r="H18" s="1576"/>
      <c r="I18" s="2556" t="s">
        <v>2497</v>
      </c>
      <c r="J18" s="977"/>
      <c r="K18" s="978"/>
    </row>
    <row r="19" spans="1:33" s="973" customFormat="1" ht="13.5" customHeight="1">
      <c r="A19" s="969" t="s">
        <v>805</v>
      </c>
      <c r="B19" s="970" t="s">
        <v>2498</v>
      </c>
      <c r="C19" s="24">
        <f ca="1">ROUND(D19*E19/10000,0)</f>
        <v>0</v>
      </c>
      <c r="D19" s="1031">
        <f ca="1">IF(C1="",'数据-汇总表'!E5,IF(INDIRECT("'数据-取费表'!c"&amp;$K$1)="住宅",INDIRECT("'数据-取费表'!k"&amp;$K$1),0))</f>
        <v>0</v>
      </c>
      <c r="E19" s="24">
        <f>'数据-取费表'!B27</f>
        <v>0</v>
      </c>
      <c r="F19" s="974"/>
      <c r="G19" s="15"/>
      <c r="H19" s="1578"/>
      <c r="I19" s="979"/>
      <c r="J19" s="979"/>
      <c r="K19" s="980"/>
    </row>
    <row r="20" spans="1:33" s="973" customFormat="1" ht="13.5" customHeight="1">
      <c r="A20" s="969" t="s">
        <v>806</v>
      </c>
      <c r="B20" s="970" t="s">
        <v>2499</v>
      </c>
      <c r="C20" s="24">
        <f ca="1">ROUND(D20*E20/10000,0)</f>
        <v>0</v>
      </c>
      <c r="D20" s="1031">
        <f ca="1">IF(C1="",'数据-汇总表'!E6,IF(INDIRECT("'数据-取费表'!c"&amp;$K$1)="住宅",INDIRECT("'数据-取费表'!s"&amp;$K$1),INDIRECT("'数据-取费表'!k"&amp;$K$1)+INDIRECT("'数据-取费表'!s"&amp;$K$1)))</f>
        <v>50425.270000000004</v>
      </c>
      <c r="E20" s="24">
        <f>'数据-取费表'!B28</f>
        <v>0</v>
      </c>
      <c r="F20" s="974"/>
      <c r="G20" s="15"/>
      <c r="H20" s="979"/>
      <c r="I20" s="979"/>
      <c r="J20" s="979"/>
      <c r="K20" s="980"/>
    </row>
    <row r="21" spans="1:33" s="973" customFormat="1" ht="13.5" customHeight="1">
      <c r="A21" s="959" t="s">
        <v>802</v>
      </c>
      <c r="B21" s="983" t="s">
        <v>2500</v>
      </c>
      <c r="C21" s="984">
        <f ca="1">C16+C17+C18</f>
        <v>0</v>
      </c>
      <c r="D21" s="985"/>
      <c r="E21" s="325"/>
      <c r="F21" s="325"/>
      <c r="G21" s="140" t="s">
        <v>2501</v>
      </c>
      <c r="H21" s="977"/>
      <c r="I21" s="977"/>
      <c r="J21" s="977"/>
      <c r="K21" s="978"/>
    </row>
    <row r="22" spans="1:33" s="973" customFormat="1" ht="13.5" customHeight="1">
      <c r="A22" s="959" t="s">
        <v>2473</v>
      </c>
      <c r="B22" s="983" t="s">
        <v>2502</v>
      </c>
      <c r="C22" s="984">
        <f ca="1">ROUND(C21*F22,0)</f>
        <v>0</v>
      </c>
      <c r="D22" s="325"/>
      <c r="E22" s="325"/>
      <c r="F22" s="986">
        <f>'数据-取费表'!B37</f>
        <v>0.02</v>
      </c>
      <c r="G22" s="8" t="s">
        <v>2503</v>
      </c>
      <c r="H22" s="966"/>
      <c r="I22" s="966"/>
      <c r="J22" s="966"/>
      <c r="K22" s="967"/>
    </row>
    <row r="23" spans="1:33" s="973" customFormat="1" ht="13.5" customHeight="1">
      <c r="A23" s="959" t="s">
        <v>2475</v>
      </c>
      <c r="B23" s="983" t="s">
        <v>2504</v>
      </c>
      <c r="C23" s="984">
        <f ca="1">ROUND(C4*F23*F11,0)</f>
        <v>0</v>
      </c>
      <c r="D23" s="325"/>
      <c r="E23" s="325"/>
      <c r="F23" s="986">
        <f>'数据-取费表'!B38</f>
        <v>0.02</v>
      </c>
      <c r="G23" s="8" t="s">
        <v>2505</v>
      </c>
      <c r="H23" s="966"/>
      <c r="I23" s="966"/>
      <c r="J23" s="966"/>
      <c r="K23" s="967"/>
    </row>
    <row r="24" spans="1:33" s="973" customFormat="1" ht="13.5" customHeight="1">
      <c r="A24" s="959" t="s">
        <v>2506</v>
      </c>
      <c r="B24" s="983" t="s">
        <v>2507</v>
      </c>
      <c r="C24" s="324">
        <f>ROUND(F24/(1+'数据-取费表'!C42),4)</f>
        <v>2.9000000000000001E-2</v>
      </c>
      <c r="D24" s="325" t="s">
        <v>15</v>
      </c>
      <c r="E24" s="325"/>
      <c r="F24" s="986">
        <f>'数据-取费表'!B48+'数据-取费表'!B49</f>
        <v>3.0499999999999999E-2</v>
      </c>
      <c r="G24" s="8" t="s">
        <v>2508</v>
      </c>
      <c r="H24" s="988"/>
      <c r="I24" s="988"/>
      <c r="J24" s="988"/>
      <c r="K24" s="989"/>
    </row>
    <row r="25" spans="1:33" s="973" customFormat="1" ht="13.5" customHeight="1">
      <c r="A25" s="959" t="s">
        <v>2509</v>
      </c>
      <c r="B25" s="985" t="s">
        <v>2510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2511</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2512</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2513</v>
      </c>
      <c r="B28" s="2558" t="s">
        <v>2514</v>
      </c>
      <c r="C28" s="331">
        <f ca="1">C30</f>
        <v>0</v>
      </c>
      <c r="D28" s="324">
        <f ca="1">C29</f>
        <v>0</v>
      </c>
      <c r="E28" s="326" t="s">
        <v>15</v>
      </c>
      <c r="F28" s="332">
        <f ca="1">IF(C1="",'数据-取费表'!Q16,INDIRECT("'数据-取费表'!q"&amp;$K$1))</f>
        <v>0.18</v>
      </c>
      <c r="G28" s="987"/>
      <c r="H28" s="988"/>
      <c r="I28" s="988"/>
      <c r="J28" s="988"/>
      <c r="K28" s="989"/>
    </row>
    <row r="29" spans="1:33" s="335" customFormat="1" ht="13.5" customHeight="1">
      <c r="A29" s="969" t="s">
        <v>803</v>
      </c>
      <c r="B29" s="992" t="s">
        <v>2515</v>
      </c>
      <c r="C29" s="328">
        <f ca="1">ROUND((1+C24)*F28*'数据-取费表'!B24/'数据-取费表'!B20,4)</f>
        <v>0</v>
      </c>
      <c r="D29" s="328"/>
      <c r="E29" s="329"/>
      <c r="F29" s="334"/>
      <c r="G29" s="140" t="s">
        <v>2516</v>
      </c>
      <c r="H29" s="977"/>
      <c r="I29" s="977"/>
      <c r="J29" s="977"/>
      <c r="K29" s="978"/>
    </row>
    <row r="30" spans="1:33" s="335" customFormat="1" ht="13.5" customHeight="1">
      <c r="A30" s="969" t="s">
        <v>804</v>
      </c>
      <c r="B30" s="992" t="s">
        <v>2517</v>
      </c>
      <c r="C30" s="336">
        <f ca="1">ROUND((C21+C22+C23)*F28,0)</f>
        <v>0</v>
      </c>
      <c r="D30" s="328"/>
      <c r="E30" s="329"/>
      <c r="F30" s="334"/>
      <c r="G30" s="140"/>
      <c r="H30" s="977"/>
      <c r="I30" s="977"/>
      <c r="J30" s="977"/>
      <c r="K30" s="978"/>
    </row>
    <row r="31" spans="1:33" s="973" customFormat="1" ht="13.5" customHeight="1" thickBot="1">
      <c r="A31" s="2559" t="s">
        <v>2518</v>
      </c>
      <c r="B31" s="1003" t="s">
        <v>2519</v>
      </c>
      <c r="C31" s="1004">
        <f>ROUND(C4*F31/(1+'数据-取费表'!C42),0)</f>
        <v>0</v>
      </c>
      <c r="D31" s="1005"/>
      <c r="E31" s="1006"/>
      <c r="F31" s="1007">
        <f>'数据-取费表'!B41</f>
        <v>5.6000000000000001E-2</v>
      </c>
      <c r="G31" s="1008" t="s">
        <v>2520</v>
      </c>
      <c r="H31" s="1009"/>
      <c r="I31" s="1009"/>
      <c r="J31" s="1009"/>
      <c r="K31" s="1010"/>
    </row>
    <row r="32" spans="1:33" s="968" customFormat="1" ht="13.5" customHeight="1" thickBot="1">
      <c r="A32" s="998" t="s">
        <v>2521</v>
      </c>
      <c r="B32" s="999"/>
      <c r="C32" s="1000">
        <f ca="1">ROUND((C4-C21-C22-C23-C25-C28-C31)/(1+C24+D25+D28),0)</f>
        <v>0</v>
      </c>
      <c r="D32" s="999"/>
      <c r="E32" s="999"/>
      <c r="F32" s="999"/>
      <c r="G32" s="1001" t="s">
        <v>2522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50425.270000000004</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5" t="s">
        <v>2540</v>
      </c>
      <c r="D4" s="3206"/>
      <c r="E4" s="3207" t="s">
        <v>2541</v>
      </c>
      <c r="F4" s="3208"/>
      <c r="G4" s="3205" t="s">
        <v>2542</v>
      </c>
      <c r="H4" s="3206"/>
      <c r="I4" s="3205" t="s">
        <v>2543</v>
      </c>
      <c r="J4" s="3206"/>
      <c r="K4" s="2595" t="s">
        <v>2544</v>
      </c>
      <c r="L4" s="1128"/>
      <c r="M4" s="1129"/>
      <c r="N4" s="1129"/>
      <c r="O4" s="1129"/>
      <c r="P4" s="3209" t="s">
        <v>2545</v>
      </c>
      <c r="Q4" s="3210"/>
      <c r="R4" s="3215" t="s">
        <v>2541</v>
      </c>
      <c r="S4" s="3216"/>
      <c r="T4" s="3215" t="s">
        <v>2542</v>
      </c>
      <c r="U4" s="3216"/>
      <c r="V4" s="3221" t="s">
        <v>2543</v>
      </c>
      <c r="W4" s="3221"/>
      <c r="X4" s="1812"/>
      <c r="Y4" s="3215" t="s">
        <v>2545</v>
      </c>
      <c r="Z4" s="3216"/>
      <c r="AA4" s="3202" t="s">
        <v>2541</v>
      </c>
      <c r="AB4" s="3202" t="s">
        <v>2542</v>
      </c>
      <c r="AC4" s="3202" t="s">
        <v>2543</v>
      </c>
    </row>
    <row r="5" spans="1:29" ht="15">
      <c r="A5" s="404"/>
      <c r="B5" s="405"/>
      <c r="C5" s="3224" t="s">
        <v>2546</v>
      </c>
      <c r="D5" s="3225"/>
      <c r="E5" s="3231" t="s">
        <v>2547</v>
      </c>
      <c r="F5" s="3232"/>
      <c r="G5" s="3224" t="s">
        <v>2548</v>
      </c>
      <c r="H5" s="3225"/>
      <c r="I5" s="3224" t="s">
        <v>2549</v>
      </c>
      <c r="J5" s="3225"/>
      <c r="K5" s="2596"/>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2596"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43444</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26" t="s">
        <v>2553</v>
      </c>
      <c r="Q7" s="3228"/>
      <c r="R7" s="770" t="s">
        <v>23</v>
      </c>
      <c r="S7" s="771">
        <f t="shared" ref="S7:S15" si="0">F7</f>
        <v>0</v>
      </c>
      <c r="T7" s="770" t="s">
        <v>23</v>
      </c>
      <c r="U7" s="771">
        <f t="shared" ref="U7:U15" si="1">H7</f>
        <v>0</v>
      </c>
      <c r="V7" s="770" t="s">
        <v>23</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2598" t="s">
        <v>3054</v>
      </c>
      <c r="F8" s="413">
        <f>SUMIF(61:61,E8,62:62)-SUMIF(61:61,C8,62:62)+100</f>
        <v>100</v>
      </c>
      <c r="G8" s="414" t="s">
        <v>3054</v>
      </c>
      <c r="H8" s="411">
        <f>SUMIF(61:61,G8,62:62)-SUMIF(61:61,C8,62:62)+100</f>
        <v>100</v>
      </c>
      <c r="I8" s="2598" t="s">
        <v>3054</v>
      </c>
      <c r="J8" s="411">
        <f>SUMIF(61:61,I8,62:62)-SUMIF(61:61,C8,62:62)+100</f>
        <v>100</v>
      </c>
      <c r="K8" s="2597"/>
      <c r="L8" s="1130"/>
      <c r="M8" s="1131"/>
      <c r="N8" s="1131"/>
      <c r="O8" s="1131"/>
      <c r="P8" s="3226" t="s">
        <v>2556</v>
      </c>
      <c r="Q8" s="3227"/>
      <c r="R8" s="770" t="s">
        <v>23</v>
      </c>
      <c r="S8" s="771">
        <f t="shared" si="0"/>
        <v>100</v>
      </c>
      <c r="T8" s="770" t="s">
        <v>23</v>
      </c>
      <c r="U8" s="771">
        <f t="shared" si="1"/>
        <v>100</v>
      </c>
      <c r="V8" s="770" t="s">
        <v>23</v>
      </c>
      <c r="W8" s="771">
        <f t="shared" si="2"/>
        <v>100</v>
      </c>
      <c r="X8" s="772"/>
      <c r="Y8" s="3226" t="s">
        <v>2556</v>
      </c>
      <c r="Z8" s="3227"/>
      <c r="AA8" s="773">
        <f t="shared" ref="AA8:AA19" si="3">D8/F8</f>
        <v>1</v>
      </c>
      <c r="AB8" s="773">
        <f t="shared" ref="AB8:AB19" si="4">D8/H8</f>
        <v>1</v>
      </c>
      <c r="AC8" s="773">
        <f t="shared" ref="AC8:AC19" si="5">D8/J8</f>
        <v>1</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01"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201"/>
      <c r="Q11" s="1794" t="str">
        <f t="shared" si="6"/>
        <v>容积率</v>
      </c>
      <c r="R11" s="770" t="s">
        <v>21</v>
      </c>
      <c r="S11" s="771">
        <f t="shared" si="0"/>
        <v>100</v>
      </c>
      <c r="T11" s="770" t="s">
        <v>21</v>
      </c>
      <c r="U11" s="771">
        <f t="shared" si="1"/>
        <v>100</v>
      </c>
      <c r="V11" s="770" t="s">
        <v>21</v>
      </c>
      <c r="W11" s="771">
        <f t="shared" si="2"/>
        <v>100</v>
      </c>
      <c r="X11" s="772"/>
      <c r="Y11" s="3040"/>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01"/>
      <c r="Q12" s="1794">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01"/>
      <c r="Q13" s="1794">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01"/>
      <c r="Q14" s="1794">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9" t="s">
        <v>2564</v>
      </c>
      <c r="Q15" s="1809" t="str">
        <f t="shared" si="6"/>
        <v>居住社区成熟度</v>
      </c>
      <c r="R15" s="774" t="s">
        <v>21</v>
      </c>
      <c r="S15" s="775">
        <f t="shared" si="0"/>
        <v>100</v>
      </c>
      <c r="T15" s="774" t="s">
        <v>21</v>
      </c>
      <c r="U15" s="775">
        <f t="shared" si="1"/>
        <v>100</v>
      </c>
      <c r="V15" s="774" t="s">
        <v>21</v>
      </c>
      <c r="W15" s="775">
        <f t="shared" si="2"/>
        <v>100</v>
      </c>
      <c r="X15" s="1812"/>
      <c r="Y15" s="3192" t="s">
        <v>2564</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8"/>
      <c r="M16" s="1129"/>
      <c r="N16" s="1129"/>
      <c r="O16" s="1129"/>
      <c r="P16" s="3200"/>
      <c r="Q16" s="1809"/>
      <c r="R16" s="774"/>
      <c r="S16" s="775"/>
      <c r="T16" s="774"/>
      <c r="U16" s="775"/>
      <c r="V16" s="774"/>
      <c r="W16" s="775"/>
      <c r="X16" s="1812"/>
      <c r="Y16" s="3193"/>
      <c r="Z16" s="1813"/>
      <c r="AA16" s="1810">
        <v>1</v>
      </c>
      <c r="AB16" s="1810">
        <v>1</v>
      </c>
      <c r="AC16" s="1810">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0"/>
      <c r="Q17" s="1809" t="str">
        <f>B17</f>
        <v>交通便捷度</v>
      </c>
      <c r="R17" s="774" t="s">
        <v>21</v>
      </c>
      <c r="S17" s="775">
        <f>F17</f>
        <v>100</v>
      </c>
      <c r="T17" s="774" t="s">
        <v>21</v>
      </c>
      <c r="U17" s="775">
        <f>H17</f>
        <v>100</v>
      </c>
      <c r="V17" s="774" t="s">
        <v>21</v>
      </c>
      <c r="W17" s="775">
        <f>J17</f>
        <v>100</v>
      </c>
      <c r="X17" s="1812"/>
      <c r="Y17" s="3193"/>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8"/>
      <c r="M18" s="1129"/>
      <c r="N18" s="1129"/>
      <c r="O18" s="1129"/>
      <c r="P18" s="3200"/>
      <c r="Q18" s="1809"/>
      <c r="R18" s="774"/>
      <c r="S18" s="775"/>
      <c r="T18" s="774"/>
      <c r="U18" s="775"/>
      <c r="V18" s="774"/>
      <c r="W18" s="775"/>
      <c r="X18" s="1812"/>
      <c r="Y18" s="3193"/>
      <c r="Z18" s="1813"/>
      <c r="AA18" s="1810">
        <v>1</v>
      </c>
      <c r="AB18" s="1810">
        <v>1</v>
      </c>
      <c r="AC18" s="1810">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0"/>
      <c r="Q19" s="1809" t="str">
        <f>B19</f>
        <v>公共配套设施</v>
      </c>
      <c r="R19" s="774" t="s">
        <v>21</v>
      </c>
      <c r="S19" s="775">
        <f>F19</f>
        <v>100</v>
      </c>
      <c r="T19" s="774" t="s">
        <v>21</v>
      </c>
      <c r="U19" s="775">
        <f>H19</f>
        <v>100</v>
      </c>
      <c r="V19" s="774" t="s">
        <v>21</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8"/>
      <c r="M20" s="1129"/>
      <c r="N20" s="1129"/>
      <c r="O20" s="1129"/>
      <c r="P20" s="3200"/>
      <c r="Q20" s="1809"/>
      <c r="R20" s="774"/>
      <c r="S20" s="775"/>
      <c r="T20" s="774"/>
      <c r="U20" s="775"/>
      <c r="V20" s="774"/>
      <c r="W20" s="775"/>
      <c r="X20" s="1812"/>
      <c r="Y20" s="3193"/>
      <c r="Z20" s="1813"/>
      <c r="AA20" s="1810">
        <v>1</v>
      </c>
      <c r="AB20" s="1810">
        <v>1</v>
      </c>
      <c r="AC20" s="1810">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0"/>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8"/>
      <c r="G22" s="2610"/>
      <c r="H22" s="448"/>
      <c r="I22" s="447"/>
      <c r="J22" s="448"/>
      <c r="K22" s="2611"/>
      <c r="L22" s="1138"/>
      <c r="M22" s="1129"/>
      <c r="N22" s="1129"/>
      <c r="O22" s="1129"/>
      <c r="P22" s="3200"/>
      <c r="Q22" s="1809"/>
      <c r="R22" s="774"/>
      <c r="S22" s="775"/>
      <c r="T22" s="774"/>
      <c r="U22" s="775"/>
      <c r="V22" s="774"/>
      <c r="W22" s="775"/>
      <c r="X22" s="1812"/>
      <c r="Y22" s="3193"/>
      <c r="Z22" s="1813"/>
      <c r="AA22" s="1810">
        <v>1</v>
      </c>
      <c r="AB22" s="1810">
        <v>1</v>
      </c>
      <c r="AC22" s="1810">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0"/>
      <c r="Q23" s="1809" t="str">
        <f>B23</f>
        <v>自然及人文环境</v>
      </c>
      <c r="R23" s="774" t="s">
        <v>21</v>
      </c>
      <c r="S23" s="775">
        <f>F23</f>
        <v>100</v>
      </c>
      <c r="T23" s="774" t="s">
        <v>21</v>
      </c>
      <c r="U23" s="775">
        <f>H23</f>
        <v>100</v>
      </c>
      <c r="V23" s="774" t="s">
        <v>21</v>
      </c>
      <c r="W23" s="775">
        <f>J23</f>
        <v>100</v>
      </c>
      <c r="X23" s="1812"/>
      <c r="Y23" s="3193"/>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8"/>
      <c r="M24" s="1129"/>
      <c r="N24" s="1129"/>
      <c r="O24" s="1129"/>
      <c r="P24" s="3200"/>
      <c r="Q24" s="1809"/>
      <c r="R24" s="774"/>
      <c r="S24" s="775"/>
      <c r="T24" s="774"/>
      <c r="U24" s="775"/>
      <c r="V24" s="774"/>
      <c r="W24" s="775"/>
      <c r="X24" s="1812"/>
      <c r="Y24" s="3193"/>
      <c r="Z24" s="1813"/>
      <c r="AA24" s="1810">
        <v>1</v>
      </c>
      <c r="AB24" s="1810">
        <v>1</v>
      </c>
      <c r="AC24" s="1810">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0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00"/>
      <c r="Q26" s="1809" t="str">
        <f t="shared" si="11"/>
        <v>朝向</v>
      </c>
      <c r="R26" s="774" t="s">
        <v>21</v>
      </c>
      <c r="S26" s="775">
        <f t="shared" si="12"/>
        <v>100</v>
      </c>
      <c r="T26" s="774" t="s">
        <v>21</v>
      </c>
      <c r="U26" s="775">
        <f t="shared" si="13"/>
        <v>100</v>
      </c>
      <c r="V26" s="774" t="s">
        <v>21</v>
      </c>
      <c r="W26" s="775">
        <f t="shared" si="14"/>
        <v>100</v>
      </c>
      <c r="X26" s="1812"/>
      <c r="Y26" s="3193"/>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00"/>
      <c r="Q27" s="1794">
        <f t="shared" si="11"/>
        <v>111</v>
      </c>
      <c r="R27" s="770" t="s">
        <v>21</v>
      </c>
      <c r="S27" s="771">
        <f t="shared" si="12"/>
        <v>100</v>
      </c>
      <c r="T27" s="770" t="s">
        <v>21</v>
      </c>
      <c r="U27" s="771">
        <f t="shared" si="13"/>
        <v>100</v>
      </c>
      <c r="V27" s="770" t="s">
        <v>21</v>
      </c>
      <c r="W27" s="771">
        <f t="shared" si="14"/>
        <v>100</v>
      </c>
      <c r="X27" s="772"/>
      <c r="Y27" s="3193"/>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00"/>
      <c r="Q28" s="1809">
        <f t="shared" si="11"/>
        <v>111</v>
      </c>
      <c r="R28" s="774" t="s">
        <v>21</v>
      </c>
      <c r="S28" s="775">
        <f t="shared" si="12"/>
        <v>100</v>
      </c>
      <c r="T28" s="774" t="s">
        <v>21</v>
      </c>
      <c r="U28" s="775">
        <f t="shared" si="13"/>
        <v>100</v>
      </c>
      <c r="V28" s="774" t="s">
        <v>21</v>
      </c>
      <c r="W28" s="775">
        <f t="shared" si="14"/>
        <v>100</v>
      </c>
      <c r="X28" s="1812"/>
      <c r="Y28" s="3193"/>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00"/>
      <c r="Q29" s="1809">
        <f t="shared" si="11"/>
        <v>111</v>
      </c>
      <c r="R29" s="774" t="s">
        <v>21</v>
      </c>
      <c r="S29" s="775">
        <f t="shared" si="12"/>
        <v>100</v>
      </c>
      <c r="T29" s="774" t="s">
        <v>21</v>
      </c>
      <c r="U29" s="775">
        <f t="shared" si="13"/>
        <v>100</v>
      </c>
      <c r="V29" s="774" t="s">
        <v>21</v>
      </c>
      <c r="W29" s="775">
        <f t="shared" si="14"/>
        <v>100</v>
      </c>
      <c r="X29" s="1812"/>
      <c r="Y29" s="3193"/>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00"/>
      <c r="Q30" s="1809">
        <f t="shared" si="11"/>
        <v>111</v>
      </c>
      <c r="R30" s="774" t="s">
        <v>21</v>
      </c>
      <c r="S30" s="775">
        <f t="shared" si="12"/>
        <v>100</v>
      </c>
      <c r="T30" s="774" t="s">
        <v>21</v>
      </c>
      <c r="U30" s="775">
        <f t="shared" si="13"/>
        <v>100</v>
      </c>
      <c r="V30" s="774" t="s">
        <v>21</v>
      </c>
      <c r="W30" s="775">
        <f t="shared" si="14"/>
        <v>100</v>
      </c>
      <c r="X30" s="1812"/>
      <c r="Y30" s="3193"/>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00"/>
      <c r="Q31" s="1809">
        <f t="shared" si="11"/>
        <v>111</v>
      </c>
      <c r="R31" s="774" t="s">
        <v>21</v>
      </c>
      <c r="S31" s="775">
        <f t="shared" si="12"/>
        <v>100</v>
      </c>
      <c r="T31" s="774" t="s">
        <v>21</v>
      </c>
      <c r="U31" s="775">
        <f t="shared" si="13"/>
        <v>100</v>
      </c>
      <c r="V31" s="774" t="s">
        <v>21</v>
      </c>
      <c r="W31" s="775">
        <f t="shared" si="14"/>
        <v>100</v>
      </c>
      <c r="X31" s="1812"/>
      <c r="Y31" s="3193"/>
      <c r="Z31" s="1813">
        <f t="shared" si="18"/>
        <v>111</v>
      </c>
      <c r="AA31" s="1810">
        <f t="shared" si="15"/>
        <v>1</v>
      </c>
      <c r="AB31" s="1810">
        <f t="shared" si="16"/>
        <v>1</v>
      </c>
      <c r="AC31" s="1810">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194" t="s">
        <v>2569</v>
      </c>
      <c r="Q32" s="1809" t="str">
        <f t="shared" si="11"/>
        <v>建筑类型</v>
      </c>
      <c r="R32" s="774" t="s">
        <v>21</v>
      </c>
      <c r="S32" s="775">
        <f t="shared" si="12"/>
        <v>100</v>
      </c>
      <c r="T32" s="774" t="s">
        <v>21</v>
      </c>
      <c r="U32" s="775">
        <f t="shared" si="13"/>
        <v>100</v>
      </c>
      <c r="V32" s="774" t="s">
        <v>21</v>
      </c>
      <c r="W32" s="775">
        <f t="shared" si="14"/>
        <v>100</v>
      </c>
      <c r="X32" s="1812"/>
      <c r="Y32" s="3197" t="s">
        <v>2569</v>
      </c>
      <c r="Z32" s="1813" t="str">
        <f t="shared" si="18"/>
        <v>建筑类型</v>
      </c>
      <c r="AA32" s="1810">
        <f t="shared" si="15"/>
        <v>1</v>
      </c>
      <c r="AB32" s="1810">
        <f t="shared" si="16"/>
        <v>1</v>
      </c>
      <c r="AC32" s="1810">
        <f t="shared" si="17"/>
        <v>1</v>
      </c>
    </row>
    <row r="33" spans="1:29" s="471" customFormat="1" ht="15">
      <c r="A33" s="468"/>
      <c r="B33" s="422" t="s">
        <v>2570</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6"/>
      <c r="M33" s="1139"/>
      <c r="N33" s="1139"/>
      <c r="O33" s="1139"/>
      <c r="P33" s="3195"/>
      <c r="Q33" s="776" t="str">
        <f t="shared" si="11"/>
        <v>项目建筑规模</v>
      </c>
      <c r="R33" s="777" t="s">
        <v>21</v>
      </c>
      <c r="S33" s="778">
        <f t="shared" si="12"/>
        <v>100</v>
      </c>
      <c r="T33" s="777" t="s">
        <v>21</v>
      </c>
      <c r="U33" s="778">
        <f t="shared" si="13"/>
        <v>100</v>
      </c>
      <c r="V33" s="777" t="s">
        <v>21</v>
      </c>
      <c r="W33" s="778">
        <f t="shared" si="14"/>
        <v>100</v>
      </c>
      <c r="X33" s="779"/>
      <c r="Y33" s="3197"/>
      <c r="Z33" s="780" t="str">
        <f t="shared" si="18"/>
        <v>项目建筑规模</v>
      </c>
      <c r="AA33" s="1810">
        <f t="shared" si="15"/>
        <v>1</v>
      </c>
      <c r="AB33" s="1810">
        <f t="shared" si="16"/>
        <v>1</v>
      </c>
      <c r="AC33" s="1810">
        <f t="shared" si="17"/>
        <v>1</v>
      </c>
    </row>
    <row r="34" spans="1:29" ht="15">
      <c r="A34" s="472"/>
      <c r="B34" s="422"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195"/>
      <c r="Q34" s="1809" t="str">
        <f t="shared" si="11"/>
        <v>建筑结构</v>
      </c>
      <c r="R34" s="774" t="s">
        <v>21</v>
      </c>
      <c r="S34" s="775">
        <f t="shared" si="12"/>
        <v>100</v>
      </c>
      <c r="T34" s="774" t="s">
        <v>21</v>
      </c>
      <c r="U34" s="775">
        <f t="shared" si="13"/>
        <v>100</v>
      </c>
      <c r="V34" s="774" t="s">
        <v>21</v>
      </c>
      <c r="W34" s="775">
        <f t="shared" si="14"/>
        <v>100</v>
      </c>
      <c r="X34" s="1812"/>
      <c r="Y34" s="3197"/>
      <c r="Z34" s="1813" t="str">
        <f t="shared" si="18"/>
        <v>建筑结构</v>
      </c>
      <c r="AA34" s="1810">
        <f t="shared" si="15"/>
        <v>1</v>
      </c>
      <c r="AB34" s="1810">
        <f t="shared" si="16"/>
        <v>1</v>
      </c>
      <c r="AC34" s="1810">
        <f t="shared" si="17"/>
        <v>1</v>
      </c>
    </row>
    <row r="35" spans="1:29" ht="15">
      <c r="A35" s="472"/>
      <c r="B35" s="422"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195"/>
      <c r="Q35" s="1809" t="str">
        <f t="shared" si="11"/>
        <v>建筑品质</v>
      </c>
      <c r="R35" s="774" t="s">
        <v>21</v>
      </c>
      <c r="S35" s="775">
        <f t="shared" si="12"/>
        <v>100</v>
      </c>
      <c r="T35" s="774" t="s">
        <v>21</v>
      </c>
      <c r="U35" s="775">
        <f t="shared" si="13"/>
        <v>100</v>
      </c>
      <c r="V35" s="774" t="s">
        <v>21</v>
      </c>
      <c r="W35" s="775">
        <f t="shared" si="14"/>
        <v>100</v>
      </c>
      <c r="X35" s="1812"/>
      <c r="Y35" s="3197"/>
      <c r="Z35" s="1813" t="str">
        <f t="shared" si="18"/>
        <v>建筑品质</v>
      </c>
      <c r="AA35" s="1810">
        <f t="shared" si="15"/>
        <v>1</v>
      </c>
      <c r="AB35" s="1810">
        <f t="shared" si="16"/>
        <v>1</v>
      </c>
      <c r="AC35" s="1810">
        <f t="shared" si="17"/>
        <v>1</v>
      </c>
    </row>
    <row r="36" spans="1:29" ht="15">
      <c r="A36" s="472"/>
      <c r="B36" s="422"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195"/>
      <c r="Q36" s="1809" t="str">
        <f t="shared" si="11"/>
        <v>公共部分装修</v>
      </c>
      <c r="R36" s="774" t="s">
        <v>21</v>
      </c>
      <c r="S36" s="775">
        <f t="shared" si="12"/>
        <v>100</v>
      </c>
      <c r="T36" s="774" t="s">
        <v>21</v>
      </c>
      <c r="U36" s="775">
        <f t="shared" si="13"/>
        <v>100</v>
      </c>
      <c r="V36" s="774" t="s">
        <v>21</v>
      </c>
      <c r="W36" s="775">
        <f t="shared" si="14"/>
        <v>100</v>
      </c>
      <c r="X36" s="1812"/>
      <c r="Y36" s="3197"/>
      <c r="Z36" s="1813" t="str">
        <f t="shared" si="18"/>
        <v>公共部分装修</v>
      </c>
      <c r="AA36" s="1810">
        <f t="shared" si="15"/>
        <v>1</v>
      </c>
      <c r="AB36" s="1810">
        <f t="shared" si="16"/>
        <v>1</v>
      </c>
      <c r="AC36" s="1810">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5"/>
      <c r="Q37" s="1794"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195" t="s">
        <v>2569</v>
      </c>
      <c r="Q38" s="1809" t="str">
        <f t="shared" si="11"/>
        <v>物业管理</v>
      </c>
      <c r="R38" s="774" t="s">
        <v>21</v>
      </c>
      <c r="S38" s="775">
        <f t="shared" si="12"/>
        <v>100</v>
      </c>
      <c r="T38" s="774" t="s">
        <v>21</v>
      </c>
      <c r="U38" s="775">
        <f t="shared" si="13"/>
        <v>100</v>
      </c>
      <c r="V38" s="774" t="s">
        <v>21</v>
      </c>
      <c r="W38" s="775">
        <f t="shared" si="14"/>
        <v>100</v>
      </c>
      <c r="X38" s="1812"/>
      <c r="Y38" s="3197" t="s">
        <v>2569</v>
      </c>
      <c r="Z38" s="1813" t="str">
        <f t="shared" si="18"/>
        <v>物业管理</v>
      </c>
      <c r="AA38" s="1810">
        <f t="shared" si="15"/>
        <v>1</v>
      </c>
      <c r="AB38" s="1810">
        <f t="shared" si="16"/>
        <v>1</v>
      </c>
      <c r="AC38" s="1810">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195"/>
      <c r="Q39" s="1809" t="str">
        <f t="shared" si="11"/>
        <v>市政基础设施</v>
      </c>
      <c r="R39" s="774" t="s">
        <v>21</v>
      </c>
      <c r="S39" s="775">
        <f t="shared" si="12"/>
        <v>100</v>
      </c>
      <c r="T39" s="774" t="s">
        <v>21</v>
      </c>
      <c r="U39" s="775">
        <f t="shared" si="13"/>
        <v>100</v>
      </c>
      <c r="V39" s="774" t="s">
        <v>21</v>
      </c>
      <c r="W39" s="775">
        <f t="shared" si="14"/>
        <v>100</v>
      </c>
      <c r="X39" s="1812"/>
      <c r="Y39" s="3197"/>
      <c r="Z39" s="1813" t="str">
        <f t="shared" si="18"/>
        <v>市政基础设施</v>
      </c>
      <c r="AA39" s="1810">
        <f t="shared" si="15"/>
        <v>1</v>
      </c>
      <c r="AB39" s="1810">
        <f t="shared" si="16"/>
        <v>1</v>
      </c>
      <c r="AC39" s="1810">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195"/>
      <c r="Q40" s="1809" t="str">
        <f t="shared" si="11"/>
        <v>房型</v>
      </c>
      <c r="R40" s="774" t="s">
        <v>21</v>
      </c>
      <c r="S40" s="775">
        <f t="shared" si="12"/>
        <v>100</v>
      </c>
      <c r="T40" s="774" t="s">
        <v>21</v>
      </c>
      <c r="U40" s="775">
        <f t="shared" si="13"/>
        <v>100</v>
      </c>
      <c r="V40" s="774" t="s">
        <v>21</v>
      </c>
      <c r="W40" s="775">
        <f t="shared" si="14"/>
        <v>100</v>
      </c>
      <c r="X40" s="1812"/>
      <c r="Y40" s="3197"/>
      <c r="Z40" s="1813" t="str">
        <f t="shared" si="18"/>
        <v>房型</v>
      </c>
      <c r="AA40" s="1810">
        <f t="shared" si="15"/>
        <v>1</v>
      </c>
      <c r="AB40" s="1810">
        <f t="shared" si="16"/>
        <v>1</v>
      </c>
      <c r="AC40" s="1810">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0">
        <f t="shared" si="15"/>
        <v>1</v>
      </c>
      <c r="AB41" s="1810">
        <f t="shared" si="16"/>
        <v>1</v>
      </c>
      <c r="AC41" s="1810">
        <f t="shared" si="17"/>
        <v>1</v>
      </c>
    </row>
    <row r="42" spans="1:29" ht="15">
      <c r="A42" s="472"/>
      <c r="B42" s="422"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195"/>
      <c r="Q42" s="1809" t="str">
        <f t="shared" si="11"/>
        <v>内部装修</v>
      </c>
      <c r="R42" s="774" t="s">
        <v>21</v>
      </c>
      <c r="S42" s="775">
        <f t="shared" si="12"/>
        <v>100</v>
      </c>
      <c r="T42" s="774" t="s">
        <v>21</v>
      </c>
      <c r="U42" s="775">
        <f t="shared" si="13"/>
        <v>100</v>
      </c>
      <c r="V42" s="774" t="s">
        <v>21</v>
      </c>
      <c r="W42" s="775">
        <f t="shared" si="14"/>
        <v>100</v>
      </c>
      <c r="X42" s="1812"/>
      <c r="Y42" s="3197"/>
      <c r="Z42" s="1813" t="str">
        <f t="shared" si="18"/>
        <v>内部装修</v>
      </c>
      <c r="AA42" s="1810">
        <f t="shared" si="15"/>
        <v>1</v>
      </c>
      <c r="AB42" s="1810">
        <f t="shared" si="16"/>
        <v>1</v>
      </c>
      <c r="AC42" s="1810">
        <f t="shared" si="17"/>
        <v>1</v>
      </c>
    </row>
    <row r="43" spans="1:29" ht="15">
      <c r="A43" s="472"/>
      <c r="B43" s="422"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195"/>
      <c r="Q43" s="1809" t="str">
        <f t="shared" si="11"/>
        <v>内部装修维护情况</v>
      </c>
      <c r="R43" s="774" t="s">
        <v>21</v>
      </c>
      <c r="S43" s="775">
        <f t="shared" si="12"/>
        <v>100</v>
      </c>
      <c r="T43" s="774" t="s">
        <v>21</v>
      </c>
      <c r="U43" s="775">
        <f t="shared" si="13"/>
        <v>100</v>
      </c>
      <c r="V43" s="774" t="s">
        <v>21</v>
      </c>
      <c r="W43" s="775">
        <f t="shared" si="14"/>
        <v>100</v>
      </c>
      <c r="X43" s="1812"/>
      <c r="Y43" s="3197"/>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195"/>
      <c r="Q44" s="1794">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195"/>
      <c r="Q45" s="1809">
        <f t="shared" si="11"/>
        <v>111</v>
      </c>
      <c r="R45" s="774" t="s">
        <v>21</v>
      </c>
      <c r="S45" s="775">
        <f t="shared" si="12"/>
        <v>100</v>
      </c>
      <c r="T45" s="774" t="s">
        <v>21</v>
      </c>
      <c r="U45" s="775">
        <f t="shared" si="13"/>
        <v>100</v>
      </c>
      <c r="V45" s="774" t="s">
        <v>21</v>
      </c>
      <c r="W45" s="775">
        <f t="shared" si="14"/>
        <v>100</v>
      </c>
      <c r="X45" s="1812"/>
      <c r="Y45" s="3197"/>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196"/>
      <c r="Q46" s="1809">
        <f t="shared" si="11"/>
        <v>111</v>
      </c>
      <c r="R46" s="774" t="s">
        <v>20</v>
      </c>
      <c r="S46" s="775">
        <f t="shared" si="12"/>
        <v>100</v>
      </c>
      <c r="T46" s="774" t="s">
        <v>20</v>
      </c>
      <c r="U46" s="775">
        <f t="shared" si="13"/>
        <v>100</v>
      </c>
      <c r="V46" s="774" t="s">
        <v>20</v>
      </c>
      <c r="W46" s="775">
        <f t="shared" si="14"/>
        <v>100</v>
      </c>
      <c r="X46" s="1812"/>
      <c r="Y46" s="3198"/>
      <c r="Z46" s="1813">
        <f t="shared" si="18"/>
        <v>111</v>
      </c>
      <c r="AA46" s="1810">
        <f t="shared" si="15"/>
        <v>1</v>
      </c>
      <c r="AB46" s="1810">
        <f t="shared" si="16"/>
        <v>1</v>
      </c>
      <c r="AC46" s="1810">
        <f t="shared" si="17"/>
        <v>1</v>
      </c>
    </row>
    <row r="47" spans="1:29" ht="15">
      <c r="A47" s="479" t="s">
        <v>2581</v>
      </c>
      <c r="B47" s="480"/>
      <c r="C47" s="1405" t="s">
        <v>19</v>
      </c>
      <c r="D47" s="1406"/>
      <c r="E47" s="1407"/>
      <c r="F47" s="1408"/>
      <c r="G47" s="1409"/>
      <c r="H47" s="1410"/>
      <c r="I47" s="1407"/>
      <c r="J47" s="1410"/>
      <c r="K47" s="2620"/>
      <c r="L47" s="1141"/>
      <c r="M47" s="1142"/>
      <c r="N47" s="1129"/>
      <c r="O47" s="1142"/>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v>0</v>
      </c>
      <c r="D68" s="549">
        <v>1</v>
      </c>
      <c r="E68" s="549">
        <v>2</v>
      </c>
      <c r="F68" s="549">
        <v>3</v>
      </c>
      <c r="G68" s="549">
        <v>4</v>
      </c>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48</v>
      </c>
      <c r="D1" s="1819" t="s">
        <v>70</v>
      </c>
      <c r="E1" s="1820" t="s">
        <v>1388</v>
      </c>
      <c r="F1" s="1281">
        <f ca="1">J53</f>
        <v>14</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345</v>
      </c>
      <c r="C2" s="1844" t="s">
        <v>1518</v>
      </c>
      <c r="D2" s="1844"/>
      <c r="E2" s="1845"/>
      <c r="F2" s="1846"/>
      <c r="G2" s="1847"/>
      <c r="H2" s="1839"/>
      <c r="I2" s="1839"/>
      <c r="J2" s="1839"/>
      <c r="K2" s="1840"/>
      <c r="L2" s="1839"/>
      <c r="M2" s="1839"/>
    </row>
    <row r="3" spans="1:37" ht="18" customHeight="1" thickBot="1">
      <c r="A3" s="1848" t="s">
        <v>1519</v>
      </c>
      <c r="B3" s="1849">
        <f ca="1">IF(ISERROR(B2*10000/F43),0,ROUND(B2*10000/F43,0))</f>
        <v>453</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120</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120</v>
      </c>
      <c r="D6" s="164" t="s">
        <v>3040</v>
      </c>
      <c r="E6" s="347" t="s">
        <v>1406</v>
      </c>
      <c r="F6" s="348">
        <f ca="1">INDIRECT("'数据-取费表'!u"&amp;$G$1)</f>
        <v>500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50" t="s">
        <v>1407</v>
      </c>
      <c r="F7" s="348">
        <f ca="1">IF(INDIRECT("'数据-取费表'!ah"&amp;$G$1)="",INDIRECT("'数据-取费表'!k"&amp;$G$1),INDIRECT("'数据-取费表'!ah"&amp;$G$1))</f>
        <v>251</v>
      </c>
      <c r="G7" s="1850"/>
      <c r="H7" s="349"/>
      <c r="I7" s="3234"/>
      <c r="J7" s="351"/>
      <c r="K7" s="352"/>
      <c r="L7" s="347" t="s">
        <v>1407</v>
      </c>
      <c r="M7" s="348">
        <f ca="1">F7</f>
        <v>251</v>
      </c>
    </row>
    <row r="8" spans="1:37" ht="18" customHeight="1">
      <c r="A8" s="349"/>
      <c r="B8" s="3234"/>
      <c r="C8" s="351"/>
      <c r="D8" s="352"/>
      <c r="E8" s="347" t="s">
        <v>1408</v>
      </c>
      <c r="F8" s="348">
        <f ca="1">INDIRECT("'数据-取费表'!ai"&amp;$G$1)</f>
        <v>12</v>
      </c>
      <c r="G8" s="1850"/>
      <c r="H8" s="349"/>
      <c r="I8" s="3234"/>
      <c r="J8" s="351"/>
      <c r="K8" s="352"/>
      <c r="L8" s="347" t="s">
        <v>1408</v>
      </c>
      <c r="M8" s="348">
        <f ca="1">INDIRECT("'数据-取费表'!ai"&amp;$G$1)</f>
        <v>12</v>
      </c>
    </row>
    <row r="9" spans="1:37" ht="18" customHeight="1">
      <c r="A9" s="349"/>
      <c r="B9" s="3235"/>
      <c r="C9" s="351"/>
      <c r="D9" s="352"/>
      <c r="E9" s="347" t="s">
        <v>1409</v>
      </c>
      <c r="F9" s="357">
        <f ca="1">INDIRECT("'数据-取费表'!w"&amp;$G$1)</f>
        <v>0.2</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3093</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4065</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2860</v>
      </c>
      <c r="D14" s="2953" t="s">
        <v>1420</v>
      </c>
      <c r="E14" s="2952"/>
      <c r="F14" s="364"/>
      <c r="G14" s="1850"/>
      <c r="H14" s="1199" t="s">
        <v>1035</v>
      </c>
      <c r="I14" s="347" t="s">
        <v>1421</v>
      </c>
      <c r="J14" s="24">
        <f ca="1">C29</f>
        <v>4065</v>
      </c>
      <c r="K14" s="2949"/>
      <c r="L14" s="977"/>
      <c r="M14" s="978"/>
    </row>
    <row r="15" spans="1:37" s="1857" customFormat="1" ht="18" customHeight="1" thickBot="1">
      <c r="A15" s="1199" t="s">
        <v>1036</v>
      </c>
      <c r="B15" s="347" t="s">
        <v>1422</v>
      </c>
      <c r="C15" s="24">
        <f ca="1">ROUND(C14*F15,0)</f>
        <v>143</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95</v>
      </c>
      <c r="K16" s="1335" t="s">
        <v>1427</v>
      </c>
      <c r="L16" s="2955"/>
      <c r="M16" s="1292"/>
    </row>
    <row r="17" spans="1:37" s="1857" customFormat="1" ht="18" customHeight="1">
      <c r="A17" s="1199" t="s">
        <v>1391</v>
      </c>
      <c r="B17" s="347" t="s">
        <v>1428</v>
      </c>
      <c r="C17" s="24">
        <f ca="1">ROUND(F17*(F43+INDIRECT("'数据-取费表'!S"&amp;$G$1))/10000,0)</f>
        <v>163</v>
      </c>
      <c r="D17" s="347" t="s">
        <v>1429</v>
      </c>
      <c r="E17" s="347" t="s">
        <v>1430</v>
      </c>
      <c r="F17" s="26">
        <f>'数据-取费表'!B35</f>
        <v>200</v>
      </c>
      <c r="G17" s="1853"/>
      <c r="H17" s="1199" t="s">
        <v>1035</v>
      </c>
      <c r="I17" s="347" t="s">
        <v>1431</v>
      </c>
      <c r="J17" s="24">
        <f ca="1">ROUND(IF(项目基本情况!B11="自然人",J5*M17,J18+J19+J20),1)</f>
        <v>34.200000000000003</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43</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3209</v>
      </c>
      <c r="D19" s="140" t="s">
        <v>1438</v>
      </c>
      <c r="E19" s="2948"/>
      <c r="F19" s="26"/>
      <c r="G19" s="1850"/>
      <c r="H19" s="1199" t="s">
        <v>1036</v>
      </c>
      <c r="I19" s="347" t="s">
        <v>1439</v>
      </c>
      <c r="J19" s="24">
        <f ca="1">IF(K19="按租金收入计税",ROUND(J5*M19,2),ROUND(C29*M19*0.7,2))</f>
        <v>34.15</v>
      </c>
      <c r="K19" s="1827" t="s">
        <v>1440</v>
      </c>
      <c r="L19" s="347" t="s">
        <v>1424</v>
      </c>
      <c r="M19" s="367">
        <f>IF(K19="按租金收入计税",'数据-取费表'!B51,'数据-取费表'!B50)</f>
        <v>1.2E-2</v>
      </c>
    </row>
    <row r="20" spans="1:37" s="1857" customFormat="1" ht="18" customHeight="1">
      <c r="A20" s="1199" t="s">
        <v>1039</v>
      </c>
      <c r="B20" s="347" t="s">
        <v>1441</v>
      </c>
      <c r="C20" s="24">
        <f ca="1">ROUND(C19*F20,0)</f>
        <v>64</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1853.07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61</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155</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-95</v>
      </c>
      <c r="K25" s="1343" t="s">
        <v>1466</v>
      </c>
      <c r="L25" s="1344"/>
      <c r="M25" s="1345"/>
    </row>
    <row r="26" spans="1:37">
      <c r="A26" s="1199" t="s">
        <v>1034</v>
      </c>
      <c r="B26" s="347" t="s">
        <v>1467</v>
      </c>
      <c r="C26" s="24">
        <f ca="1">ROUND((C19+C20)*F26,0)</f>
        <v>327</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199" t="s">
        <v>1036</v>
      </c>
      <c r="B27" s="347" t="s">
        <v>1473</v>
      </c>
      <c r="C27" s="24">
        <f ca="1">ROUND(F21*F26,4)</f>
        <v>2E-3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4065</v>
      </c>
      <c r="D29" s="1340"/>
      <c r="E29" s="1338"/>
      <c r="F29" s="1341"/>
      <c r="G29" s="1853"/>
      <c r="H29" s="380" t="s">
        <v>1033</v>
      </c>
      <c r="I29" s="381" t="s">
        <v>1481</v>
      </c>
      <c r="J29" s="382">
        <f ca="1">ROUND(J26/(1+F40)^F41,0)</f>
        <v>0</v>
      </c>
      <c r="K29" s="383" t="s">
        <v>1482</v>
      </c>
      <c r="L29" s="384"/>
      <c r="M29" s="385">
        <f ca="1">INDIRECT("'数据-取费表'!k"&amp;$G$1)</f>
        <v>7609.71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89</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20.8</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6.4</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14.4</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1853.07</v>
      </c>
      <c r="G35" s="1850"/>
      <c r="H35" s="745"/>
      <c r="I35" s="1859"/>
      <c r="J35" s="1860"/>
      <c r="K35" s="1861"/>
      <c r="L35" s="1858"/>
      <c r="M35" s="1858"/>
    </row>
    <row r="36" spans="1:18" ht="18" customHeight="1">
      <c r="A36" s="1350" t="s">
        <v>1039</v>
      </c>
      <c r="B36" s="347" t="s">
        <v>1451</v>
      </c>
      <c r="C36" s="24">
        <f ca="1">ROUND(C29*F36,1)</f>
        <v>61</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6.1</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1.2</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31</v>
      </c>
      <c r="D39" s="1343" t="s">
        <v>1466</v>
      </c>
      <c r="E39" s="1344"/>
      <c r="F39" s="1345"/>
      <c r="G39" s="1850"/>
      <c r="H39" s="1858"/>
      <c r="I39" s="1859"/>
      <c r="J39" s="1860"/>
      <c r="K39" s="1864"/>
      <c r="L39" s="1858"/>
      <c r="M39" s="1858"/>
    </row>
    <row r="40" spans="1:18" ht="18" customHeight="1">
      <c r="A40" s="344" t="s">
        <v>1032</v>
      </c>
      <c r="B40" s="345" t="s">
        <v>1487</v>
      </c>
      <c r="C40" s="2989">
        <f ca="1">ROUND(H40/(1+F40)^H41,0)</f>
        <v>345</v>
      </c>
      <c r="D40" s="370" t="s">
        <v>1471</v>
      </c>
      <c r="E40" s="347" t="s">
        <v>1472</v>
      </c>
      <c r="F40" s="357">
        <f ca="1">INDIRECT("'数据-取费表'!I"&amp;$G$1)</f>
        <v>0.05</v>
      </c>
      <c r="G40" s="1850"/>
      <c r="H40" s="2987">
        <f ca="1">ROUND(C39*(1-((1+F42)/(1+F40))^F41)/(F40-F42),0)</f>
        <v>345</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14</v>
      </c>
      <c r="G41" s="1850"/>
      <c r="H41" s="2990">
        <v>0</v>
      </c>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453</v>
      </c>
      <c r="D43" s="383" t="s">
        <v>1490</v>
      </c>
      <c r="E43" s="384" t="s">
        <v>1491</v>
      </c>
      <c r="F43" s="385">
        <f ca="1">INDIRECT("'数据-取费表'!k"&amp;$G$1)</f>
        <v>7609.71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-4394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345</v>
      </c>
      <c r="R47" s="1885" t="s">
        <v>1531</v>
      </c>
    </row>
    <row r="48" spans="1:18" s="1841" customFormat="1" ht="28.5" thickBot="1">
      <c r="A48" s="1358" t="s">
        <v>1135</v>
      </c>
      <c r="B48" s="345" t="s">
        <v>1402</v>
      </c>
      <c r="C48" s="2947">
        <f ca="1">C49+C53+C55</f>
        <v>0</v>
      </c>
      <c r="D48" s="1360"/>
      <c r="E48" s="1361"/>
      <c r="F48" s="1179"/>
      <c r="G48" s="792"/>
      <c r="H48" s="793"/>
      <c r="I48" s="1886" t="s">
        <v>1532</v>
      </c>
      <c r="J48" s="1887" t="s">
        <v>3096</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4065</v>
      </c>
      <c r="R49" s="1885" t="s">
        <v>1531</v>
      </c>
    </row>
    <row r="50" spans="1:18" s="1841" customFormat="1" ht="13.5" thickBot="1">
      <c r="A50" s="1193"/>
      <c r="B50" s="1196"/>
      <c r="C50" s="1366"/>
      <c r="D50" s="1170"/>
      <c r="E50" s="1275" t="s">
        <v>1407</v>
      </c>
      <c r="F50" s="1276">
        <f ca="1">F7</f>
        <v>251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59</v>
      </c>
      <c r="K51" s="1899" t="s">
        <v>1543</v>
      </c>
      <c r="L51" s="1900">
        <f ca="1">ROUND(-PV(INDIRECT("'数据-取费表'!h"&amp;$G$1),L48,(C39-C13*C76),0),0)</f>
        <v>434</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345</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4065</v>
      </c>
      <c r="D56" s="1913"/>
      <c r="E56" s="1914"/>
      <c r="F56" s="1906"/>
      <c r="I56" s="1915" t="s">
        <v>1556</v>
      </c>
      <c r="J56" s="1916" t="s">
        <v>3048</v>
      </c>
      <c r="K56" s="1886" t="s">
        <v>1557</v>
      </c>
      <c r="L56" s="1889" t="str">
        <f ca="1">IF(L48&lt;J51,"——",L48-J53)</f>
        <v>——</v>
      </c>
      <c r="O56" s="1883" t="s">
        <v>1040</v>
      </c>
      <c r="P56" s="1884" t="s">
        <v>1530</v>
      </c>
      <c r="Q56" s="1885">
        <f ca="1">C40+J29</f>
        <v>345</v>
      </c>
      <c r="R56" s="1885" t="s">
        <v>1531</v>
      </c>
    </row>
    <row r="57" spans="1:18" s="1841" customFormat="1" ht="24.75" thickBot="1">
      <c r="A57" s="1917"/>
      <c r="B57" s="1167" t="s">
        <v>1480</v>
      </c>
      <c r="C57" s="282">
        <f ca="1">C29</f>
        <v>4065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409</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341.5</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341.46</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345</v>
      </c>
      <c r="R62" s="1885" t="s">
        <v>1047</v>
      </c>
    </row>
    <row r="63" spans="1:18" s="1841" customFormat="1" ht="13.5" thickBot="1">
      <c r="A63" s="372"/>
      <c r="B63" s="1173"/>
      <c r="C63" s="29"/>
      <c r="D63" s="1183"/>
      <c r="E63" s="1167" t="s">
        <v>1449</v>
      </c>
      <c r="F63" s="348">
        <f t="shared" ca="1" si="0"/>
        <v>1853.07</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61</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6.1</v>
      </c>
      <c r="D65" s="1181" t="s">
        <v>1456</v>
      </c>
      <c r="E65" s="1167" t="s">
        <v>1424</v>
      </c>
      <c r="F65" s="376">
        <f t="shared" ca="1" si="0"/>
        <v>1.5E-3</v>
      </c>
      <c r="I65" s="1928" t="s">
        <v>1581</v>
      </c>
      <c r="J65" s="1929">
        <v>40</v>
      </c>
      <c r="K65" s="1929">
        <v>30</v>
      </c>
      <c r="L65" s="1929">
        <v>50</v>
      </c>
      <c r="M65" s="1931">
        <v>0.02</v>
      </c>
      <c r="O65" s="1883" t="s">
        <v>1040</v>
      </c>
      <c r="P65" s="1884" t="s">
        <v>1530</v>
      </c>
      <c r="Q65" s="1885">
        <f ca="1">C40+J29</f>
        <v>345</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-409</v>
      </c>
      <c r="D67" s="1180" t="s">
        <v>1466</v>
      </c>
      <c r="E67" s="1185"/>
      <c r="F67" s="1186"/>
      <c r="O67" s="1893" t="s">
        <v>1042</v>
      </c>
      <c r="P67" s="1884" t="s">
        <v>1564</v>
      </c>
      <c r="Q67" s="1932">
        <f ca="1">L51</f>
        <v>434</v>
      </c>
      <c r="R67" s="1885" t="s">
        <v>1584</v>
      </c>
    </row>
    <row r="68" spans="1:18" s="1841" customFormat="1" ht="16.5" thickBot="1">
      <c r="A68" s="1164" t="s">
        <v>1032</v>
      </c>
      <c r="B68" s="1165" t="s">
        <v>1487</v>
      </c>
      <c r="C68" s="346">
        <f ca="1">ROUND(C67*(1-((1+F70)/(1+F68))^F69)/(F68-F70),0)</f>
        <v>-4049</v>
      </c>
      <c r="D68" s="1182" t="s">
        <v>1471</v>
      </c>
      <c r="E68" s="1167" t="s">
        <v>1472</v>
      </c>
      <c r="F68" s="357">
        <f ca="1">F40</f>
        <v>0.05</v>
      </c>
      <c r="O68" s="1893" t="s">
        <v>1043</v>
      </c>
      <c r="P68" s="1933" t="s">
        <v>1585</v>
      </c>
      <c r="Q68" s="1885">
        <f ca="1">ROUND(Q69-Q70*Q71,0)</f>
        <v>31</v>
      </c>
      <c r="R68" s="1885" t="s">
        <v>1051</v>
      </c>
    </row>
    <row r="69" spans="1:18" s="1841" customFormat="1" ht="13.5" thickBot="1">
      <c r="A69" s="1168"/>
      <c r="B69" s="1169"/>
      <c r="C69" s="351"/>
      <c r="D69" s="1187" t="s">
        <v>1475</v>
      </c>
      <c r="E69" s="1167" t="s">
        <v>1476</v>
      </c>
      <c r="F69" s="379">
        <f ca="1">F41</f>
        <v>14</v>
      </c>
      <c r="O69" s="1893" t="s">
        <v>1048</v>
      </c>
      <c r="P69" s="1933" t="s">
        <v>1586</v>
      </c>
      <c r="Q69" s="1885">
        <f ca="1">C39</f>
        <v>31</v>
      </c>
      <c r="R69" s="1885" t="s">
        <v>1531</v>
      </c>
    </row>
    <row r="70" spans="1:18" s="1841" customFormat="1" ht="13.5" thickBot="1">
      <c r="A70" s="1171"/>
      <c r="B70" s="1172"/>
      <c r="C70" s="355"/>
      <c r="D70" s="1183"/>
      <c r="E70" s="1167" t="s">
        <v>1479</v>
      </c>
      <c r="F70" s="1273"/>
      <c r="O70" s="1893" t="s">
        <v>1049</v>
      </c>
      <c r="P70" s="1933" t="s">
        <v>1587</v>
      </c>
      <c r="Q70" s="1885">
        <f ca="1">C13</f>
        <v>4065</v>
      </c>
      <c r="R70" s="1885" t="s">
        <v>1531</v>
      </c>
    </row>
    <row r="71" spans="1:18" s="1841" customFormat="1" ht="13.5" thickBot="1">
      <c r="A71" s="1188" t="s">
        <v>1033</v>
      </c>
      <c r="B71" s="1189" t="s">
        <v>1489</v>
      </c>
      <c r="C71" s="382">
        <f ca="1">ROUND(C68*10000/F71,0)</f>
        <v>-5321</v>
      </c>
      <c r="D71" s="1190" t="s">
        <v>1490</v>
      </c>
      <c r="E71" s="1191" t="s">
        <v>1491</v>
      </c>
      <c r="F71" s="385">
        <f ca="1">F43</f>
        <v>7609.71</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345</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-10.782999999999999</v>
      </c>
    </row>
    <row r="83" spans="2:3">
      <c r="B83" s="317" t="s">
        <v>1516</v>
      </c>
      <c r="C83" s="318">
        <f ca="1">ROUND(C13/C40,3)</f>
        <v>11.782999999999999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H40" sqref="H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3069</v>
      </c>
      <c r="D1" s="1819" t="s">
        <v>70</v>
      </c>
      <c r="E1" s="1820" t="s">
        <v>1388</v>
      </c>
      <c r="F1" s="1281">
        <f ca="1">J53</f>
        <v>14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2485</v>
      </c>
      <c r="C2" s="1844" t="s">
        <v>1518</v>
      </c>
      <c r="D2" s="1844"/>
      <c r="E2" s="1845"/>
      <c r="F2" s="1846"/>
      <c r="G2" s="1847"/>
      <c r="H2" s="1839"/>
      <c r="I2" s="1839"/>
      <c r="J2" s="1839"/>
      <c r="K2" s="1840"/>
      <c r="L2" s="1839"/>
      <c r="M2" s="1839"/>
    </row>
    <row r="3" spans="1:37" ht="18" customHeight="1" thickBot="1">
      <c r="A3" s="1848" t="s">
        <v>1519</v>
      </c>
      <c r="B3" s="1849">
        <f ca="1">IF(ISERROR(B2*10000/F43),0,ROUND(B2*10000/F43,0))</f>
        <v>8611</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317</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317</v>
      </c>
      <c r="D6" s="164" t="s">
        <v>3040</v>
      </c>
      <c r="E6" s="347" t="s">
        <v>1406</v>
      </c>
      <c r="F6" s="348">
        <f ca="1">INDIRECT("'数据-取费表'!u"&amp;$G$1)</f>
        <v>1500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50" t="s">
        <v>1407</v>
      </c>
      <c r="F7" s="348">
        <f ca="1">IF(INDIRECT("'数据-取费表'!ah"&amp;$G$1)="",INDIRECT("'数据-取费表'!k"&amp;$G$1),INDIRECT("'数据-取费表'!ah"&amp;$G$1))</f>
        <v>220</v>
      </c>
      <c r="G7" s="1850"/>
      <c r="H7" s="349"/>
      <c r="I7" s="3234"/>
      <c r="J7" s="351"/>
      <c r="K7" s="352"/>
      <c r="L7" s="347" t="s">
        <v>1407</v>
      </c>
      <c r="M7" s="348">
        <f ca="1">F7</f>
        <v>220</v>
      </c>
    </row>
    <row r="8" spans="1:37" ht="18" customHeight="1">
      <c r="A8" s="349"/>
      <c r="B8" s="3234"/>
      <c r="C8" s="351"/>
      <c r="D8" s="352"/>
      <c r="E8" s="347" t="s">
        <v>1408</v>
      </c>
      <c r="F8" s="348">
        <f ca="1">INDIRECT("'数据-取费表'!ai"&amp;$G$1)</f>
        <v>12</v>
      </c>
      <c r="G8" s="1850"/>
      <c r="H8" s="349"/>
      <c r="I8" s="3234"/>
      <c r="J8" s="351"/>
      <c r="K8" s="352"/>
      <c r="L8" s="347" t="s">
        <v>1408</v>
      </c>
      <c r="M8" s="348">
        <f ca="1">INDIRECT("'数据-取费表'!ai"&amp;$G$1)</f>
        <v>12</v>
      </c>
    </row>
    <row r="9" spans="1:37" ht="18" customHeight="1">
      <c r="A9" s="349"/>
      <c r="B9" s="3235"/>
      <c r="C9" s="351"/>
      <c r="D9" s="352"/>
      <c r="E9" s="347" t="s">
        <v>1409</v>
      </c>
      <c r="F9" s="357">
        <f ca="1">INDIRECT("'数据-取费表'!w"&amp;$G$1)</f>
        <v>0.2</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1610</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1085</v>
      </c>
      <c r="D14" s="2953" t="s">
        <v>1420</v>
      </c>
      <c r="E14" s="2952"/>
      <c r="F14" s="364"/>
      <c r="G14" s="1850"/>
      <c r="H14" s="1199" t="s">
        <v>1035</v>
      </c>
      <c r="I14" s="347" t="s">
        <v>1421</v>
      </c>
      <c r="J14" s="24">
        <f ca="1">C29</f>
        <v>1610</v>
      </c>
      <c r="K14" s="2949"/>
      <c r="L14" s="977"/>
      <c r="M14" s="978"/>
    </row>
    <row r="15" spans="1:37" s="1857" customFormat="1" ht="18" customHeight="1" thickBot="1">
      <c r="A15" s="1199" t="s">
        <v>1036</v>
      </c>
      <c r="B15" s="347" t="s">
        <v>1422</v>
      </c>
      <c r="C15" s="24">
        <f ca="1">ROUND(C14*F15,0)</f>
        <v>54</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38</v>
      </c>
      <c r="K16" s="1335" t="s">
        <v>1427</v>
      </c>
      <c r="L16" s="2955"/>
      <c r="M16" s="1292"/>
    </row>
    <row r="17" spans="1:37" s="1857" customFormat="1" ht="18" customHeight="1">
      <c r="A17" s="1199" t="s">
        <v>1391</v>
      </c>
      <c r="B17" s="347" t="s">
        <v>1428</v>
      </c>
      <c r="C17" s="24">
        <f ca="1">ROUND(F17*(F43+INDIRECT("'数据-取费表'!S"&amp;$G$1))/10000,0)</f>
        <v>62</v>
      </c>
      <c r="D17" s="347" t="s">
        <v>1429</v>
      </c>
      <c r="E17" s="347" t="s">
        <v>1430</v>
      </c>
      <c r="F17" s="26">
        <f>'数据-取费表'!B35</f>
        <v>200</v>
      </c>
      <c r="G17" s="1853"/>
      <c r="H17" s="1199" t="s">
        <v>1035</v>
      </c>
      <c r="I17" s="347" t="s">
        <v>1431</v>
      </c>
      <c r="J17" s="24">
        <f ca="1">ROUND(IF(项目基本情况!B11="自然人",J5*M17,J18+J19+J20),1)</f>
        <v>13.5</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16</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1217</v>
      </c>
      <c r="D19" s="140" t="s">
        <v>1438</v>
      </c>
      <c r="E19" s="2948"/>
      <c r="F19" s="26"/>
      <c r="G19" s="1850"/>
      <c r="H19" s="1199" t="s">
        <v>1036</v>
      </c>
      <c r="I19" s="347" t="s">
        <v>1439</v>
      </c>
      <c r="J19" s="24">
        <f ca="1">IF(K19="按租金收入计税",ROUND(J5*M19,2),ROUND(C29*M19*0.7,2))</f>
        <v>13.52</v>
      </c>
      <c r="K19" s="1827" t="s">
        <v>1440</v>
      </c>
      <c r="L19" s="347" t="s">
        <v>1424</v>
      </c>
      <c r="M19" s="367">
        <f>IF(K19="按租金收入计税",'数据-取费表'!B51,'数据-取费表'!B50)</f>
        <v>1.2E-2</v>
      </c>
    </row>
    <row r="20" spans="1:37" s="1857" customFormat="1" ht="18" customHeight="1">
      <c r="A20" s="1199" t="s">
        <v>1039</v>
      </c>
      <c r="B20" s="347" t="s">
        <v>1441</v>
      </c>
      <c r="C20" s="24">
        <f ca="1">ROUND(C19*F20,0)</f>
        <v>24</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702.71999999999991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24.2</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59</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-38</v>
      </c>
      <c r="K25" s="1343" t="s">
        <v>1466</v>
      </c>
      <c r="L25" s="1344"/>
      <c r="M25" s="1345"/>
    </row>
    <row r="26" spans="1:37">
      <c r="A26" s="1199" t="s">
        <v>1034</v>
      </c>
      <c r="B26" s="347" t="s">
        <v>1467</v>
      </c>
      <c r="C26" s="24">
        <f ca="1">ROUND((C19+C20)*F26,0)</f>
        <v>186</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1610</v>
      </c>
      <c r="D29" s="1340"/>
      <c r="E29" s="1338"/>
      <c r="F29" s="1341"/>
      <c r="G29" s="1853"/>
      <c r="H29" s="380" t="s">
        <v>1033</v>
      </c>
      <c r="I29" s="381" t="s">
        <v>1481</v>
      </c>
      <c r="J29" s="382">
        <f ca="1">ROUND(J26/(1+F40)^F41,0)</f>
        <v>0</v>
      </c>
      <c r="K29" s="383" t="s">
        <v>1482</v>
      </c>
      <c r="L29" s="384"/>
      <c r="M29" s="385">
        <f ca="1">INDIRECT("'数据-取费表'!k"&amp;$G$1)</f>
        <v>2885.74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85</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55</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16.91</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38.04</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702.71999999999991</v>
      </c>
      <c r="G35" s="1850"/>
      <c r="H35" s="745"/>
      <c r="I35" s="1859"/>
      <c r="J35" s="1860"/>
      <c r="K35" s="1861"/>
      <c r="L35" s="1858"/>
      <c r="M35" s="1858"/>
    </row>
    <row r="36" spans="1:18" ht="18" customHeight="1">
      <c r="A36" s="1350" t="s">
        <v>1039</v>
      </c>
      <c r="B36" s="347" t="s">
        <v>1451</v>
      </c>
      <c r="C36" s="24">
        <f ca="1">ROUND(C29*F36,1)</f>
        <v>24.2</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2.4</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3.2</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232</v>
      </c>
      <c r="D39" s="1343" t="s">
        <v>1466</v>
      </c>
      <c r="E39" s="1344"/>
      <c r="F39" s="1345"/>
      <c r="G39" s="1850"/>
      <c r="H39" s="1858"/>
      <c r="I39" s="1859"/>
      <c r="J39" s="1860"/>
      <c r="K39" s="1864"/>
      <c r="L39" s="1858"/>
      <c r="M39" s="1858"/>
    </row>
    <row r="40" spans="1:18" ht="18" customHeight="1">
      <c r="A40" s="344" t="s">
        <v>1032</v>
      </c>
      <c r="B40" s="345" t="s">
        <v>1487</v>
      </c>
      <c r="C40" s="2989">
        <f ca="1">ROUND(H40/(1+F40)^H41,0)</f>
        <v>2485</v>
      </c>
      <c r="D40" s="370" t="s">
        <v>1471</v>
      </c>
      <c r="E40" s="347" t="s">
        <v>1472</v>
      </c>
      <c r="F40" s="357">
        <f ca="1">INDIRECT("'数据-取费表'!I"&amp;$G$1)</f>
        <v>5.5E-2</v>
      </c>
      <c r="G40" s="1850"/>
      <c r="H40" s="2987">
        <f ca="1">ROUND(C39*(1-((1+F42)/(1+F40))^F41)/(F40-F42),0)</f>
        <v>2525</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13.7</v>
      </c>
      <c r="G41" s="1850"/>
      <c r="H41" s="2990">
        <v>0.3</v>
      </c>
      <c r="I41" s="1859"/>
      <c r="J41" s="1860"/>
      <c r="K41" s="751"/>
      <c r="L41" s="732"/>
      <c r="M41" s="732"/>
    </row>
    <row r="42" spans="1:18" ht="18" customHeight="1">
      <c r="A42" s="353"/>
      <c r="B42" s="354"/>
      <c r="C42" s="355"/>
      <c r="D42" s="373"/>
      <c r="E42" s="347" t="s">
        <v>1479</v>
      </c>
      <c r="F42" s="357">
        <f ca="1">INDIRECT("'数据-取费表'!v"&amp;$G$1)</f>
        <v>2.5000000000000001E-2</v>
      </c>
      <c r="G42" s="1850"/>
      <c r="H42" s="732"/>
      <c r="I42" s="1859"/>
      <c r="J42" s="1860"/>
      <c r="K42" s="751"/>
      <c r="L42" s="732"/>
      <c r="M42" s="732"/>
    </row>
    <row r="43" spans="1:18" ht="18" customHeight="1" thickBot="1">
      <c r="A43" s="380" t="s">
        <v>1033</v>
      </c>
      <c r="B43" s="381" t="s">
        <v>1489</v>
      </c>
      <c r="C43" s="382">
        <f ca="1">ROUND(C40*10000/F43,0)</f>
        <v>8611</v>
      </c>
      <c r="D43" s="383" t="s">
        <v>1490</v>
      </c>
      <c r="E43" s="384" t="s">
        <v>1491</v>
      </c>
      <c r="F43" s="385">
        <f ca="1">INDIRECT("'数据-取费表'!k"&amp;$G$1)</f>
        <v>2885.74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-4016</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2485</v>
      </c>
      <c r="R47" s="1885" t="s">
        <v>1531</v>
      </c>
    </row>
    <row r="48" spans="1:18" s="1841" customFormat="1" ht="28.5" thickBot="1">
      <c r="A48" s="1358" t="s">
        <v>1135</v>
      </c>
      <c r="B48" s="345" t="s">
        <v>1402</v>
      </c>
      <c r="C48" s="2947">
        <f ca="1">C49+C53+C55</f>
        <v>0</v>
      </c>
      <c r="D48" s="1360"/>
      <c r="E48" s="1361"/>
      <c r="F48" s="1179"/>
      <c r="G48" s="792"/>
      <c r="H48" s="793"/>
      <c r="I48" s="1886" t="s">
        <v>1532</v>
      </c>
      <c r="J48" s="1887" t="s">
        <v>3096</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1610</v>
      </c>
      <c r="R49" s="1885" t="s">
        <v>1531</v>
      </c>
    </row>
    <row r="50" spans="1:18" s="1841" customFormat="1" ht="13.5" thickBot="1">
      <c r="A50" s="1193"/>
      <c r="B50" s="1196"/>
      <c r="C50" s="1366"/>
      <c r="D50" s="1170"/>
      <c r="E50" s="1275" t="s">
        <v>1407</v>
      </c>
      <c r="F50" s="1276">
        <f ca="1">F7</f>
        <v>220</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59</v>
      </c>
      <c r="K51" s="1899" t="s">
        <v>1543</v>
      </c>
      <c r="L51" s="1900">
        <f ca="1">ROUND(-PV(INDIRECT("'数据-取费表'!h"&amp;$G$1),L48,(C39-C13*C76),0),0)</f>
        <v>3248</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2485</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1610</v>
      </c>
      <c r="D56" s="1913"/>
      <c r="E56" s="1914"/>
      <c r="F56" s="1906"/>
      <c r="I56" s="1915" t="s">
        <v>1556</v>
      </c>
      <c r="J56" s="1916" t="s">
        <v>3048</v>
      </c>
      <c r="K56" s="1886" t="s">
        <v>1557</v>
      </c>
      <c r="L56" s="1889" t="str">
        <f ca="1">IF(L48&lt;J51,"——",L48-J53)</f>
        <v>——</v>
      </c>
      <c r="O56" s="1883" t="s">
        <v>1040</v>
      </c>
      <c r="P56" s="1884" t="s">
        <v>1530</v>
      </c>
      <c r="Q56" s="1885">
        <f ca="1">C40+J29</f>
        <v>2485</v>
      </c>
      <c r="R56" s="1885" t="s">
        <v>1531</v>
      </c>
    </row>
    <row r="57" spans="1:18" s="1841" customFormat="1" ht="24.75" thickBot="1">
      <c r="A57" s="1917"/>
      <c r="B57" s="1167" t="s">
        <v>1480</v>
      </c>
      <c r="C57" s="282">
        <f ca="1">C29</f>
        <v>1610</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162</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135.19999999999999</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135.24</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2485</v>
      </c>
      <c r="R62" s="1885" t="s">
        <v>1047</v>
      </c>
    </row>
    <row r="63" spans="1:18" s="1841" customFormat="1" ht="13.5" thickBot="1">
      <c r="A63" s="372"/>
      <c r="B63" s="1173"/>
      <c r="C63" s="29"/>
      <c r="D63" s="1183"/>
      <c r="E63" s="1167" t="s">
        <v>1449</v>
      </c>
      <c r="F63" s="348">
        <f t="shared" ca="1" si="0"/>
        <v>702.71999999999991</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24.2</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2.4</v>
      </c>
      <c r="D65" s="1181" t="s">
        <v>1456</v>
      </c>
      <c r="E65" s="1167" t="s">
        <v>1424</v>
      </c>
      <c r="F65" s="376">
        <f t="shared" ca="1" si="0"/>
        <v>1.5E-3</v>
      </c>
      <c r="I65" s="1928" t="s">
        <v>1581</v>
      </c>
      <c r="J65" s="1929">
        <v>40</v>
      </c>
      <c r="K65" s="1929">
        <v>30</v>
      </c>
      <c r="L65" s="1929">
        <v>50</v>
      </c>
      <c r="M65" s="1931">
        <v>0.02</v>
      </c>
      <c r="O65" s="1883" t="s">
        <v>1040</v>
      </c>
      <c r="P65" s="1884" t="s">
        <v>1530</v>
      </c>
      <c r="Q65" s="1885">
        <f ca="1">C40+J29</f>
        <v>2485</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-162</v>
      </c>
      <c r="D67" s="1180" t="s">
        <v>1466</v>
      </c>
      <c r="E67" s="1185"/>
      <c r="F67" s="1186"/>
      <c r="O67" s="1893" t="s">
        <v>1042</v>
      </c>
      <c r="P67" s="1884" t="s">
        <v>1564</v>
      </c>
      <c r="Q67" s="1932">
        <f ca="1">L51</f>
        <v>3248</v>
      </c>
      <c r="R67" s="1885" t="s">
        <v>1584</v>
      </c>
    </row>
    <row r="68" spans="1:18" s="1841" customFormat="1" ht="16.5" thickBot="1">
      <c r="A68" s="1164" t="s">
        <v>1032</v>
      </c>
      <c r="B68" s="1165" t="s">
        <v>1487</v>
      </c>
      <c r="C68" s="346">
        <f ca="1">ROUND(C67*(1-((1+F70)/(1+F68))^F69)/(F68-F70),0)</f>
        <v>-1531</v>
      </c>
      <c r="D68" s="1182" t="s">
        <v>1471</v>
      </c>
      <c r="E68" s="1167" t="s">
        <v>1472</v>
      </c>
      <c r="F68" s="357">
        <f ca="1">F40</f>
        <v>5.5E-2</v>
      </c>
      <c r="O68" s="1893" t="s">
        <v>1043</v>
      </c>
      <c r="P68" s="1933" t="s">
        <v>1585</v>
      </c>
      <c r="Q68" s="1885">
        <f ca="1">ROUND(Q69-Q70*Q71,0)</f>
        <v>232</v>
      </c>
      <c r="R68" s="1885" t="s">
        <v>1051</v>
      </c>
    </row>
    <row r="69" spans="1:18" s="1841" customFormat="1" ht="13.5" thickBot="1">
      <c r="A69" s="1168"/>
      <c r="B69" s="1169"/>
      <c r="C69" s="351"/>
      <c r="D69" s="1187" t="s">
        <v>1475</v>
      </c>
      <c r="E69" s="1167" t="s">
        <v>1476</v>
      </c>
      <c r="F69" s="379">
        <f ca="1">F41</f>
        <v>13.7</v>
      </c>
      <c r="O69" s="1893" t="s">
        <v>1048</v>
      </c>
      <c r="P69" s="1933" t="s">
        <v>1586</v>
      </c>
      <c r="Q69" s="1885">
        <f ca="1">C39</f>
        <v>232</v>
      </c>
      <c r="R69" s="1885" t="s">
        <v>1531</v>
      </c>
    </row>
    <row r="70" spans="1:18" s="1841" customFormat="1" ht="13.5" thickBot="1">
      <c r="A70" s="1171"/>
      <c r="B70" s="1172"/>
      <c r="C70" s="355"/>
      <c r="D70" s="1183"/>
      <c r="E70" s="1167" t="s">
        <v>1479</v>
      </c>
      <c r="F70" s="1273"/>
      <c r="O70" s="1893" t="s">
        <v>1049</v>
      </c>
      <c r="P70" s="1933" t="s">
        <v>1587</v>
      </c>
      <c r="Q70" s="1885">
        <f ca="1">C13</f>
        <v>1610</v>
      </c>
      <c r="R70" s="1885" t="s">
        <v>1531</v>
      </c>
    </row>
    <row r="71" spans="1:18" s="1841" customFormat="1" ht="13.5" thickBot="1">
      <c r="A71" s="1188" t="s">
        <v>1033</v>
      </c>
      <c r="B71" s="1189" t="s">
        <v>1489</v>
      </c>
      <c r="C71" s="382">
        <f ca="1">ROUND(C68*10000/F71,0)</f>
        <v>-5305</v>
      </c>
      <c r="D71" s="1190" t="s">
        <v>1490</v>
      </c>
      <c r="E71" s="1191" t="s">
        <v>1491</v>
      </c>
      <c r="F71" s="385">
        <f ca="1">F43</f>
        <v>2885.74</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2485</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0.35199999999999998</v>
      </c>
    </row>
    <row r="83" spans="2:3">
      <c r="B83" s="317" t="s">
        <v>1516</v>
      </c>
      <c r="C83" s="318">
        <f ca="1">ROUND(C13/C40,3)</f>
        <v>0.64800000000000002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I43" sqref="I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3097</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33" t="s">
        <v>1404</v>
      </c>
      <c r="C6" s="1294" t="e">
        <f ca="1">ROUND(F6*F8*F7*(1-F9)/10000,0)</f>
        <v>#N/A</v>
      </c>
      <c r="D6" s="164" t="s">
        <v>3040</v>
      </c>
      <c r="E6" s="347" t="s">
        <v>1406</v>
      </c>
      <c r="F6" s="348" t="e">
        <f ca="1">INDIRECT("'数据-取费表'!u"&amp;$G$1)</f>
        <v>#N/A</v>
      </c>
      <c r="G6" s="1850"/>
      <c r="H6" s="1289" t="s">
        <v>1035</v>
      </c>
      <c r="I6" s="3233" t="s">
        <v>1404</v>
      </c>
      <c r="J6" s="346" t="e">
        <f ca="1">ROUND(M6*M8*M7*(1-M9)/10000,0)</f>
        <v>#N/A</v>
      </c>
      <c r="K6" s="164" t="s">
        <v>3039</v>
      </c>
      <c r="L6" s="347" t="s">
        <v>1406</v>
      </c>
      <c r="M6" s="348" t="e">
        <f ca="1">INDIRECT("'数据-取费表'!z"&amp;$G$1)</f>
        <v>#N/A</v>
      </c>
    </row>
    <row r="7" spans="1:37" ht="18" customHeight="1">
      <c r="A7" s="1293"/>
      <c r="B7" s="3234"/>
      <c r="C7" s="1295"/>
      <c r="D7" s="352"/>
      <c r="E7" s="2950" t="s">
        <v>1407</v>
      </c>
      <c r="F7" s="348" t="e">
        <f ca="1">IF(INDIRECT("'数据-取费表'!ah"&amp;$G$1)="",INDIRECT("'数据-取费表'!k"&amp;$G$1),INDIRECT("'数据-取费表'!ah"&amp;$G$1))</f>
        <v>#N/A</v>
      </c>
      <c r="G7" s="1850"/>
      <c r="H7" s="349"/>
      <c r="I7" s="3234"/>
      <c r="J7" s="351"/>
      <c r="K7" s="352"/>
      <c r="L7" s="347" t="s">
        <v>1407</v>
      </c>
      <c r="M7" s="348" t="e">
        <f ca="1">F7</f>
        <v>#N/A</v>
      </c>
    </row>
    <row r="8" spans="1:37" ht="18" customHeight="1">
      <c r="A8" s="349"/>
      <c r="B8" s="3234"/>
      <c r="C8" s="351"/>
      <c r="D8" s="352"/>
      <c r="E8" s="347" t="s">
        <v>1408</v>
      </c>
      <c r="F8" s="348" t="e">
        <f ca="1">INDIRECT("'数据-取费表'!ai"&amp;$G$1)</f>
        <v>#N/A</v>
      </c>
      <c r="G8" s="1850"/>
      <c r="H8" s="349"/>
      <c r="I8" s="3234"/>
      <c r="J8" s="351"/>
      <c r="K8" s="352"/>
      <c r="L8" s="347" t="s">
        <v>1408</v>
      </c>
      <c r="M8" s="348" t="e">
        <f ca="1">INDIRECT("'数据-取费表'!ai"&amp;$G$1)</f>
        <v>#N/A</v>
      </c>
    </row>
    <row r="9" spans="1:37" ht="18" customHeight="1">
      <c r="A9" s="349"/>
      <c r="B9" s="3235"/>
      <c r="C9" s="351"/>
      <c r="D9" s="352"/>
      <c r="E9" s="347" t="s">
        <v>1409</v>
      </c>
      <c r="F9" s="357" t="e">
        <f ca="1">INDIRECT("'数据-取费表'!w"&amp;$G$1)</f>
        <v>#N/A</v>
      </c>
      <c r="G9" s="1850"/>
      <c r="H9" s="349"/>
      <c r="I9" s="3235"/>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3036</v>
      </c>
      <c r="E10" s="358" t="s">
        <v>1412</v>
      </c>
      <c r="F10" s="1364" t="s">
        <v>3055</v>
      </c>
      <c r="G10" s="1850"/>
      <c r="H10" s="1289" t="s">
        <v>1039</v>
      </c>
      <c r="I10" s="1822" t="s">
        <v>1410</v>
      </c>
      <c r="J10" s="346" t="e">
        <f ca="1">ROUND(IF(M10="押一",M6*M8*M7/12*M11,IF(M10="押二",M6*M8*M7/12*2*M11,IF(M10="押三",M6*M8*M7/12*3*M11,J11*M11)))/10000,0)</f>
        <v>#N/A</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3" t="s">
        <v>1420</v>
      </c>
      <c r="E14" s="2952"/>
      <c r="F14" s="364"/>
      <c r="G14" s="1850"/>
      <c r="H14" s="1199" t="s">
        <v>1035</v>
      </c>
      <c r="I14" s="347" t="s">
        <v>1421</v>
      </c>
      <c r="J14" s="24" t="e">
        <f ca="1">C29</f>
        <v>#N/A</v>
      </c>
      <c r="K14" s="2949"/>
      <c r="L14" s="977"/>
      <c r="M14" s="978"/>
    </row>
    <row r="15" spans="1:37" s="1857" customFormat="1" ht="18" customHeight="1" thickBot="1">
      <c r="A15" s="1199" t="s">
        <v>1036</v>
      </c>
      <c r="B15" s="347" t="s">
        <v>1422</v>
      </c>
      <c r="C15" s="24" t="e">
        <f ca="1">ROUND(C14*F15,0)</f>
        <v>#N/A</v>
      </c>
      <c r="D15" s="365" t="s">
        <v>1423</v>
      </c>
      <c r="E15" s="365" t="s">
        <v>1424</v>
      </c>
      <c r="F15" s="366">
        <f>'数据-取费表'!B33</f>
        <v>0.05</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5"/>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8"/>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t="e">
        <f ca="1">ROUND(J14*M22,1)</f>
        <v>#N/A</v>
      </c>
      <c r="K22" s="2954"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t="e">
        <f ca="1">ROUND(J13*M23,1)</f>
        <v>#N/A</v>
      </c>
      <c r="K23" s="2954" t="s">
        <v>1456</v>
      </c>
      <c r="L23" s="347" t="s">
        <v>1424</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t="e">
        <f ca="1">ROUND(J5*M24,1)</f>
        <v>#N/A</v>
      </c>
      <c r="K24" s="1340" t="s">
        <v>1461</v>
      </c>
      <c r="L24" s="1338" t="s">
        <v>1424</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5"/>
      <c r="F30" s="1292"/>
      <c r="G30" s="1850"/>
      <c r="H30" s="745"/>
      <c r="I30" s="746"/>
      <c r="J30" s="747"/>
      <c r="K30" s="748"/>
      <c r="L30" s="749"/>
      <c r="M30" s="750"/>
    </row>
    <row r="31" spans="1:37" ht="18" customHeight="1">
      <c r="A31" s="1199" t="s">
        <v>1035</v>
      </c>
      <c r="B31" s="347" t="s">
        <v>1431</v>
      </c>
      <c r="C31" s="24" t="e">
        <f ca="1">ROUND(IF(项目基本情况!B11="自然人",C5*F31,C32+C33+C34),1)</f>
        <v>#N/A</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4"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4" t="s">
        <v>1456</v>
      </c>
      <c r="E37" s="347" t="s">
        <v>1424</v>
      </c>
      <c r="F37" s="376" t="e">
        <f ca="1">INDIRECT("'数据-取费表'!Al"&amp;$G$1)</f>
        <v>#N/A</v>
      </c>
      <c r="G37" s="1850"/>
      <c r="H37" s="1858"/>
      <c r="I37" s="1859"/>
      <c r="J37" s="1860"/>
      <c r="K37" s="751"/>
      <c r="L37" s="1858"/>
      <c r="M37" s="1858"/>
    </row>
    <row r="38" spans="1:18" ht="18" customHeight="1" thickBot="1">
      <c r="A38" s="1337" t="s">
        <v>1393</v>
      </c>
      <c r="B38" s="1338" t="s">
        <v>1441</v>
      </c>
      <c r="C38" s="1339" t="e">
        <f ca="1">ROUND(C5*F38,1)</f>
        <v>#N/A</v>
      </c>
      <c r="D38" s="1340" t="s">
        <v>1461</v>
      </c>
      <c r="E38" s="1338" t="s">
        <v>1424</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2989" t="e">
        <f ca="1">ROUND(H40/(1+F40)^H41,0)</f>
        <v>#N/A</v>
      </c>
      <c r="D40" s="370" t="s">
        <v>1471</v>
      </c>
      <c r="E40" s="347" t="s">
        <v>1472</v>
      </c>
      <c r="F40" s="357" t="e">
        <f ca="1">INDIRECT("'数据-取费表'!I"&amp;$G$1)</f>
        <v>#N/A</v>
      </c>
      <c r="G40" s="1850"/>
      <c r="H40" s="2987" t="e">
        <f ca="1">ROUND(C39*(1-((1+F42)/(1+F40))^F41)/(F40-F42),0)</f>
        <v>#N/A</v>
      </c>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IF(INDIRECT("'数据-取费表'!af"&amp;$G$1)=0,INDIRECT("'数据-取费表'!ae"&amp;$G$1),INDIRECT("'数据-取费表'!af"&amp;$G$1))-H41</f>
        <v>#N/A</v>
      </c>
      <c r="G41" s="1850"/>
      <c r="H41" s="2990">
        <v>0</v>
      </c>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7" t="e">
        <f ca="1">C49+C53+C55</f>
        <v>#N/A</v>
      </c>
      <c r="D48" s="1360"/>
      <c r="E48" s="1361"/>
      <c r="F48" s="1179"/>
      <c r="G48" s="792"/>
      <c r="H48" s="793"/>
      <c r="I48" s="1886" t="s">
        <v>1532</v>
      </c>
      <c r="J48" s="1887" t="s">
        <v>3096</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3039</v>
      </c>
      <c r="E49" s="1829" t="s">
        <v>1493</v>
      </c>
      <c r="F49" s="1279"/>
      <c r="G49" s="1890"/>
      <c r="H49" s="793"/>
      <c r="I49" s="1886" t="s">
        <v>1536</v>
      </c>
      <c r="J49" s="1891">
        <v>2017</v>
      </c>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59</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t="e">
        <f ca="1">IF(M47="住宅",J51,IF(D1="——",MIN(J51,L48),IF(D1="在建（套用方法）",MIN(J51,L48-'数据-取费表'!B24),IF(D1="土地（套用方法）",MIN(J51,L48-'数据-取费表'!B20)))))</f>
        <v>#N/A</v>
      </c>
      <c r="K53" s="3236" t="s">
        <v>1550</v>
      </c>
      <c r="L53" s="3237"/>
      <c r="O53" s="1883" t="s">
        <v>1046</v>
      </c>
      <c r="P53" s="1884" t="s">
        <v>1551</v>
      </c>
      <c r="Q53" s="1885" t="e">
        <f ca="1">Q47+Q48</f>
        <v>#N/A</v>
      </c>
      <c r="R53" s="1885" t="s">
        <v>1047</v>
      </c>
    </row>
    <row r="54" spans="1:18" s="1841" customFormat="1" ht="13.5" thickBot="1">
      <c r="A54" s="1404"/>
      <c r="B54" s="1824" t="s">
        <v>1389</v>
      </c>
      <c r="C54" s="1176"/>
      <c r="D54" s="1823"/>
      <c r="E54" s="295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3048</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5.6000000000000001E-2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1443</v>
      </c>
      <c r="C62" s="25" t="e">
        <f ca="1">IF(项目基本情况!B11="自然人","——",ROUND(F62*F63/10000,2))</f>
        <v>#N/A</v>
      </c>
      <c r="D62" s="1182" t="s">
        <v>1444</v>
      </c>
      <c r="E62" s="1167" t="s">
        <v>1445</v>
      </c>
      <c r="F62" s="371">
        <f t="shared" si="0"/>
        <v>0</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1424</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1424</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43" sqref="I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3098</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33" t="s">
        <v>1404</v>
      </c>
      <c r="C6" s="1294" t="e">
        <f ca="1">ROUND(F6*F8*F7*(1-F9)/10000,0)</f>
        <v>#N/A</v>
      </c>
      <c r="D6" s="164" t="s">
        <v>3040</v>
      </c>
      <c r="E6" s="347" t="s">
        <v>1406</v>
      </c>
      <c r="F6" s="348" t="e">
        <f ca="1">INDIRECT("'数据-取费表'!u"&amp;$G$1)</f>
        <v>#N/A</v>
      </c>
      <c r="G6" s="1850"/>
      <c r="H6" s="1289" t="s">
        <v>1035</v>
      </c>
      <c r="I6" s="3233" t="s">
        <v>1404</v>
      </c>
      <c r="J6" s="346" t="e">
        <f ca="1">ROUND(M6*M8*M7*(1-M9)/10000,0)</f>
        <v>#N/A</v>
      </c>
      <c r="K6" s="164" t="s">
        <v>3039</v>
      </c>
      <c r="L6" s="347" t="s">
        <v>1406</v>
      </c>
      <c r="M6" s="348" t="e">
        <f ca="1">INDIRECT("'数据-取费表'!z"&amp;$G$1)</f>
        <v>#N/A</v>
      </c>
    </row>
    <row r="7" spans="1:37" ht="18" customHeight="1">
      <c r="A7" s="1293"/>
      <c r="B7" s="3234"/>
      <c r="C7" s="1295"/>
      <c r="D7" s="352"/>
      <c r="E7" s="2950" t="s">
        <v>1407</v>
      </c>
      <c r="F7" s="348" t="e">
        <f ca="1">IF(INDIRECT("'数据-取费表'!ah"&amp;$G$1)="",INDIRECT("'数据-取费表'!k"&amp;$G$1),INDIRECT("'数据-取费表'!ah"&amp;$G$1))</f>
        <v>#N/A</v>
      </c>
      <c r="G7" s="1850"/>
      <c r="H7" s="349"/>
      <c r="I7" s="3234"/>
      <c r="J7" s="351"/>
      <c r="K7" s="352"/>
      <c r="L7" s="347" t="s">
        <v>1407</v>
      </c>
      <c r="M7" s="348" t="e">
        <f ca="1">F7</f>
        <v>#N/A</v>
      </c>
    </row>
    <row r="8" spans="1:37" ht="18" customHeight="1">
      <c r="A8" s="349"/>
      <c r="B8" s="3234"/>
      <c r="C8" s="351"/>
      <c r="D8" s="352"/>
      <c r="E8" s="347" t="s">
        <v>1408</v>
      </c>
      <c r="F8" s="348" t="e">
        <f ca="1">INDIRECT("'数据-取费表'!ai"&amp;$G$1)</f>
        <v>#N/A</v>
      </c>
      <c r="G8" s="1850"/>
      <c r="H8" s="349"/>
      <c r="I8" s="3234"/>
      <c r="J8" s="351"/>
      <c r="K8" s="352"/>
      <c r="L8" s="347" t="s">
        <v>1408</v>
      </c>
      <c r="M8" s="348" t="e">
        <f ca="1">INDIRECT("'数据-取费表'!ai"&amp;$G$1)</f>
        <v>#N/A</v>
      </c>
    </row>
    <row r="9" spans="1:37" ht="18" customHeight="1">
      <c r="A9" s="349"/>
      <c r="B9" s="3235"/>
      <c r="C9" s="351"/>
      <c r="D9" s="352"/>
      <c r="E9" s="347" t="s">
        <v>1409</v>
      </c>
      <c r="F9" s="357" t="e">
        <f ca="1">INDIRECT("'数据-取费表'!w"&amp;$G$1)</f>
        <v>#N/A</v>
      </c>
      <c r="G9" s="1850"/>
      <c r="H9" s="349"/>
      <c r="I9" s="3235"/>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3036</v>
      </c>
      <c r="E10" s="358" t="s">
        <v>1412</v>
      </c>
      <c r="F10" s="1364" t="s">
        <v>3055</v>
      </c>
      <c r="G10" s="1850"/>
      <c r="H10" s="1289" t="s">
        <v>1039</v>
      </c>
      <c r="I10" s="1822" t="s">
        <v>1410</v>
      </c>
      <c r="J10" s="346" t="e">
        <f ca="1">ROUND(IF(M10="押一",M6*M8*M7/12*M11,IF(M10="押二",M6*M8*M7/12*2*M11,IF(M10="押三",M6*M8*M7/12*3*M11,J11*M11)))/10000,0)</f>
        <v>#N/A</v>
      </c>
      <c r="K10" s="1823" t="s">
        <v>3036</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3" t="s">
        <v>1420</v>
      </c>
      <c r="E14" s="2952"/>
      <c r="F14" s="364"/>
      <c r="G14" s="1850"/>
      <c r="H14" s="1199" t="s">
        <v>1035</v>
      </c>
      <c r="I14" s="347" t="s">
        <v>1421</v>
      </c>
      <c r="J14" s="24" t="e">
        <f ca="1">C29</f>
        <v>#N/A</v>
      </c>
      <c r="K14" s="2949"/>
      <c r="L14" s="977"/>
      <c r="M14" s="978"/>
    </row>
    <row r="15" spans="1:37" s="1857" customFormat="1" ht="18" customHeight="1" thickBot="1">
      <c r="A15" s="1199" t="s">
        <v>1036</v>
      </c>
      <c r="B15" s="347" t="s">
        <v>1422</v>
      </c>
      <c r="C15" s="24" t="e">
        <f ca="1">ROUND(C14*F15,0)</f>
        <v>#N/A</v>
      </c>
      <c r="D15" s="365" t="s">
        <v>1423</v>
      </c>
      <c r="E15" s="365" t="s">
        <v>1424</v>
      </c>
      <c r="F15" s="366">
        <f>'数据-取费表'!B33</f>
        <v>0.05</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5"/>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8"/>
      <c r="F19" s="26"/>
      <c r="G19" s="1850"/>
      <c r="H19" s="1199" t="s">
        <v>1036</v>
      </c>
      <c r="I19" s="347" t="s">
        <v>1439</v>
      </c>
      <c r="J19" s="24" t="e">
        <f ca="1">IF(K19="按租金收入计税",ROUND(J5*M19,2),ROUND(C29*M19*0.7,2))</f>
        <v>#N/A</v>
      </c>
      <c r="K19" s="1827" t="s">
        <v>3094</v>
      </c>
      <c r="L19" s="347" t="s">
        <v>1424</v>
      </c>
      <c r="M19" s="367">
        <f>IF(K19="按租金收入计税",'数据-取费表'!B51,'数据-取费表'!B50)</f>
        <v>0.12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t="e">
        <f ca="1">ROUND(J14*M22,1)</f>
        <v>#N/A</v>
      </c>
      <c r="K22" s="2954"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t="e">
        <f ca="1">ROUND(J13*M23,1)</f>
        <v>#N/A</v>
      </c>
      <c r="K23" s="2954" t="s">
        <v>1456</v>
      </c>
      <c r="L23" s="347" t="s">
        <v>1424</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t="e">
        <f ca="1">ROUND(J5*M24,1)</f>
        <v>#N/A</v>
      </c>
      <c r="K24" s="1340" t="s">
        <v>1461</v>
      </c>
      <c r="L24" s="1338" t="s">
        <v>1424</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2968" t="e">
        <f ca="1">14-F41</f>
        <v>#N/A</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ROUND(J26/(1+F40)^(F41+H41),0)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5"/>
      <c r="F30" s="1292"/>
      <c r="G30" s="1850"/>
      <c r="H30" s="745"/>
      <c r="I30" s="746"/>
      <c r="J30" s="747"/>
      <c r="K30" s="748"/>
      <c r="L30" s="749"/>
      <c r="M30" s="750"/>
    </row>
    <row r="31" spans="1:37" ht="18" customHeight="1">
      <c r="A31" s="1199" t="s">
        <v>1035</v>
      </c>
      <c r="B31" s="347" t="s">
        <v>1431</v>
      </c>
      <c r="C31" s="24" t="e">
        <f ca="1">ROUND(IF(项目基本情况!B11="自然人",C5*F31,C32+C33+C34),1)</f>
        <v>#N/A</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4"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4" t="s">
        <v>1456</v>
      </c>
      <c r="E37" s="347" t="s">
        <v>1424</v>
      </c>
      <c r="F37" s="376" t="e">
        <f ca="1">INDIRECT("'数据-取费表'!Al"&amp;$G$1)</f>
        <v>#N/A</v>
      </c>
      <c r="G37" s="1850"/>
      <c r="H37" s="1858"/>
      <c r="I37" s="1859"/>
      <c r="J37" s="1860"/>
      <c r="K37" s="751"/>
      <c r="L37" s="1858"/>
      <c r="M37" s="1858"/>
    </row>
    <row r="38" spans="1:18" ht="18" customHeight="1" thickBot="1">
      <c r="A38" s="1337" t="s">
        <v>1393</v>
      </c>
      <c r="B38" s="1338" t="s">
        <v>1441</v>
      </c>
      <c r="C38" s="1339" t="e">
        <f ca="1">ROUND(C5*F38,1)</f>
        <v>#N/A</v>
      </c>
      <c r="D38" s="1340" t="s">
        <v>1461</v>
      </c>
      <c r="E38" s="1338" t="s">
        <v>1424</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ROUND(H40/(1+F40)^H41,0)</f>
        <v>#N/A</v>
      </c>
      <c r="D40" s="370" t="s">
        <v>1471</v>
      </c>
      <c r="E40" s="347" t="s">
        <v>1472</v>
      </c>
      <c r="F40" s="357" t="e">
        <f ca="1">INDIRECT("'数据-取费表'!I"&amp;$G$1)</f>
        <v>#N/A</v>
      </c>
      <c r="G40" s="1850"/>
      <c r="H40" s="1927" t="e">
        <f ca="1">ROUND(C39*(1-((1+F42)/(1+F40))^F41)/(F40-F42),0)</f>
        <v>#N/A</v>
      </c>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1580">
        <v>0</v>
      </c>
      <c r="I41" s="2970" t="s">
        <v>3107</v>
      </c>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7" t="e">
        <f ca="1">C49+C53+C55</f>
        <v>#N/A</v>
      </c>
      <c r="D48" s="1360"/>
      <c r="E48" s="1361"/>
      <c r="F48" s="1179"/>
      <c r="G48" s="792"/>
      <c r="H48" s="793"/>
      <c r="I48" s="1886" t="s">
        <v>1532</v>
      </c>
      <c r="J48" s="1887" t="s">
        <v>3096</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3039</v>
      </c>
      <c r="E49" s="1829" t="s">
        <v>1493</v>
      </c>
      <c r="F49" s="1279"/>
      <c r="G49" s="1890"/>
      <c r="H49" s="793"/>
      <c r="I49" s="1886" t="s">
        <v>1536</v>
      </c>
      <c r="J49" s="1891">
        <v>2017</v>
      </c>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59</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t="e">
        <f ca="1">IF(M47="住宅",J51,IF(D1="——",MIN(J51,L48),IF(D1="在建（套用方法）",MIN(J51,L48-'数据-取费表'!B24),IF(D1="土地（套用方法）",MIN(J51,L48-'数据-取费表'!B20)))))</f>
        <v>#N/A</v>
      </c>
      <c r="K53" s="3236" t="s">
        <v>1550</v>
      </c>
      <c r="L53" s="3237"/>
      <c r="O53" s="1883" t="s">
        <v>1046</v>
      </c>
      <c r="P53" s="1884" t="s">
        <v>1551</v>
      </c>
      <c r="Q53" s="1885" t="e">
        <f ca="1">Q47+Q48</f>
        <v>#N/A</v>
      </c>
      <c r="R53" s="1885" t="s">
        <v>1047</v>
      </c>
    </row>
    <row r="54" spans="1:18" s="1841" customFormat="1" ht="13.5" thickBot="1">
      <c r="A54" s="1404"/>
      <c r="B54" s="1824" t="s">
        <v>1389</v>
      </c>
      <c r="C54" s="1176"/>
      <c r="D54" s="1823"/>
      <c r="E54" s="295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3048</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5.6000000000000001E-2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1443</v>
      </c>
      <c r="C62" s="25" t="e">
        <f ca="1">IF(项目基本情况!B11="自然人","——",ROUND(F62*F63/10000,2))</f>
        <v>#N/A</v>
      </c>
      <c r="D62" s="1182" t="s">
        <v>1444</v>
      </c>
      <c r="E62" s="1167" t="s">
        <v>1445</v>
      </c>
      <c r="F62" s="371">
        <f t="shared" si="0"/>
        <v>0</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1424</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1424</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3200</v>
      </c>
      <c r="D1" s="1819" t="s">
        <v>70</v>
      </c>
      <c r="E1" s="1820" t="s">
        <v>1388</v>
      </c>
      <c r="F1" s="1281">
        <f ca="1">J53</f>
        <v>14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14486</v>
      </c>
      <c r="C2" s="1844" t="s">
        <v>1518</v>
      </c>
      <c r="D2" s="1844"/>
      <c r="E2" s="1845"/>
      <c r="F2" s="1846"/>
      <c r="G2" s="1847"/>
      <c r="H2" s="1839"/>
      <c r="I2" s="1839"/>
      <c r="J2" s="1839"/>
      <c r="K2" s="1840"/>
      <c r="L2" s="1839"/>
      <c r="M2" s="1839"/>
    </row>
    <row r="3" spans="1:37" ht="18" customHeight="1" thickBot="1">
      <c r="A3" s="1848" t="s">
        <v>1519</v>
      </c>
      <c r="B3" s="1849">
        <f ca="1">IF(ISERROR(B2*10000/F43),0,ROUND(B2*10000/F43,0))</f>
        <v>11540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1756</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1753</v>
      </c>
      <c r="D6" s="164" t="s">
        <v>3040</v>
      </c>
      <c r="E6" s="347" t="s">
        <v>1406</v>
      </c>
      <c r="F6" s="348">
        <f ca="1">INDIRECT("'数据-取费表'!u"&amp;$G$1)</f>
        <v>4.5</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50" t="s">
        <v>1407</v>
      </c>
      <c r="F7" s="348">
        <f ca="1">IF(INDIRECT("'数据-取费表'!ah"&amp;$G$1)="",INDIRECT("'数据-取费表'!k"&amp;$G$1),INDIRECT("'数据-取费表'!ah"&amp;$G$1))</f>
        <v>12553.389999999992</v>
      </c>
      <c r="G7" s="1850"/>
      <c r="H7" s="349"/>
      <c r="I7" s="3234"/>
      <c r="J7" s="351"/>
      <c r="K7" s="352"/>
      <c r="L7" s="347" t="s">
        <v>1407</v>
      </c>
      <c r="M7" s="348">
        <f ca="1">F7</f>
        <v>12553.389999999992</v>
      </c>
    </row>
    <row r="8" spans="1:37" ht="18" customHeight="1">
      <c r="A8" s="349"/>
      <c r="B8" s="3234"/>
      <c r="C8" s="351"/>
      <c r="D8" s="352"/>
      <c r="E8" s="347" t="s">
        <v>1408</v>
      </c>
      <c r="F8" s="348">
        <f ca="1">INDIRECT("'数据-取费表'!ai"&amp;$G$1)</f>
        <v>365</v>
      </c>
      <c r="G8" s="1850"/>
      <c r="H8" s="349"/>
      <c r="I8" s="3234"/>
      <c r="J8" s="351"/>
      <c r="K8" s="352"/>
      <c r="L8" s="347" t="s">
        <v>1408</v>
      </c>
      <c r="M8" s="348">
        <f ca="1">INDIRECT("'数据-取费表'!ai"&amp;$G$1)</f>
        <v>365</v>
      </c>
    </row>
    <row r="9" spans="1:37" ht="18" customHeight="1">
      <c r="A9" s="349"/>
      <c r="B9" s="3235"/>
      <c r="C9" s="351"/>
      <c r="D9" s="352"/>
      <c r="E9" s="347" t="s">
        <v>1409</v>
      </c>
      <c r="F9" s="357">
        <f ca="1">INDIRECT("'数据-取费表'!w"&amp;$G$1)</f>
        <v>0.15</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3</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7310</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4718</v>
      </c>
      <c r="D14" s="2953" t="s">
        <v>1420</v>
      </c>
      <c r="E14" s="2952"/>
      <c r="F14" s="364"/>
      <c r="G14" s="1850"/>
      <c r="H14" s="1199" t="s">
        <v>1035</v>
      </c>
      <c r="I14" s="347" t="s">
        <v>1421</v>
      </c>
      <c r="J14" s="24">
        <f ca="1">C29</f>
        <v>7310</v>
      </c>
      <c r="K14" s="2949"/>
      <c r="L14" s="977"/>
      <c r="M14" s="978"/>
    </row>
    <row r="15" spans="1:37" s="1857" customFormat="1" ht="18" customHeight="1" thickBot="1">
      <c r="A15" s="1199" t="s">
        <v>1036</v>
      </c>
      <c r="B15" s="347" t="s">
        <v>1422</v>
      </c>
      <c r="C15" s="24">
        <f ca="1">ROUND(C14*F15,0)</f>
        <v>236</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171</v>
      </c>
      <c r="K16" s="1335" t="s">
        <v>1427</v>
      </c>
      <c r="L16" s="2955"/>
      <c r="M16" s="1292"/>
    </row>
    <row r="17" spans="1:37" s="1857" customFormat="1" ht="18" customHeight="1">
      <c r="A17" s="1199" t="s">
        <v>1391</v>
      </c>
      <c r="B17" s="347" t="s">
        <v>1428</v>
      </c>
      <c r="C17" s="24">
        <f ca="1">ROUND(F17*(F43+INDIRECT("'数据-取费表'!S"&amp;$G$1))/10000,0)</f>
        <v>270</v>
      </c>
      <c r="D17" s="347" t="s">
        <v>1429</v>
      </c>
      <c r="E17" s="347" t="s">
        <v>1430</v>
      </c>
      <c r="F17" s="26">
        <f>'数据-取费表'!B35</f>
        <v>200</v>
      </c>
      <c r="G17" s="1853"/>
      <c r="H17" s="1199" t="s">
        <v>1035</v>
      </c>
      <c r="I17" s="347" t="s">
        <v>1431</v>
      </c>
      <c r="J17" s="24">
        <f ca="1">ROUND(IF(项目基本情况!B11="自然人",J5*M17,J18+J19+J20),1)</f>
        <v>61.4</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71</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5295</v>
      </c>
      <c r="D19" s="140" t="s">
        <v>1438</v>
      </c>
      <c r="E19" s="2948"/>
      <c r="F19" s="26"/>
      <c r="G19" s="1850"/>
      <c r="H19" s="1199" t="s">
        <v>1036</v>
      </c>
      <c r="I19" s="347" t="s">
        <v>1439</v>
      </c>
      <c r="J19" s="24">
        <f ca="1">IF(K19="按租金收入计税",ROUND(J5*M19,2),ROUND(C29*M19*0.7,2))</f>
        <v>61.4</v>
      </c>
      <c r="K19" s="1827" t="s">
        <v>1440</v>
      </c>
      <c r="L19" s="347" t="s">
        <v>1424</v>
      </c>
      <c r="M19" s="367">
        <f>IF(K19="按租金收入计税",'数据-取费表'!B51,'数据-取费表'!B50)</f>
        <v>1.2E-2</v>
      </c>
    </row>
    <row r="20" spans="1:37" s="1857" customFormat="1" ht="18" customHeight="1">
      <c r="A20" s="1199" t="s">
        <v>1039</v>
      </c>
      <c r="B20" s="347" t="s">
        <v>1441</v>
      </c>
      <c r="C20" s="24">
        <f ca="1">ROUND(C19*F20,0)</f>
        <v>106</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3056.93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109.7</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-171</v>
      </c>
      <c r="K25" s="1343" t="s">
        <v>1466</v>
      </c>
      <c r="L25" s="1344"/>
      <c r="M25" s="1345"/>
    </row>
    <row r="26" spans="1:37">
      <c r="A26" s="1199" t="s">
        <v>1034</v>
      </c>
      <c r="B26" s="347" t="s">
        <v>1467</v>
      </c>
      <c r="C26" s="24">
        <f ca="1">ROUND((C19+C20)*F26,0)</f>
        <v>1080</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7310</v>
      </c>
      <c r="D29" s="1340"/>
      <c r="E29" s="1338"/>
      <c r="F29" s="1341"/>
      <c r="G29" s="1853"/>
      <c r="H29" s="380" t="s">
        <v>1033</v>
      </c>
      <c r="I29" s="381" t="s">
        <v>1481</v>
      </c>
      <c r="J29" s="382">
        <f ca="1">ROUND(J26/(1+F40)^F41,0)</f>
        <v>0</v>
      </c>
      <c r="K29" s="383" t="s">
        <v>1482</v>
      </c>
      <c r="L29" s="384"/>
      <c r="M29" s="385">
        <f ca="1">INDIRECT("'数据-取费表'!k"&amp;$G$1)</f>
        <v>12553.389999999992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443</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304.39999999999998</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93.65</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210.72</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3056.93</v>
      </c>
      <c r="G35" s="1850"/>
      <c r="H35" s="745"/>
      <c r="I35" s="1859"/>
      <c r="J35" s="1860"/>
      <c r="K35" s="1861"/>
      <c r="L35" s="1858"/>
      <c r="M35" s="1858"/>
    </row>
    <row r="36" spans="1:18" ht="18" customHeight="1">
      <c r="A36" s="1350" t="s">
        <v>1039</v>
      </c>
      <c r="B36" s="347" t="s">
        <v>1451</v>
      </c>
      <c r="C36" s="24">
        <f ca="1">ROUND(C29*F36,1)</f>
        <v>109.7</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11</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17.600000000000001</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1313</v>
      </c>
      <c r="D39" s="1343" t="s">
        <v>1466</v>
      </c>
      <c r="E39" s="1344"/>
      <c r="F39" s="1345"/>
      <c r="G39" s="1850"/>
      <c r="H39" s="1858"/>
      <c r="I39" s="1859"/>
      <c r="J39" s="1860"/>
      <c r="K39" s="1864"/>
      <c r="L39" s="1858"/>
      <c r="M39" s="1858"/>
    </row>
    <row r="40" spans="1:18" ht="18" customHeight="1">
      <c r="A40" s="344" t="s">
        <v>1032</v>
      </c>
      <c r="B40" s="345" t="s">
        <v>1487</v>
      </c>
      <c r="C40" s="2989">
        <f ca="1">ROUND(H40/(1+F40)^H41,0)</f>
        <v>14486</v>
      </c>
      <c r="D40" s="370" t="s">
        <v>1471</v>
      </c>
      <c r="E40" s="347" t="s">
        <v>1472</v>
      </c>
      <c r="F40" s="357">
        <f ca="1">INDIRECT("'数据-取费表'!I"&amp;$G$1)</f>
        <v>0.06</v>
      </c>
      <c r="G40" s="1850"/>
      <c r="H40" s="2987">
        <f ca="1">ROUND(C39*(1-((1+F42)/(1+F40))^F41)/(F40-F42),0)</f>
        <v>14486</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14</v>
      </c>
      <c r="G41" s="1850"/>
      <c r="H41" s="2988">
        <v>0</v>
      </c>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11540</v>
      </c>
      <c r="D43" s="383" t="s">
        <v>1490</v>
      </c>
      <c r="E43" s="384" t="s">
        <v>1491</v>
      </c>
      <c r="F43" s="385">
        <f ca="1">INDIRECT("'数据-取费表'!k"&amp;$G$1)</f>
        <v>12553.389999999992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-21318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14486</v>
      </c>
      <c r="R47" s="1885" t="s">
        <v>1531</v>
      </c>
    </row>
    <row r="48" spans="1:18" s="1841" customFormat="1" ht="28.5" thickBot="1">
      <c r="A48" s="1358" t="s">
        <v>1135</v>
      </c>
      <c r="B48" s="345" t="s">
        <v>1402</v>
      </c>
      <c r="C48" s="2947">
        <f ca="1">C49+C53+C55</f>
        <v>0</v>
      </c>
      <c r="D48" s="1360"/>
      <c r="E48" s="1361"/>
      <c r="F48" s="1179"/>
      <c r="G48" s="792"/>
      <c r="H48" s="793"/>
      <c r="I48" s="1886" t="s">
        <v>1532</v>
      </c>
      <c r="J48" s="1887" t="s">
        <v>3096</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7310</v>
      </c>
      <c r="R49" s="1885" t="s">
        <v>1531</v>
      </c>
    </row>
    <row r="50" spans="1:18" s="1841" customFormat="1" ht="13.5" thickBot="1">
      <c r="A50" s="1193"/>
      <c r="B50" s="1196"/>
      <c r="C50" s="1366"/>
      <c r="D50" s="1170"/>
      <c r="E50" s="1275" t="s">
        <v>1407</v>
      </c>
      <c r="F50" s="1276">
        <f ca="1">F7</f>
        <v>12553.389999999992</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59</v>
      </c>
      <c r="K51" s="1899" t="s">
        <v>1543</v>
      </c>
      <c r="L51" s="1900">
        <f ca="1">ROUND(-PV(INDIRECT("'数据-取费表'!h"&amp;$G$1),L48,(C39-C13*C76),0),0)</f>
        <v>18382</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14486</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7310</v>
      </c>
      <c r="D56" s="1913"/>
      <c r="E56" s="1914"/>
      <c r="F56" s="1906"/>
      <c r="I56" s="1915" t="s">
        <v>1556</v>
      </c>
      <c r="J56" s="1916" t="s">
        <v>3048</v>
      </c>
      <c r="K56" s="1886" t="s">
        <v>1557</v>
      </c>
      <c r="L56" s="1889" t="str">
        <f ca="1">IF(L48&lt;J51,"——",L48-J53)</f>
        <v>——</v>
      </c>
      <c r="O56" s="1883" t="s">
        <v>1040</v>
      </c>
      <c r="P56" s="1884" t="s">
        <v>1530</v>
      </c>
      <c r="Q56" s="1885">
        <f ca="1">C40+J29</f>
        <v>14486</v>
      </c>
      <c r="R56" s="1885" t="s">
        <v>1531</v>
      </c>
    </row>
    <row r="57" spans="1:18" s="1841" customFormat="1" ht="24.75" thickBot="1">
      <c r="A57" s="1917"/>
      <c r="B57" s="1167" t="s">
        <v>1480</v>
      </c>
      <c r="C57" s="282">
        <f ca="1">C29</f>
        <v>7310</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735</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614</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614.04</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14486</v>
      </c>
      <c r="R62" s="1885" t="s">
        <v>1047</v>
      </c>
    </row>
    <row r="63" spans="1:18" s="1841" customFormat="1" ht="13.5" thickBot="1">
      <c r="A63" s="372"/>
      <c r="B63" s="1173"/>
      <c r="C63" s="29"/>
      <c r="D63" s="1183"/>
      <c r="E63" s="1167" t="s">
        <v>1449</v>
      </c>
      <c r="F63" s="348">
        <f t="shared" ca="1" si="0"/>
        <v>3056.93</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109.7</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11</v>
      </c>
      <c r="D65" s="1181" t="s">
        <v>1456</v>
      </c>
      <c r="E65" s="1167" t="s">
        <v>1424</v>
      </c>
      <c r="F65" s="376">
        <f t="shared" ca="1" si="0"/>
        <v>1.5E-3</v>
      </c>
      <c r="I65" s="1928" t="s">
        <v>1581</v>
      </c>
      <c r="J65" s="1929">
        <v>40</v>
      </c>
      <c r="K65" s="1929">
        <v>30</v>
      </c>
      <c r="L65" s="1929">
        <v>50</v>
      </c>
      <c r="M65" s="1931">
        <v>0.02</v>
      </c>
      <c r="O65" s="1883" t="s">
        <v>1040</v>
      </c>
      <c r="P65" s="1884" t="s">
        <v>1530</v>
      </c>
      <c r="Q65" s="1885">
        <f ca="1">C40+J29</f>
        <v>14486</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-735</v>
      </c>
      <c r="D67" s="1180" t="s">
        <v>1466</v>
      </c>
      <c r="E67" s="1185"/>
      <c r="F67" s="1186"/>
      <c r="O67" s="1893" t="s">
        <v>1042</v>
      </c>
      <c r="P67" s="1884" t="s">
        <v>1564</v>
      </c>
      <c r="Q67" s="1932">
        <f ca="1">L51</f>
        <v>18382</v>
      </c>
      <c r="R67" s="1885" t="s">
        <v>1584</v>
      </c>
    </row>
    <row r="68" spans="1:18" s="1841" customFormat="1" ht="16.5" thickBot="1">
      <c r="A68" s="1164" t="s">
        <v>1032</v>
      </c>
      <c r="B68" s="1165" t="s">
        <v>1487</v>
      </c>
      <c r="C68" s="346">
        <f ca="1">ROUND(C67*(1-((1+F70)/(1+F68))^F69)/(F68-F70),0)</f>
        <v>-6832</v>
      </c>
      <c r="D68" s="1182" t="s">
        <v>1471</v>
      </c>
      <c r="E68" s="1167" t="s">
        <v>1472</v>
      </c>
      <c r="F68" s="357">
        <f ca="1">F40</f>
        <v>0.06</v>
      </c>
      <c r="O68" s="1893" t="s">
        <v>1043</v>
      </c>
      <c r="P68" s="1933" t="s">
        <v>1585</v>
      </c>
      <c r="Q68" s="1885">
        <f ca="1">ROUND(Q69-Q70*Q71,0)</f>
        <v>1313</v>
      </c>
      <c r="R68" s="1885" t="s">
        <v>1051</v>
      </c>
    </row>
    <row r="69" spans="1:18" s="1841" customFormat="1" ht="13.5" thickBot="1">
      <c r="A69" s="1168"/>
      <c r="B69" s="1169"/>
      <c r="C69" s="351"/>
      <c r="D69" s="1187" t="s">
        <v>1475</v>
      </c>
      <c r="E69" s="1167" t="s">
        <v>1476</v>
      </c>
      <c r="F69" s="379">
        <f ca="1">F41</f>
        <v>14</v>
      </c>
      <c r="O69" s="1893" t="s">
        <v>1048</v>
      </c>
      <c r="P69" s="1933" t="s">
        <v>1586</v>
      </c>
      <c r="Q69" s="1885">
        <f ca="1">C39</f>
        <v>1313</v>
      </c>
      <c r="R69" s="1885" t="s">
        <v>1531</v>
      </c>
    </row>
    <row r="70" spans="1:18" s="1841" customFormat="1" ht="13.5" thickBot="1">
      <c r="A70" s="1171"/>
      <c r="B70" s="1172"/>
      <c r="C70" s="355"/>
      <c r="D70" s="1183"/>
      <c r="E70" s="1167" t="s">
        <v>1479</v>
      </c>
      <c r="F70" s="1273"/>
      <c r="O70" s="1893" t="s">
        <v>1049</v>
      </c>
      <c r="P70" s="1933" t="s">
        <v>1587</v>
      </c>
      <c r="Q70" s="1885">
        <f ca="1">C13</f>
        <v>7310</v>
      </c>
      <c r="R70" s="1885" t="s">
        <v>1531</v>
      </c>
    </row>
    <row r="71" spans="1:18" s="1841" customFormat="1" ht="13.5" thickBot="1">
      <c r="A71" s="1188" t="s">
        <v>1033</v>
      </c>
      <c r="B71" s="1189" t="s">
        <v>1489</v>
      </c>
      <c r="C71" s="382">
        <f ca="1">ROUND(C68*10000/F71,0)</f>
        <v>-5442</v>
      </c>
      <c r="D71" s="1190" t="s">
        <v>1490</v>
      </c>
      <c r="E71" s="1191" t="s">
        <v>1491</v>
      </c>
      <c r="F71" s="385">
        <f ca="1">F43</f>
        <v>12553.389999999992</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14486</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0.495</v>
      </c>
    </row>
    <row r="83" spans="2:3">
      <c r="B83" s="317" t="s">
        <v>1516</v>
      </c>
      <c r="C83" s="318">
        <f ca="1">ROUND(C13/C40,3)</f>
        <v>0.505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K19" sqref="K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3198</v>
      </c>
      <c r="D1" s="1819" t="s">
        <v>70</v>
      </c>
      <c r="E1" s="1820" t="s">
        <v>1388</v>
      </c>
      <c r="F1" s="1281">
        <f ca="1">J53</f>
        <v>14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25361</v>
      </c>
      <c r="C2" s="1844" t="s">
        <v>1518</v>
      </c>
      <c r="D2" s="1844"/>
      <c r="E2" s="1845"/>
      <c r="F2" s="1846"/>
      <c r="G2" s="1847"/>
      <c r="H2" s="1839"/>
      <c r="I2" s="1839"/>
      <c r="J2" s="1839"/>
      <c r="K2" s="1840"/>
      <c r="L2" s="1839"/>
      <c r="M2" s="1839"/>
    </row>
    <row r="3" spans="1:37" ht="18" customHeight="1" thickBot="1">
      <c r="A3" s="1848" t="s">
        <v>1519</v>
      </c>
      <c r="B3" s="1849">
        <f ca="1">IF(ISERROR(B2*10000/F43),0,ROUND(B2*10000/F43,0))</f>
        <v>10607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3478</v>
      </c>
      <c r="D5" s="1821" t="s">
        <v>1403</v>
      </c>
      <c r="E5" s="1291"/>
      <c r="F5" s="1292"/>
      <c r="G5" s="1850"/>
      <c r="H5" s="344">
        <v>1</v>
      </c>
      <c r="I5" s="345" t="s">
        <v>1402</v>
      </c>
      <c r="J5" s="1290">
        <f ca="1">J6+J10+J12</f>
        <v>3864</v>
      </c>
      <c r="K5" s="1821" t="s">
        <v>1403</v>
      </c>
      <c r="L5" s="1291"/>
      <c r="M5" s="1292"/>
    </row>
    <row r="6" spans="1:37" ht="18" customHeight="1">
      <c r="A6" s="1289" t="s">
        <v>1035</v>
      </c>
      <c r="B6" s="3233" t="s">
        <v>1404</v>
      </c>
      <c r="C6" s="1294">
        <f ca="1">ROUND(F6*F8*F7*(1-F9)/10000,0)</f>
        <v>3474</v>
      </c>
      <c r="D6" s="164" t="s">
        <v>3040</v>
      </c>
      <c r="E6" s="347" t="s">
        <v>1406</v>
      </c>
      <c r="F6" s="348">
        <f ca="1">INDIRECT("'数据-取费表'!u"&amp;$G$1)</f>
        <v>3.98</v>
      </c>
      <c r="G6" s="1850"/>
      <c r="H6" s="1289" t="s">
        <v>1035</v>
      </c>
      <c r="I6" s="3233" t="s">
        <v>1404</v>
      </c>
      <c r="J6" s="346">
        <f ca="1">ROUND(M6*M8*M7*(1-M9)/10000,0)</f>
        <v>3858</v>
      </c>
      <c r="K6" s="164" t="s">
        <v>3039</v>
      </c>
      <c r="L6" s="347" t="s">
        <v>1406</v>
      </c>
      <c r="M6" s="348">
        <f ca="1">INDIRECT("'数据-取费表'!z"&amp;$G$1)</f>
        <v>5.2</v>
      </c>
    </row>
    <row r="7" spans="1:37" ht="18" customHeight="1">
      <c r="A7" s="1293"/>
      <c r="B7" s="3234"/>
      <c r="C7" s="1295"/>
      <c r="D7" s="352"/>
      <c r="E7" s="1296" t="s">
        <v>1407</v>
      </c>
      <c r="F7" s="348">
        <f ca="1">IF(INDIRECT("'数据-取费表'!ah"&amp;$G$1)="",INDIRECT("'数据-取费表'!k"&amp;$G$1),INDIRECT("'数据-取费表'!ah"&amp;$G$1))</f>
        <v>23910.770000000011</v>
      </c>
      <c r="G7" s="1850"/>
      <c r="H7" s="349"/>
      <c r="I7" s="3234"/>
      <c r="J7" s="351"/>
      <c r="K7" s="352"/>
      <c r="L7" s="347" t="s">
        <v>1407</v>
      </c>
      <c r="M7" s="348">
        <f ca="1">F7</f>
        <v>23910.770000000011</v>
      </c>
    </row>
    <row r="8" spans="1:37" ht="18" customHeight="1">
      <c r="A8" s="349"/>
      <c r="B8" s="3234"/>
      <c r="C8" s="351"/>
      <c r="D8" s="352"/>
      <c r="E8" s="347" t="s">
        <v>1408</v>
      </c>
      <c r="F8" s="348">
        <f ca="1">INDIRECT("'数据-取费表'!ai"&amp;$G$1)</f>
        <v>365</v>
      </c>
      <c r="G8" s="1850"/>
      <c r="H8" s="349"/>
      <c r="I8" s="3234"/>
      <c r="J8" s="351"/>
      <c r="K8" s="352"/>
      <c r="L8" s="347" t="s">
        <v>1408</v>
      </c>
      <c r="M8" s="348">
        <f ca="1">INDIRECT("'数据-取费表'!ai"&amp;$G$1)</f>
        <v>365</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0.15</v>
      </c>
    </row>
    <row r="10" spans="1:37" ht="18" customHeight="1">
      <c r="A10" s="1289" t="s">
        <v>1039</v>
      </c>
      <c r="B10" s="1822" t="s">
        <v>1410</v>
      </c>
      <c r="C10" s="361">
        <f ca="1">ROUND(IF(F10="押一",F6*F8*F7/12*F11,IF(F10="押二",F6*F8*F7/12*2*F11,IF(F10="押三",F6*F8*F7/12*3*F11,C11*F11)))/10000,0)</f>
        <v>4</v>
      </c>
      <c r="D10" s="1823" t="s">
        <v>3041</v>
      </c>
      <c r="E10" s="358" t="s">
        <v>1412</v>
      </c>
      <c r="F10" s="1364" t="s">
        <v>3055</v>
      </c>
      <c r="G10" s="1850"/>
      <c r="H10" s="1289" t="s">
        <v>1039</v>
      </c>
      <c r="I10" s="1822" t="s">
        <v>1410</v>
      </c>
      <c r="J10" s="346">
        <f ca="1">ROUND(IF(M10="押一",M6*M8*M7/12*M11,IF(M10="押二",M6*M8*M7/12*2*M11,IF(M10="押三",M6*M8*M7/12*3*M11,J11*M11)))/10000,0)</f>
        <v>6</v>
      </c>
      <c r="K10" s="1823" t="s">
        <v>3042</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13923</v>
      </c>
      <c r="D13" s="1329" t="s">
        <v>1417</v>
      </c>
      <c r="E13" s="1329" t="s">
        <v>1418</v>
      </c>
      <c r="F13" s="1330">
        <f ca="1">INDIRECT("'数据-取费表'!y"&amp;$G$1)</f>
        <v>1</v>
      </c>
      <c r="G13" s="1850"/>
      <c r="H13" s="1327">
        <v>2</v>
      </c>
      <c r="I13" s="1328" t="s">
        <v>1416</v>
      </c>
      <c r="J13" s="1288">
        <f ca="1">ROUND(J14*J15,0)</f>
        <v>12809</v>
      </c>
      <c r="K13" s="1335" t="s">
        <v>1417</v>
      </c>
      <c r="L13" s="1851"/>
      <c r="M13" s="1852"/>
    </row>
    <row r="14" spans="1:37" ht="18" customHeight="1">
      <c r="A14" s="1199" t="s">
        <v>1034</v>
      </c>
      <c r="B14" s="347" t="s">
        <v>1419</v>
      </c>
      <c r="C14" s="363">
        <f ca="1">INDIRECT("'数据-取费表'!m"&amp;$G$1)+INDIRECT("'数据-取费表'!t"&amp;$G$1)</f>
        <v>8987</v>
      </c>
      <c r="D14" s="1799" t="s">
        <v>1420</v>
      </c>
      <c r="E14" s="1793"/>
      <c r="F14" s="364"/>
      <c r="G14" s="1850"/>
      <c r="H14" s="1199" t="s">
        <v>1035</v>
      </c>
      <c r="I14" s="347" t="s">
        <v>1421</v>
      </c>
      <c r="J14" s="24">
        <f ca="1">C29</f>
        <v>13923</v>
      </c>
      <c r="K14" s="15"/>
      <c r="L14" s="977"/>
      <c r="M14" s="978"/>
    </row>
    <row r="15" spans="1:37" s="1857" customFormat="1" ht="18" customHeight="1" thickBot="1">
      <c r="A15" s="1199" t="s">
        <v>1036</v>
      </c>
      <c r="B15" s="347" t="s">
        <v>1422</v>
      </c>
      <c r="C15" s="24">
        <f ca="1">ROUND(C14*F15,0)</f>
        <v>449</v>
      </c>
      <c r="D15" s="365" t="s">
        <v>1423</v>
      </c>
      <c r="E15" s="365" t="s">
        <v>1424</v>
      </c>
      <c r="F15" s="366">
        <f>'数据-取费表'!B33</f>
        <v>0.05</v>
      </c>
      <c r="G15" s="1853"/>
      <c r="H15" s="1337" t="s">
        <v>1039</v>
      </c>
      <c r="I15" s="1338" t="s">
        <v>1418</v>
      </c>
      <c r="J15" s="1347">
        <f ca="1">INDIRECT("'数据-取费表'!ad"&amp;$G$1)</f>
        <v>0.92</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936</v>
      </c>
      <c r="K16" s="1335" t="s">
        <v>1427</v>
      </c>
      <c r="L16" s="1336"/>
      <c r="M16" s="1292"/>
    </row>
    <row r="17" spans="1:37" s="1857" customFormat="1" ht="18" customHeight="1">
      <c r="A17" s="1199" t="s">
        <v>1391</v>
      </c>
      <c r="B17" s="347" t="s">
        <v>1428</v>
      </c>
      <c r="C17" s="24">
        <f ca="1">ROUND(F17*(F43+INDIRECT("'数据-取费表'!S"&amp;$G$1))/10000,0)</f>
        <v>514</v>
      </c>
      <c r="D17" s="347" t="s">
        <v>1429</v>
      </c>
      <c r="E17" s="347" t="s">
        <v>1430</v>
      </c>
      <c r="F17" s="26">
        <f>'数据-取费表'!B35</f>
        <v>200</v>
      </c>
      <c r="G17" s="1853"/>
      <c r="H17" s="1199" t="s">
        <v>1035</v>
      </c>
      <c r="I17" s="347" t="s">
        <v>1431</v>
      </c>
      <c r="J17" s="24">
        <f ca="1">ROUND(IF(项目基本情况!B11="自然人",J5*M17,J18+J19+J20),1)</f>
        <v>669.8</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135</v>
      </c>
      <c r="D18" s="347" t="s">
        <v>1423</v>
      </c>
      <c r="E18" s="347" t="s">
        <v>1424</v>
      </c>
      <c r="F18" s="367">
        <f>'数据-取费表'!B36</f>
        <v>1.4999999999999999E-2</v>
      </c>
      <c r="G18" s="1853"/>
      <c r="H18" s="1199" t="s">
        <v>1034</v>
      </c>
      <c r="I18" s="347" t="s">
        <v>1435</v>
      </c>
      <c r="J18" s="24">
        <f ca="1">ROUND(J5*M18/(1+'数据-取费表'!C42),2)</f>
        <v>206.08</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10085</v>
      </c>
      <c r="D19" s="140" t="s">
        <v>1438</v>
      </c>
      <c r="E19" s="1817"/>
      <c r="F19" s="26"/>
      <c r="G19" s="1850"/>
      <c r="H19" s="1199" t="s">
        <v>1036</v>
      </c>
      <c r="I19" s="347" t="s">
        <v>1439</v>
      </c>
      <c r="J19" s="24">
        <f ca="1">IF(K19="按租金收入计税",ROUND(J5*M19,2),ROUND(C29*M19*0.7,2))</f>
        <v>463.68</v>
      </c>
      <c r="K19" s="1827" t="s">
        <v>3094</v>
      </c>
      <c r="L19" s="347" t="s">
        <v>1424</v>
      </c>
      <c r="M19" s="367">
        <f>IF(K19="按租金收入计税",'数据-取费表'!B51,'数据-取费表'!B50)</f>
        <v>0.12</v>
      </c>
    </row>
    <row r="20" spans="1:37" s="1857" customFormat="1" ht="18" customHeight="1">
      <c r="A20" s="1199" t="s">
        <v>1039</v>
      </c>
      <c r="B20" s="347" t="s">
        <v>1441</v>
      </c>
      <c r="C20" s="24">
        <f ca="1">ROUND(C19*F20,0)</f>
        <v>202</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5822.6100000000006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208.8</v>
      </c>
      <c r="K22" s="1797"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489</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19.2</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38.6</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2928</v>
      </c>
      <c r="K25" s="1343" t="s">
        <v>1466</v>
      </c>
      <c r="L25" s="1344"/>
      <c r="M25" s="1345"/>
    </row>
    <row r="26" spans="1:37">
      <c r="A26" s="1199" t="s">
        <v>1034</v>
      </c>
      <c r="B26" s="347" t="s">
        <v>1467</v>
      </c>
      <c r="C26" s="24">
        <f ca="1">ROUND((C19+C20)*F26,0)</f>
        <v>2057</v>
      </c>
      <c r="D26" s="369" t="s">
        <v>1468</v>
      </c>
      <c r="E26" s="358" t="s">
        <v>1469</v>
      </c>
      <c r="F26" s="357">
        <f ca="1">INDIRECT("'数据-取费表'!q"&amp;$G$1)</f>
        <v>0.2</v>
      </c>
      <c r="G26" s="1850"/>
      <c r="H26" s="344" t="s">
        <v>1032</v>
      </c>
      <c r="I26" s="345" t="s">
        <v>1470</v>
      </c>
      <c r="J26" s="346">
        <f ca="1">IF(J5&lt;&gt;0,ROUND(J25*(1-((1+M28)/(1+M26))^M27)/(M26-M28),0),0)</f>
        <v>12247</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2968">
        <f ca="1">14-F41</f>
        <v>4.67</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13923</v>
      </c>
      <c r="D29" s="1340"/>
      <c r="E29" s="1338"/>
      <c r="F29" s="1341"/>
      <c r="G29" s="1853"/>
      <c r="H29" s="380" t="s">
        <v>1033</v>
      </c>
      <c r="I29" s="381" t="s">
        <v>1481</v>
      </c>
      <c r="J29" s="382">
        <f ca="1">ROUND(J26/(1+F40)^(F41+H41),0)</f>
        <v>7111</v>
      </c>
      <c r="K29" s="383" t="s">
        <v>1482</v>
      </c>
      <c r="L29" s="384"/>
      <c r="M29" s="385">
        <f ca="1">INDIRECT("'数据-取费表'!k"&amp;$G$1)</f>
        <v>23910.770000000011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867</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ROUND(IF(项目基本情况!B11="自然人",C5*F31,C32+C33+C34),1)</f>
        <v>602.9</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185.49</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417.36</v>
      </c>
      <c r="D33" s="1827" t="s">
        <v>3094</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5822.6100000000006</v>
      </c>
      <c r="G35" s="1850"/>
      <c r="H35" s="745"/>
      <c r="I35" s="1859"/>
      <c r="J35" s="1860"/>
      <c r="K35" s="1861"/>
      <c r="L35" s="1858"/>
      <c r="M35" s="1858"/>
    </row>
    <row r="36" spans="1:18" ht="18" customHeight="1">
      <c r="A36" s="1350" t="s">
        <v>1039</v>
      </c>
      <c r="B36" s="347" t="s">
        <v>1451</v>
      </c>
      <c r="C36" s="24">
        <f ca="1">ROUND(C29*F36,1)</f>
        <v>208.8</v>
      </c>
      <c r="D36" s="1797"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20.9</v>
      </c>
      <c r="D37" s="1797"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34.799999999999997</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5">
        <f ca="1">C5-C30</f>
        <v>2611</v>
      </c>
      <c r="D39" s="1343" t="s">
        <v>1486</v>
      </c>
      <c r="E39" s="1344"/>
      <c r="F39" s="1345"/>
      <c r="G39" s="1850"/>
      <c r="H39" s="1858"/>
      <c r="I39" s="1859"/>
      <c r="J39" s="1860"/>
      <c r="K39" s="1864"/>
      <c r="L39" s="1858"/>
      <c r="M39" s="1858"/>
    </row>
    <row r="40" spans="1:18" ht="18" customHeight="1">
      <c r="A40" s="344" t="s">
        <v>1032</v>
      </c>
      <c r="B40" s="345" t="s">
        <v>1487</v>
      </c>
      <c r="C40" s="346">
        <f ca="1">ROUND(H40/(1+F40)^H41,0)</f>
        <v>18250</v>
      </c>
      <c r="D40" s="370" t="s">
        <v>1471</v>
      </c>
      <c r="E40" s="347" t="s">
        <v>1472</v>
      </c>
      <c r="F40" s="357">
        <f ca="1">INDIRECT("'数据-取费表'!I"&amp;$G$1)</f>
        <v>0.06</v>
      </c>
      <c r="G40" s="1850"/>
      <c r="H40" s="1927">
        <f ca="1">ROUND(C39*(1-((1+F42)/(1+F40))^F41)/(F40-F42),0)</f>
        <v>18250</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9.33</v>
      </c>
      <c r="G41" s="1850"/>
      <c r="H41" s="1580">
        <v>0</v>
      </c>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f ca="1">ROUND(C40*10000/F43,0)</f>
        <v>7633</v>
      </c>
      <c r="D43" s="383" t="s">
        <v>1490</v>
      </c>
      <c r="E43" s="384" t="s">
        <v>1491</v>
      </c>
      <c r="F43" s="385">
        <f ca="1">INDIRECT("'数据-取费表'!k"&amp;$G$1)</f>
        <v>23910.770000000011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-28028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3095</v>
      </c>
      <c r="K47" s="1881" t="s">
        <v>1529</v>
      </c>
      <c r="L47" s="1882">
        <f ca="1">INDIRECT("'数据-取费表'!d"&amp;$G$1)</f>
        <v>0</v>
      </c>
      <c r="M47" s="1837" t="str">
        <f>IF(ISNUMBER(FIND("住宅",C1)),"住宅","非住宅")</f>
        <v>非住宅</v>
      </c>
      <c r="O47" s="1883" t="s">
        <v>1040</v>
      </c>
      <c r="P47" s="1884" t="s">
        <v>1530</v>
      </c>
      <c r="Q47" s="1885">
        <f ca="1">C40+J29</f>
        <v>25361</v>
      </c>
      <c r="R47" s="1885" t="s">
        <v>1531</v>
      </c>
    </row>
    <row r="48" spans="1:18" s="1841" customFormat="1" ht="28.5" thickBot="1">
      <c r="A48" s="1358" t="s">
        <v>1135</v>
      </c>
      <c r="B48" s="345" t="s">
        <v>1402</v>
      </c>
      <c r="C48" s="1816">
        <f ca="1">C49+C53+C55</f>
        <v>0</v>
      </c>
      <c r="D48" s="1360"/>
      <c r="E48" s="1361"/>
      <c r="F48" s="1179"/>
      <c r="G48" s="792"/>
      <c r="H48" s="793"/>
      <c r="I48" s="1886" t="s">
        <v>1532</v>
      </c>
      <c r="J48" s="1887" t="s">
        <v>3096</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v>2017</v>
      </c>
      <c r="K49" s="1888" t="s">
        <v>1537</v>
      </c>
      <c r="L49" s="1892"/>
      <c r="O49" s="1893" t="s">
        <v>1042</v>
      </c>
      <c r="P49" s="1884" t="s">
        <v>1538</v>
      </c>
      <c r="Q49" s="1885">
        <f ca="1">C29</f>
        <v>13923</v>
      </c>
      <c r="R49" s="1885" t="s">
        <v>1531</v>
      </c>
    </row>
    <row r="50" spans="1:18" s="1841" customFormat="1" ht="13.5" thickBot="1">
      <c r="A50" s="1193"/>
      <c r="B50" s="1196"/>
      <c r="C50" s="1366"/>
      <c r="D50" s="1170"/>
      <c r="E50" s="1275" t="s">
        <v>1407</v>
      </c>
      <c r="F50" s="1276">
        <f ca="1">F7</f>
        <v>23910.770000000011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59</v>
      </c>
      <c r="K51" s="1899" t="s">
        <v>1543</v>
      </c>
      <c r="L51" s="1900">
        <f ca="1">ROUND(-PV(INDIRECT("'数据-取费表'!h"&amp;$G$1),L48,(C39-C13*C76),0),0)</f>
        <v>36554</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25361</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13923</v>
      </c>
      <c r="D56" s="1913"/>
      <c r="E56" s="1914"/>
      <c r="F56" s="1906"/>
      <c r="I56" s="1915" t="s">
        <v>1556</v>
      </c>
      <c r="J56" s="1916" t="s">
        <v>3048</v>
      </c>
      <c r="K56" s="1886" t="s">
        <v>1557</v>
      </c>
      <c r="L56" s="1889" t="str">
        <f ca="1">IF(L48&lt;J51,"——",L48-J53)</f>
        <v>——</v>
      </c>
      <c r="O56" s="1883" t="s">
        <v>1040</v>
      </c>
      <c r="P56" s="1884" t="s">
        <v>1530</v>
      </c>
      <c r="Q56" s="1885">
        <f ca="1">C40+J29</f>
        <v>25361</v>
      </c>
      <c r="R56" s="1885" t="s">
        <v>1531</v>
      </c>
    </row>
    <row r="57" spans="1:18" s="1841" customFormat="1" ht="24.75" thickBot="1">
      <c r="A57" s="1917"/>
      <c r="B57" s="1167" t="s">
        <v>1480</v>
      </c>
      <c r="C57" s="282">
        <f ca="1">C29</f>
        <v>13923</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1399</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1169.5</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1169.53</v>
      </c>
      <c r="D61" s="1827" t="s">
        <v>1440</v>
      </c>
      <c r="E61" s="1167" t="s">
        <v>1496</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f ca="1">Q56+Q57</f>
        <v>25361</v>
      </c>
      <c r="R62" s="1885" t="s">
        <v>1047</v>
      </c>
    </row>
    <row r="63" spans="1:18" s="1841" customFormat="1" ht="13.5" thickBot="1">
      <c r="A63" s="372"/>
      <c r="B63" s="1173"/>
      <c r="C63" s="29"/>
      <c r="D63" s="1183"/>
      <c r="E63" s="1167" t="s">
        <v>1501</v>
      </c>
      <c r="F63" s="348">
        <f t="shared" ca="1" si="0"/>
        <v>5822.6100000000006</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208.8</v>
      </c>
      <c r="D64" s="1181" t="s">
        <v>1504</v>
      </c>
      <c r="E64" s="1167" t="s">
        <v>1496</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20.9</v>
      </c>
      <c r="D65" s="1181" t="s">
        <v>1456</v>
      </c>
      <c r="E65" s="1167" t="s">
        <v>1457</v>
      </c>
      <c r="F65" s="376">
        <f t="shared" ca="1" si="0"/>
        <v>1.5E-3</v>
      </c>
      <c r="I65" s="1928" t="s">
        <v>1581</v>
      </c>
      <c r="J65" s="1929">
        <v>40</v>
      </c>
      <c r="K65" s="1929">
        <v>30</v>
      </c>
      <c r="L65" s="1929">
        <v>50</v>
      </c>
      <c r="M65" s="1931">
        <v>0.02</v>
      </c>
      <c r="O65" s="1883" t="s">
        <v>1040</v>
      </c>
      <c r="P65" s="1884" t="s">
        <v>1582</v>
      </c>
      <c r="Q65" s="1885">
        <f ca="1">C40+J29</f>
        <v>25361</v>
      </c>
      <c r="R65" s="1885" t="s">
        <v>1531</v>
      </c>
    </row>
    <row r="66" spans="1:18" s="1841" customFormat="1" ht="16.5" thickBot="1">
      <c r="A66" s="1199" t="s">
        <v>1506</v>
      </c>
      <c r="B66" s="1167" t="s">
        <v>1441</v>
      </c>
      <c r="C66" s="24">
        <f ca="1">ROUND(C48*F66,1)</f>
        <v>0</v>
      </c>
      <c r="D66" s="1181" t="s">
        <v>1507</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-1399</v>
      </c>
      <c r="D67" s="1180" t="s">
        <v>1466</v>
      </c>
      <c r="E67" s="1185"/>
      <c r="F67" s="1186"/>
      <c r="O67" s="1893" t="s">
        <v>1042</v>
      </c>
      <c r="P67" s="1884" t="s">
        <v>1564</v>
      </c>
      <c r="Q67" s="1932">
        <f ca="1">L51</f>
        <v>36554</v>
      </c>
      <c r="R67" s="1885" t="s">
        <v>1584</v>
      </c>
    </row>
    <row r="68" spans="1:18" s="1841" customFormat="1" ht="16.5" thickBot="1">
      <c r="A68" s="1164" t="s">
        <v>1032</v>
      </c>
      <c r="B68" s="1165" t="s">
        <v>1487</v>
      </c>
      <c r="C68" s="346">
        <f ca="1">ROUND(C67*(1-((1+F70)/(1+F68))^F69)/(F68-F70),0)</f>
        <v>-9778</v>
      </c>
      <c r="D68" s="1182" t="s">
        <v>1471</v>
      </c>
      <c r="E68" s="1167" t="s">
        <v>1472</v>
      </c>
      <c r="F68" s="357">
        <f ca="1">F40</f>
        <v>0.06</v>
      </c>
      <c r="O68" s="1893" t="s">
        <v>1043</v>
      </c>
      <c r="P68" s="1933" t="s">
        <v>1585</v>
      </c>
      <c r="Q68" s="1885">
        <f ca="1">ROUND(Q69-Q70*Q71,0)</f>
        <v>2611</v>
      </c>
      <c r="R68" s="1885" t="s">
        <v>1051</v>
      </c>
    </row>
    <row r="69" spans="1:18" s="1841" customFormat="1" ht="13.5" thickBot="1">
      <c r="A69" s="1168"/>
      <c r="B69" s="1169"/>
      <c r="C69" s="351"/>
      <c r="D69" s="1187" t="s">
        <v>1475</v>
      </c>
      <c r="E69" s="1167" t="s">
        <v>1476</v>
      </c>
      <c r="F69" s="379">
        <f ca="1">F41</f>
        <v>9.33</v>
      </c>
      <c r="O69" s="1893" t="s">
        <v>1048</v>
      </c>
      <c r="P69" s="1933" t="s">
        <v>1586</v>
      </c>
      <c r="Q69" s="1885">
        <f ca="1">C39</f>
        <v>2611</v>
      </c>
      <c r="R69" s="1885" t="s">
        <v>1531</v>
      </c>
    </row>
    <row r="70" spans="1:18" s="1841" customFormat="1" ht="13.5" thickBot="1">
      <c r="A70" s="1171"/>
      <c r="B70" s="1172"/>
      <c r="C70" s="355"/>
      <c r="D70" s="1183"/>
      <c r="E70" s="1167" t="s">
        <v>1479</v>
      </c>
      <c r="F70" s="1273"/>
      <c r="O70" s="1893" t="s">
        <v>1049</v>
      </c>
      <c r="P70" s="1933" t="s">
        <v>1587</v>
      </c>
      <c r="Q70" s="1885">
        <f ca="1">C13</f>
        <v>13923</v>
      </c>
      <c r="R70" s="1885" t="s">
        <v>1531</v>
      </c>
    </row>
    <row r="71" spans="1:18" s="1841" customFormat="1" ht="13.5" thickBot="1">
      <c r="A71" s="1188" t="s">
        <v>1033</v>
      </c>
      <c r="B71" s="1189" t="s">
        <v>1489</v>
      </c>
      <c r="C71" s="382">
        <f ca="1">ROUND(C68*10000/F71,0)</f>
        <v>-4089</v>
      </c>
      <c r="D71" s="1190" t="s">
        <v>1490</v>
      </c>
      <c r="E71" s="1191" t="s">
        <v>1491</v>
      </c>
      <c r="F71" s="385">
        <f ca="1">F43</f>
        <v>23910.770000000011</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25361</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0.23699999999999999</v>
      </c>
    </row>
    <row r="83" spans="2:3">
      <c r="B83" s="317" t="s">
        <v>1516</v>
      </c>
      <c r="C83" s="318">
        <f ca="1">ROUND(C13/C40,3)</f>
        <v>0.76300000000000001</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估价对象为出让国有建设用地使用权及在建建筑物房地产，为所有。根据《国有土地使用证》[]，估价对象（分摊）出让国有建设用地使用权面积为11435.33平方米，建筑面积为50425.27平方米。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11435.33平方米，规划建筑面积为50425.27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2018年12月10日（评估专业人员实地查勘之日）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33" t="s">
        <v>1404</v>
      </c>
      <c r="C6" s="1294">
        <f ca="1">ROUND(F6*F8*F7*(1-F9),0)</f>
        <v>0</v>
      </c>
      <c r="D6" s="164" t="s">
        <v>3035</v>
      </c>
      <c r="E6" s="347" t="s">
        <v>1406</v>
      </c>
      <c r="F6" s="348">
        <f ca="1">INDIRECT("'数据-取费表'!u"&amp;$G$1)</f>
        <v>0</v>
      </c>
      <c r="G6" s="1850"/>
      <c r="H6" s="1289" t="s">
        <v>1035</v>
      </c>
      <c r="I6" s="3233" t="s">
        <v>1404</v>
      </c>
      <c r="J6" s="346">
        <f ca="1">ROUND(M6*M8*M7*(1-M9),0)</f>
        <v>0</v>
      </c>
      <c r="K6" s="1833" t="s">
        <v>3038</v>
      </c>
      <c r="L6" s="347" t="s">
        <v>1406</v>
      </c>
      <c r="M6" s="348">
        <f ca="1">INDIRECT("'数据-取费表'!z"&amp;$G$1)</f>
        <v>0</v>
      </c>
    </row>
    <row r="7" spans="1:37" ht="18" customHeight="1">
      <c r="A7" s="1293"/>
      <c r="B7" s="3234"/>
      <c r="C7" s="1295"/>
      <c r="D7" s="352"/>
      <c r="E7" s="1296" t="s">
        <v>1407</v>
      </c>
      <c r="F7" s="348">
        <f ca="1">IF(INDIRECT("'数据-取费表'!ah"&amp;$G$1)="",INDIRECT("'数据-取费表'!k"&amp;$G$1),INDIRECT("'数据-取费表'!ah"&amp;$G$1))</f>
        <v>0</v>
      </c>
      <c r="G7" s="1850"/>
      <c r="H7" s="349"/>
      <c r="I7" s="3234"/>
      <c r="J7" s="351"/>
      <c r="K7" s="352"/>
      <c r="L7" s="347" t="s">
        <v>1407</v>
      </c>
      <c r="M7" s="348">
        <f ca="1">F7</f>
        <v>0</v>
      </c>
    </row>
    <row r="8" spans="1:37" ht="18" customHeight="1">
      <c r="A8" s="349"/>
      <c r="B8" s="3234"/>
      <c r="C8" s="351"/>
      <c r="D8" s="352"/>
      <c r="E8" s="347" t="s">
        <v>1408</v>
      </c>
      <c r="F8" s="348">
        <f ca="1">INDIRECT("'数据-取费表'!ai"&amp;$G$1)</f>
        <v>0</v>
      </c>
      <c r="G8" s="1850"/>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3036</v>
      </c>
      <c r="E10" s="358" t="s">
        <v>1412</v>
      </c>
      <c r="F10" s="1364"/>
      <c r="G10" s="1850"/>
      <c r="H10" s="1289" t="s">
        <v>1039</v>
      </c>
      <c r="I10" s="1822" t="s">
        <v>1410</v>
      </c>
      <c r="J10" s="346">
        <f ca="1">ROUND(IF(M10="押一",M6*M8*M7/12*M11,IF(M10="押二",M6*M8*M7/12*2*M11,IF(M10="押三",M6*M8*M7/12*3*M11,J11*M11))),0)</f>
        <v>0</v>
      </c>
      <c r="K10" s="1834" t="s">
        <v>3037</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ROUND(M20*M21,0)</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IF(项目基本情况!B11="自然人","——",ROUND(C5*F32/(1+'数据-取费表'!C42),0))</f>
        <v>0</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2530</v>
      </c>
      <c r="B1" s="2561"/>
      <c r="C1" s="2561"/>
      <c r="D1" s="2561"/>
      <c r="E1" s="2562"/>
    </row>
    <row r="2" spans="1:6" ht="15.75">
      <c r="A2" s="2563" t="s">
        <v>2331</v>
      </c>
      <c r="B2" s="2564">
        <f ca="1">SUMIF(B6:B13,"&lt;&gt;#ref!",B6:B13)</f>
        <v>42677</v>
      </c>
      <c r="C2" s="2565" t="s">
        <v>2523</v>
      </c>
      <c r="D2" s="2566" t="s">
        <v>2524</v>
      </c>
      <c r="E2" s="2567">
        <f>SUM(E6:E13)</f>
        <v>50425.27</v>
      </c>
    </row>
    <row r="3" spans="1:6" ht="15.75">
      <c r="A3" s="2563" t="s">
        <v>1396</v>
      </c>
      <c r="B3" s="2564">
        <f ca="1">ROUND(B2*10000/E2,0)</f>
        <v>8463</v>
      </c>
      <c r="C3" s="2565" t="s">
        <v>2531</v>
      </c>
      <c r="D3" s="2568"/>
      <c r="E3" s="2569"/>
    </row>
    <row r="4" spans="1:6" ht="15.75">
      <c r="A4" s="2570"/>
      <c r="B4" s="2568"/>
      <c r="C4" s="2568"/>
      <c r="D4" s="2568"/>
      <c r="E4" s="2569"/>
    </row>
    <row r="5" spans="1:6" ht="15">
      <c r="A5" s="2571" t="s">
        <v>2525</v>
      </c>
      <c r="B5" s="3238" t="s">
        <v>2526</v>
      </c>
      <c r="C5" s="3238"/>
      <c r="D5" s="2572"/>
      <c r="E5" s="2573" t="s">
        <v>2527</v>
      </c>
      <c r="F5" s="2574" t="s">
        <v>2528</v>
      </c>
    </row>
    <row r="6" spans="1:6">
      <c r="A6" s="2575" t="str">
        <f>'数据-取费表'!AN6</f>
        <v>收益法-商业出租</v>
      </c>
      <c r="B6" s="2574">
        <f ca="1">IF(F6="是",'数据-取费表'!AO6,0)</f>
        <v>25361</v>
      </c>
      <c r="C6" s="2565" t="s">
        <v>2523</v>
      </c>
      <c r="D6" s="2568"/>
      <c r="E6" s="2576">
        <f>IF(OR(A6=0,F6="否"),0,'数据-取费表'!K6+'数据-取费表'!S6)</f>
        <v>25675.410000000011</v>
      </c>
      <c r="F6" s="2577" t="s">
        <v>2529</v>
      </c>
    </row>
    <row r="7" spans="1:6">
      <c r="A7" s="2575" t="str">
        <f>'数据-取费表'!AN7</f>
        <v>收益法-商业自用</v>
      </c>
      <c r="B7" s="2574">
        <f ca="1">IF(F7="是",'数据-取费表'!AO7,0)</f>
        <v>14486</v>
      </c>
      <c r="C7" s="2565" t="s">
        <v>2523</v>
      </c>
      <c r="D7" s="2568"/>
      <c r="E7" s="2576">
        <f>IF(OR(A7=0,F7="否"),0,'数据-取费表'!K7+'数据-取费表'!S7)</f>
        <v>13479.839999999993</v>
      </c>
      <c r="F7" s="2577" t="s">
        <v>2529</v>
      </c>
    </row>
    <row r="8" spans="1:6">
      <c r="A8" s="2575">
        <f>'数据-取费表'!AN8</f>
        <v>0</v>
      </c>
      <c r="B8" s="2574" t="e">
        <f ca="1">IF(F8="是",'数据-取费表'!AO8,0)</f>
        <v>#REF!</v>
      </c>
      <c r="C8" s="2565" t="s">
        <v>2523</v>
      </c>
      <c r="D8" s="2568"/>
      <c r="E8" s="2576">
        <f>IF(OR(A8=0,F8="否"),0,'数据-取费表'!K8+'数据-取费表'!S8)</f>
        <v>0</v>
      </c>
      <c r="F8" s="2577" t="s">
        <v>2529</v>
      </c>
    </row>
    <row r="9" spans="1:6">
      <c r="A9" s="2575">
        <f>'数据-取费表'!AN9</f>
        <v>0</v>
      </c>
      <c r="B9" s="2574" t="e">
        <f ca="1">IF(F9="是",'数据-取费表'!AO9,0)</f>
        <v>#REF!</v>
      </c>
      <c r="C9" s="2565" t="s">
        <v>2523</v>
      </c>
      <c r="D9" s="2568"/>
      <c r="E9" s="2576">
        <f>IF(OR(A9=0,F9="否"),0,'数据-取费表'!K9+'数据-取费表'!S9)</f>
        <v>0</v>
      </c>
      <c r="F9" s="2577" t="s">
        <v>2529</v>
      </c>
    </row>
    <row r="10" spans="1:6">
      <c r="A10" s="2575" t="str">
        <f>'数据-取费表'!AN10</f>
        <v>收益法-众创空间</v>
      </c>
      <c r="B10" s="2574">
        <f ca="1">IF(F10="是",'数据-取费表'!AO10,0)</f>
        <v>2485</v>
      </c>
      <c r="C10" s="2565" t="s">
        <v>2523</v>
      </c>
      <c r="D10" s="2568"/>
      <c r="E10" s="2576">
        <f>IF(OR(A10=0,F10="否"),0,'数据-取费表'!K10+'数据-取费表'!S10)</f>
        <v>3098.7099999999996</v>
      </c>
      <c r="F10" s="2577" t="s">
        <v>2529</v>
      </c>
    </row>
    <row r="11" spans="1:6">
      <c r="A11" s="2575" t="str">
        <f>'数据-取费表'!AN11</f>
        <v>收益法-地下车库</v>
      </c>
      <c r="B11" s="2574">
        <f ca="1">IF(F11="是",'数据-取费表'!AO11,0)</f>
        <v>345</v>
      </c>
      <c r="C11" s="2565" t="s">
        <v>2523</v>
      </c>
      <c r="D11" s="2568"/>
      <c r="E11" s="2576">
        <f>IF(OR(A11=0,F11="否"),0,'数据-取费表'!K11+'数据-取费表'!S11)</f>
        <v>8171.31</v>
      </c>
      <c r="F11" s="2577" t="s">
        <v>2529</v>
      </c>
    </row>
    <row r="12" spans="1:6">
      <c r="A12" s="2575">
        <f>'数据-取费表'!AN12</f>
        <v>0</v>
      </c>
      <c r="B12" s="2574" t="e">
        <f ca="1">IF(F12="是",'数据-取费表'!AO12,0)</f>
        <v>#REF!</v>
      </c>
      <c r="C12" s="2565" t="s">
        <v>2523</v>
      </c>
      <c r="D12" s="2568"/>
      <c r="E12" s="2576">
        <f>IF(OR(A12=0,F12="否"),0,'数据-取费表'!K12+'数据-取费表'!S12)</f>
        <v>0</v>
      </c>
      <c r="F12" s="2577" t="s">
        <v>2529</v>
      </c>
    </row>
    <row r="13" spans="1:6" ht="15" thickBot="1">
      <c r="A13" s="2578">
        <f>'数据-取费表'!AN13</f>
        <v>0</v>
      </c>
      <c r="B13" s="2574" t="e">
        <f ca="1">IF(F13="是",'数据-取费表'!AO13,0)</f>
        <v>#REF!</v>
      </c>
      <c r="C13" s="2579" t="s">
        <v>2523</v>
      </c>
      <c r="D13" s="2580"/>
      <c r="E13" s="2576">
        <f>IF(OR(A13=0,F13="否"),0,'数据-取费表'!K13+'数据-取费表'!S13)</f>
        <v>0</v>
      </c>
      <c r="F13" s="2577"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55" t="s">
        <v>1076</v>
      </c>
      <c r="B1" s="3256"/>
      <c r="C1" s="3257"/>
      <c r="D1" s="3258">
        <f>SUM(I10,I15,I20,I21,I23)</f>
        <v>0</v>
      </c>
      <c r="E1" s="3258"/>
      <c r="F1" s="3258"/>
      <c r="G1" s="3258"/>
      <c r="H1" s="3258"/>
      <c r="I1" s="3259"/>
    </row>
    <row r="2" spans="1:9">
      <c r="A2" s="3245" t="s">
        <v>1077</v>
      </c>
      <c r="B2" s="3246" t="s">
        <v>1078</v>
      </c>
      <c r="C2" s="3246"/>
      <c r="D2" s="1299" t="s">
        <v>1079</v>
      </c>
      <c r="E2" s="1299" t="s">
        <v>1080</v>
      </c>
      <c r="F2" s="1299" t="s">
        <v>1081</v>
      </c>
      <c r="G2" s="1299" t="s">
        <v>1082</v>
      </c>
      <c r="H2" s="1299" t="s">
        <v>1083</v>
      </c>
      <c r="I2" s="1300" t="s">
        <v>1084</v>
      </c>
    </row>
    <row r="3" spans="1:9">
      <c r="A3" s="3245"/>
      <c r="B3" s="3246" t="s">
        <v>1085</v>
      </c>
      <c r="C3" s="3246"/>
      <c r="D3" s="1301"/>
      <c r="E3" s="1299"/>
      <c r="F3" s="1302"/>
      <c r="G3" s="1302"/>
      <c r="H3" s="1303"/>
      <c r="I3" s="1304">
        <f>ROUND(D3*E3*F3*G3*H3/10000,0)</f>
        <v>0</v>
      </c>
    </row>
    <row r="4" spans="1:9">
      <c r="A4" s="3245"/>
      <c r="B4" s="3246" t="s">
        <v>1086</v>
      </c>
      <c r="C4" s="3246"/>
      <c r="D4" s="1301"/>
      <c r="E4" s="1299"/>
      <c r="F4" s="1302"/>
      <c r="G4" s="1302"/>
      <c r="H4" s="1303"/>
      <c r="I4" s="1304">
        <f t="shared" ref="I4:I9" si="0">ROUND(D4*E4*F4*G4*H4/10000,0)</f>
        <v>0</v>
      </c>
    </row>
    <row r="5" spans="1:9">
      <c r="A5" s="3245"/>
      <c r="B5" s="3246" t="s">
        <v>1087</v>
      </c>
      <c r="C5" s="3246"/>
      <c r="D5" s="1301"/>
      <c r="E5" s="1299"/>
      <c r="F5" s="1302"/>
      <c r="G5" s="1302"/>
      <c r="H5" s="1303"/>
      <c r="I5" s="1304">
        <f t="shared" si="0"/>
        <v>0</v>
      </c>
    </row>
    <row r="6" spans="1:9">
      <c r="A6" s="3245"/>
      <c r="B6" s="3246" t="s">
        <v>1088</v>
      </c>
      <c r="C6" s="3246"/>
      <c r="D6" s="1301"/>
      <c r="E6" s="1299"/>
      <c r="F6" s="1302"/>
      <c r="G6" s="1302"/>
      <c r="H6" s="1303"/>
      <c r="I6" s="1304">
        <f t="shared" si="0"/>
        <v>0</v>
      </c>
    </row>
    <row r="7" spans="1:9">
      <c r="A7" s="3245"/>
      <c r="B7" s="3246" t="s">
        <v>1089</v>
      </c>
      <c r="C7" s="3246"/>
      <c r="D7" s="1301"/>
      <c r="E7" s="1299"/>
      <c r="F7" s="1302"/>
      <c r="G7" s="1302"/>
      <c r="H7" s="1303"/>
      <c r="I7" s="1304">
        <f t="shared" si="0"/>
        <v>0</v>
      </c>
    </row>
    <row r="8" spans="1:9">
      <c r="A8" s="3245"/>
      <c r="B8" s="3246" t="s">
        <v>1090</v>
      </c>
      <c r="C8" s="3246"/>
      <c r="D8" s="1301"/>
      <c r="E8" s="1299"/>
      <c r="F8" s="1302"/>
      <c r="G8" s="1302"/>
      <c r="H8" s="1303"/>
      <c r="I8" s="1304">
        <f t="shared" si="0"/>
        <v>0</v>
      </c>
    </row>
    <row r="9" spans="1:9">
      <c r="A9" s="3245"/>
      <c r="B9" s="3246" t="s">
        <v>1091</v>
      </c>
      <c r="C9" s="3246"/>
      <c r="D9" s="1301"/>
      <c r="E9" s="1299"/>
      <c r="F9" s="1302"/>
      <c r="G9" s="1302"/>
      <c r="H9" s="1303"/>
      <c r="I9" s="1304">
        <f t="shared" si="0"/>
        <v>0</v>
      </c>
    </row>
    <row r="10" spans="1:9">
      <c r="A10" s="3245"/>
      <c r="B10" s="3247" t="s">
        <v>1092</v>
      </c>
      <c r="C10" s="3247"/>
      <c r="D10" s="1305"/>
      <c r="E10" s="1305" t="e">
        <f>ROUND(D1*10000/D10/H9,0)</f>
        <v>#DIV/0!</v>
      </c>
      <c r="F10" s="1306"/>
      <c r="G10" s="1306"/>
      <c r="H10" s="1307"/>
      <c r="I10" s="1308">
        <f>SUM(I3:I9)</f>
        <v>0</v>
      </c>
    </row>
    <row r="11" spans="1:9" ht="14.25">
      <c r="A11" s="3245" t="s">
        <v>1093</v>
      </c>
      <c r="B11" s="3246" t="s">
        <v>1094</v>
      </c>
      <c r="C11" s="3246"/>
      <c r="D11" s="1301" t="s">
        <v>1095</v>
      </c>
      <c r="E11" s="1301" t="s">
        <v>1096</v>
      </c>
      <c r="F11" s="1302" t="s">
        <v>1097</v>
      </c>
      <c r="G11" s="1302" t="s">
        <v>1083</v>
      </c>
      <c r="H11" s="1309" t="s">
        <v>1098</v>
      </c>
      <c r="I11" s="1300" t="s">
        <v>1084</v>
      </c>
    </row>
    <row r="12" spans="1:9">
      <c r="A12" s="3245"/>
      <c r="B12" s="3246" t="s">
        <v>1099</v>
      </c>
      <c r="C12" s="3246"/>
      <c r="D12" s="1301"/>
      <c r="E12" s="1301"/>
      <c r="F12" s="1302"/>
      <c r="G12" s="1303"/>
      <c r="H12" s="1310"/>
      <c r="I12" s="1300">
        <f>ROUND(D12*E12*F12*G12/10000,0)</f>
        <v>0</v>
      </c>
    </row>
    <row r="13" spans="1:9">
      <c r="A13" s="3245"/>
      <c r="B13" s="3246" t="s">
        <v>1100</v>
      </c>
      <c r="C13" s="3246"/>
      <c r="D13" s="1301"/>
      <c r="E13" s="1301"/>
      <c r="F13" s="1302"/>
      <c r="G13" s="1303"/>
      <c r="H13" s="1310"/>
      <c r="I13" s="1300">
        <f>ROUND(D13*E13*F13*G13/10000,0)</f>
        <v>0</v>
      </c>
    </row>
    <row r="14" spans="1:9">
      <c r="A14" s="3245"/>
      <c r="B14" s="3246" t="s">
        <v>1101</v>
      </c>
      <c r="C14" s="3246"/>
      <c r="D14" s="1301"/>
      <c r="E14" s="1301"/>
      <c r="F14" s="1302"/>
      <c r="G14" s="1303"/>
      <c r="H14" s="1310"/>
      <c r="I14" s="1300">
        <f>ROUND(D14*E14*F14*G14/10000,0)</f>
        <v>0</v>
      </c>
    </row>
    <row r="15" spans="1:9">
      <c r="A15" s="3245"/>
      <c r="B15" s="3247" t="s">
        <v>1092</v>
      </c>
      <c r="C15" s="3247"/>
      <c r="D15" s="1305"/>
      <c r="E15" s="1305">
        <f>SUM(E12:E14)</f>
        <v>0</v>
      </c>
      <c r="F15" s="1306"/>
      <c r="G15" s="1303"/>
      <c r="H15" s="1310"/>
      <c r="I15" s="1311">
        <f>SUM(I12:I14)</f>
        <v>0</v>
      </c>
    </row>
    <row r="16" spans="1:9" ht="24">
      <c r="A16" s="3245" t="s">
        <v>1102</v>
      </c>
      <c r="B16" s="3246" t="s">
        <v>1103</v>
      </c>
      <c r="C16" s="3246"/>
      <c r="D16" s="1301" t="s">
        <v>1079</v>
      </c>
      <c r="E16" s="1312" t="s">
        <v>1104</v>
      </c>
      <c r="F16" s="1302" t="s">
        <v>1105</v>
      </c>
      <c r="G16" s="1303" t="s">
        <v>1083</v>
      </c>
      <c r="H16" s="1309" t="s">
        <v>1098</v>
      </c>
      <c r="I16" s="1300" t="s">
        <v>1084</v>
      </c>
    </row>
    <row r="17" spans="1:9" ht="14.25">
      <c r="A17" s="3245"/>
      <c r="B17" s="3246" t="s">
        <v>1106</v>
      </c>
      <c r="C17" s="3246"/>
      <c r="D17" s="1301"/>
      <c r="E17" s="1301"/>
      <c r="F17" s="1302"/>
      <c r="G17" s="1303"/>
      <c r="H17" s="1313"/>
      <c r="I17" s="1314">
        <f>ROUND(D17*E17*F17*G17/10000,0)</f>
        <v>0</v>
      </c>
    </row>
    <row r="18" spans="1:9" ht="14.25">
      <c r="A18" s="3245"/>
      <c r="B18" s="3246" t="s">
        <v>1107</v>
      </c>
      <c r="C18" s="3246"/>
      <c r="D18" s="1301"/>
      <c r="E18" s="1301"/>
      <c r="F18" s="1302"/>
      <c r="G18" s="1303"/>
      <c r="H18" s="1313"/>
      <c r="I18" s="1314">
        <f>ROUND(D18*E18*F18*G18/10000,0)</f>
        <v>0</v>
      </c>
    </row>
    <row r="19" spans="1:9" ht="14.25">
      <c r="A19" s="3245"/>
      <c r="B19" s="3246" t="s">
        <v>1108</v>
      </c>
      <c r="C19" s="3246"/>
      <c r="D19" s="1301"/>
      <c r="E19" s="1301"/>
      <c r="F19" s="1302"/>
      <c r="G19" s="1303"/>
      <c r="H19" s="1313"/>
      <c r="I19" s="1314">
        <f>ROUND(D19*E19*F19*G19/10000,0)</f>
        <v>0</v>
      </c>
    </row>
    <row r="20" spans="1:9">
      <c r="A20" s="3245"/>
      <c r="B20" s="3247" t="s">
        <v>1092</v>
      </c>
      <c r="C20" s="3247"/>
      <c r="D20" s="1305">
        <f>SUM(D17:D19)</f>
        <v>0</v>
      </c>
      <c r="E20" s="1305"/>
      <c r="F20" s="1306"/>
      <c r="G20" s="1303"/>
      <c r="H20" s="1310"/>
      <c r="I20" s="1311">
        <f>SUM(I17:I19)</f>
        <v>0</v>
      </c>
    </row>
    <row r="21" spans="1:9">
      <c r="A21" s="3245" t="s">
        <v>1109</v>
      </c>
      <c r="B21" s="3248"/>
      <c r="C21" s="3248"/>
      <c r="D21" s="3248"/>
      <c r="E21" s="3248"/>
      <c r="F21" s="3248"/>
      <c r="G21" s="3248"/>
      <c r="H21" s="1764">
        <v>0.1</v>
      </c>
      <c r="I21" s="1308">
        <f>ROUND(I10*H21,0)</f>
        <v>0</v>
      </c>
    </row>
    <row r="22" spans="1:9" ht="14.25">
      <c r="A22" s="3249" t="s">
        <v>1110</v>
      </c>
      <c r="B22" s="3250"/>
      <c r="C22" s="3251"/>
      <c r="D22" s="1315" t="s">
        <v>1111</v>
      </c>
      <c r="E22" s="1315" t="s">
        <v>1112</v>
      </c>
      <c r="F22" s="1316" t="s">
        <v>1113</v>
      </c>
      <c r="G22" s="1316" t="s">
        <v>1114</v>
      </c>
      <c r="H22" s="1309" t="s">
        <v>1115</v>
      </c>
      <c r="I22" s="1300" t="s">
        <v>1116</v>
      </c>
    </row>
    <row r="23" spans="1:9" ht="14.25" thickBot="1">
      <c r="A23" s="3252"/>
      <c r="B23" s="3253"/>
      <c r="C23" s="3254"/>
      <c r="D23" s="1317"/>
      <c r="E23" s="1317"/>
      <c r="F23" s="1317"/>
      <c r="G23" s="1318"/>
      <c r="H23" s="1319"/>
      <c r="I23" s="1320">
        <f>ROUND(E23*D23*F23*(1-G23)/10000,0)</f>
        <v>0</v>
      </c>
    </row>
    <row r="26" spans="1:9">
      <c r="A26" s="1321" t="s">
        <v>1117</v>
      </c>
      <c r="B26" s="1321"/>
      <c r="C26" s="1321"/>
      <c r="D26" s="1321"/>
      <c r="E26" s="3242">
        <f>C27-C30-C31-C32</f>
        <v>0</v>
      </c>
      <c r="F26" s="3242"/>
      <c r="G26" s="3242"/>
      <c r="H26" s="1736" t="s">
        <v>1341</v>
      </c>
    </row>
    <row r="27" spans="1:9">
      <c r="A27" s="1322">
        <v>1</v>
      </c>
      <c r="B27" s="1323" t="s">
        <v>1118</v>
      </c>
      <c r="C27" s="1323">
        <f>C28+C29</f>
        <v>0</v>
      </c>
      <c r="D27" s="1323"/>
      <c r="E27" s="3243"/>
      <c r="F27" s="3243"/>
      <c r="G27" s="3243"/>
    </row>
    <row r="28" spans="1:9">
      <c r="A28" s="1324" t="s">
        <v>1119</v>
      </c>
      <c r="B28" s="1323" t="s">
        <v>1120</v>
      </c>
      <c r="C28" s="1323"/>
      <c r="D28" s="1323"/>
      <c r="E28" s="3243"/>
      <c r="F28" s="3243"/>
      <c r="G28" s="324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4"/>
      <c r="F32" s="3244"/>
      <c r="G32" s="3244"/>
    </row>
    <row r="33" spans="1:7" hidden="1">
      <c r="A33" s="3239" t="s">
        <v>1129</v>
      </c>
      <c r="B33" s="3240"/>
      <c r="C33" s="3240"/>
      <c r="D33" s="3241"/>
      <c r="E33" s="3242"/>
      <c r="F33" s="3242"/>
      <c r="G33" s="3242"/>
    </row>
    <row r="34" spans="1:7" hidden="1">
      <c r="A34" s="1326">
        <v>1</v>
      </c>
      <c r="B34" s="1323" t="s">
        <v>1130</v>
      </c>
      <c r="C34" s="1323"/>
      <c r="D34" s="1323"/>
      <c r="E34" s="3243"/>
      <c r="F34" s="3243"/>
      <c r="G34" s="3243"/>
    </row>
    <row r="35" spans="1:7" hidden="1">
      <c r="A35" s="1326">
        <v>2</v>
      </c>
      <c r="B35" s="1323" t="s">
        <v>1131</v>
      </c>
      <c r="C35" s="1323"/>
      <c r="D35" s="1323"/>
      <c r="E35" s="3243"/>
      <c r="F35" s="3243"/>
      <c r="G35" s="3243"/>
    </row>
    <row r="36" spans="1:7" hidden="1">
      <c r="A36" s="1326">
        <v>3</v>
      </c>
      <c r="B36" s="1323" t="s">
        <v>1132</v>
      </c>
      <c r="C36" s="1323"/>
      <c r="D36" s="1323"/>
      <c r="E36" s="3243"/>
      <c r="F36" s="3243"/>
      <c r="G36" s="3243"/>
    </row>
    <row r="37" spans="1:7" hidden="1">
      <c r="A37" s="1326">
        <v>4</v>
      </c>
      <c r="B37" s="1323" t="s">
        <v>1133</v>
      </c>
      <c r="C37" s="1323"/>
      <c r="D37" s="1323"/>
      <c r="E37" s="3243"/>
      <c r="F37" s="3243"/>
      <c r="G37" s="3243"/>
    </row>
    <row r="38" spans="1:7" hidden="1">
      <c r="A38" s="3239" t="s">
        <v>1134</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I12" sqref="I1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2690</v>
      </c>
      <c r="C1" s="1619" t="s">
        <v>2534</v>
      </c>
      <c r="D1" s="1620" t="s">
        <v>3098</v>
      </c>
      <c r="E1" s="1629"/>
      <c r="F1" s="2583" t="s">
        <v>3108</v>
      </c>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IF(C2="——",ROUND(C50*D3/10000,0),ROUND(C50*D3/10000,0)-D2)</f>
        <v>#DIV/0!</v>
      </c>
      <c r="C2" s="2585" t="s">
        <v>70</v>
      </c>
      <c r="D2" s="1363"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IF(C2="——",C50,ROUND(B2*10000/D3,0))</f>
        <v>#DIV/0!</v>
      </c>
      <c r="C3" s="400" t="s">
        <v>2648</v>
      </c>
      <c r="D3" s="399">
        <f>IF(D1="",'数据-汇总表'!E3,SUMIF('数据-汇总表'!$C19:$C33,D1,'数据-汇总表'!$E19:$E33))</f>
        <v>0</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66" t="s">
        <v>2655</v>
      </c>
      <c r="Q4" s="3267"/>
      <c r="R4" s="3270" t="s">
        <v>2651</v>
      </c>
      <c r="S4" s="3271"/>
      <c r="T4" s="3270" t="s">
        <v>2652</v>
      </c>
      <c r="U4" s="3271"/>
      <c r="V4" s="3272" t="s">
        <v>2653</v>
      </c>
      <c r="W4" s="3272"/>
      <c r="X4" s="2669"/>
      <c r="Y4" s="3270" t="s">
        <v>2655</v>
      </c>
      <c r="Z4" s="3271"/>
      <c r="AA4" s="3276" t="s">
        <v>2651</v>
      </c>
      <c r="AB4" s="3276" t="s">
        <v>2652</v>
      </c>
      <c r="AC4" s="3263" t="s">
        <v>2653</v>
      </c>
    </row>
    <row r="5" spans="1:29" ht="15">
      <c r="A5" s="404"/>
      <c r="B5" s="405"/>
      <c r="C5" s="3224"/>
      <c r="D5" s="3225"/>
      <c r="E5" s="3277" t="s">
        <v>3109</v>
      </c>
      <c r="F5" s="3232"/>
      <c r="G5" s="3273" t="s">
        <v>3150</v>
      </c>
      <c r="H5" s="3225"/>
      <c r="I5" s="3273" t="s">
        <v>3189</v>
      </c>
      <c r="J5" s="3225"/>
      <c r="K5" s="610"/>
      <c r="L5" s="1128"/>
      <c r="M5" s="1129"/>
      <c r="N5" s="1129"/>
      <c r="O5" s="1129"/>
      <c r="P5" s="3268"/>
      <c r="Q5" s="3212"/>
      <c r="R5" s="3217"/>
      <c r="S5" s="3218"/>
      <c r="T5" s="3217"/>
      <c r="U5" s="3218"/>
      <c r="V5" s="3221"/>
      <c r="W5" s="3221"/>
      <c r="X5" s="1812"/>
      <c r="Y5" s="3217"/>
      <c r="Z5" s="3218"/>
      <c r="AA5" s="3203"/>
      <c r="AB5" s="3203"/>
      <c r="AC5" s="3264"/>
    </row>
    <row r="6" spans="1:29" ht="15.75" thickBot="1">
      <c r="A6" s="406"/>
      <c r="B6" s="407"/>
      <c r="C6" s="3222"/>
      <c r="D6" s="3223"/>
      <c r="E6" s="3275" t="s">
        <v>3110</v>
      </c>
      <c r="F6" s="3230"/>
      <c r="G6" s="3222" t="s">
        <v>3151</v>
      </c>
      <c r="H6" s="3223"/>
      <c r="I6" s="3222" t="s">
        <v>3152</v>
      </c>
      <c r="J6" s="3223"/>
      <c r="K6" s="610" t="s">
        <v>2551</v>
      </c>
      <c r="L6" s="1128"/>
      <c r="M6" s="1129"/>
      <c r="N6" s="1129"/>
      <c r="O6" s="1129"/>
      <c r="P6" s="3269"/>
      <c r="Q6" s="3214"/>
      <c r="R6" s="3217"/>
      <c r="S6" s="3218"/>
      <c r="T6" s="3219"/>
      <c r="U6" s="3220"/>
      <c r="V6" s="3221"/>
      <c r="W6" s="3221"/>
      <c r="X6" s="1812"/>
      <c r="Y6" s="3219"/>
      <c r="Z6" s="3220"/>
      <c r="AA6" s="3204"/>
      <c r="AB6" s="3204"/>
      <c r="AC6" s="3265"/>
    </row>
    <row r="7" spans="1:29" s="117" customFormat="1" ht="15.75" thickBot="1">
      <c r="A7" s="408" t="s">
        <v>2552</v>
      </c>
      <c r="B7" s="409"/>
      <c r="C7" s="410">
        <f>'数据-取费表'!B2</f>
        <v>43444</v>
      </c>
      <c r="D7" s="411">
        <v>100</v>
      </c>
      <c r="E7" s="412">
        <v>43040</v>
      </c>
      <c r="F7" s="413">
        <f>SUMIF(59:59,YEAR(E7)&amp;"-"&amp;MONTH(E7),60:60)</f>
        <v>0</v>
      </c>
      <c r="G7" s="412">
        <v>43070</v>
      </c>
      <c r="H7" s="411">
        <f>SUMIF(59:59,YEAR(G7)&amp;"-"&amp;MONTH(G7),60:60)</f>
        <v>0</v>
      </c>
      <c r="I7" s="412">
        <v>43070</v>
      </c>
      <c r="J7" s="411">
        <f>SUMIF(59:59,YEAR(I7)&amp;"-"&amp;MONTH(I7),60:60)</f>
        <v>0</v>
      </c>
      <c r="K7" s="611"/>
      <c r="L7" s="1130"/>
      <c r="M7" s="1131"/>
      <c r="N7" s="1131"/>
      <c r="O7" s="1131"/>
      <c r="P7" s="3274"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2670" t="e">
        <f>D7/J7</f>
        <v>#DIV/0!</v>
      </c>
    </row>
    <row r="8" spans="1:29" s="117" customFormat="1" ht="15.75" thickBot="1">
      <c r="A8" s="408" t="s">
        <v>2554</v>
      </c>
      <c r="B8" s="409"/>
      <c r="C8" s="414" t="s">
        <v>2656</v>
      </c>
      <c r="D8" s="411">
        <v>100</v>
      </c>
      <c r="E8" s="414" t="s">
        <v>2591</v>
      </c>
      <c r="F8" s="413">
        <f>SUMIF(62:62,E8,63:63)-SUMIF(62:62,C8,63:63)+100</f>
        <v>100</v>
      </c>
      <c r="G8" s="414" t="s">
        <v>2591</v>
      </c>
      <c r="H8" s="411">
        <f>SUMIF(62:62,G8,63:63)-SUMIF(62:62,C8,63:63)+100</f>
        <v>100</v>
      </c>
      <c r="I8" s="414" t="s">
        <v>2591</v>
      </c>
      <c r="J8" s="411">
        <f>SUMIF(62:62,I8,63:63)-SUMIF(62:62,C8,63:63)+100</f>
        <v>100</v>
      </c>
      <c r="K8" s="611"/>
      <c r="L8" s="1130"/>
      <c r="M8" s="1131"/>
      <c r="N8" s="1131"/>
      <c r="O8" s="1131"/>
      <c r="P8" s="3274" t="s">
        <v>2556</v>
      </c>
      <c r="Q8" s="3227"/>
      <c r="R8" s="770" t="s">
        <v>17</v>
      </c>
      <c r="S8" s="771">
        <f t="shared" si="0"/>
        <v>100</v>
      </c>
      <c r="T8" s="770" t="s">
        <v>17</v>
      </c>
      <c r="U8" s="771">
        <f t="shared" si="1"/>
        <v>100</v>
      </c>
      <c r="V8" s="770" t="s">
        <v>17</v>
      </c>
      <c r="W8" s="771">
        <f t="shared" si="2"/>
        <v>100</v>
      </c>
      <c r="X8" s="772"/>
      <c r="Y8" s="3226" t="s">
        <v>2556</v>
      </c>
      <c r="Z8" s="3227"/>
      <c r="AA8" s="773">
        <f t="shared" ref="AA8:AA47" si="3">D8/F8</f>
        <v>1</v>
      </c>
      <c r="AB8" s="773">
        <f t="shared" ref="AB8:AB47" si="4">D8/H8</f>
        <v>1</v>
      </c>
      <c r="AC8" s="2670">
        <f t="shared" ref="AC8:AC47" si="5">D8/J8</f>
        <v>1</v>
      </c>
    </row>
    <row r="9" spans="1:29" s="117" customFormat="1">
      <c r="A9" s="415" t="s">
        <v>2557</v>
      </c>
      <c r="B9" s="71" t="s">
        <v>2558</v>
      </c>
      <c r="C9" s="2972" t="s">
        <v>3158</v>
      </c>
      <c r="D9" s="135">
        <v>100</v>
      </c>
      <c r="E9" s="2973" t="s">
        <v>3111</v>
      </c>
      <c r="F9" s="135">
        <f>SUMIF(64:64,E9,65:65)-SUMIF(64:64,C9,65:65)+100</f>
        <v>101</v>
      </c>
      <c r="G9" s="2973" t="s">
        <v>3111</v>
      </c>
      <c r="H9" s="135">
        <f>SUMIF(64:64,G9,65:65)-SUMIF(64:64,C9,65:65)+100</f>
        <v>101</v>
      </c>
      <c r="I9" s="2973" t="s">
        <v>3111</v>
      </c>
      <c r="J9" s="135">
        <f>SUMIF(64:64,I9,65:65)-SUMIF(64:64,C9,65:65)+100</f>
        <v>101</v>
      </c>
      <c r="K9" s="611"/>
      <c r="L9" s="1130"/>
      <c r="M9" s="1131"/>
      <c r="N9" s="1131"/>
      <c r="O9" s="1131"/>
      <c r="P9" s="3201" t="s">
        <v>2559</v>
      </c>
      <c r="Q9" s="1794" t="str">
        <f t="shared" ref="Q9:Q15" si="6">B9</f>
        <v>用途</v>
      </c>
      <c r="R9" s="770" t="s">
        <v>17</v>
      </c>
      <c r="S9" s="771">
        <f t="shared" si="0"/>
        <v>101</v>
      </c>
      <c r="T9" s="770" t="s">
        <v>17</v>
      </c>
      <c r="U9" s="771">
        <f t="shared" si="1"/>
        <v>101</v>
      </c>
      <c r="V9" s="770" t="s">
        <v>17</v>
      </c>
      <c r="W9" s="771">
        <f t="shared" si="2"/>
        <v>101</v>
      </c>
      <c r="X9" s="772"/>
      <c r="Y9" s="3040" t="s">
        <v>2560</v>
      </c>
      <c r="Z9" s="55" t="str">
        <f t="shared" ref="Z9:Z15" si="7">Q9</f>
        <v>用途</v>
      </c>
      <c r="AA9" s="773">
        <f t="shared" si="3"/>
        <v>0.99009900990099009</v>
      </c>
      <c r="AB9" s="773">
        <f t="shared" si="4"/>
        <v>0.99009900990099009</v>
      </c>
      <c r="AC9" s="2670">
        <f t="shared" si="5"/>
        <v>0.99009900990099009</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0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0">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201"/>
      <c r="Q11" s="1794"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2670">
        <f t="shared" si="5"/>
        <v>1</v>
      </c>
    </row>
    <row r="12" spans="1:29" s="117" customFormat="1" ht="15">
      <c r="A12" s="431"/>
      <c r="B12" s="2985" t="s">
        <v>3112</v>
      </c>
      <c r="C12" s="2974"/>
      <c r="D12" s="433">
        <v>100</v>
      </c>
      <c r="E12" s="2974"/>
      <c r="F12" s="136">
        <f>SUMIF(71:71,E12,72:72)-SUMIF(71:71,C12,72:72)+100</f>
        <v>100</v>
      </c>
      <c r="G12" s="2974"/>
      <c r="H12" s="136">
        <f>SUMIF(71:71,G12,72:72)-SUMIF(71:71,C12,72:72)+100</f>
        <v>100</v>
      </c>
      <c r="I12" s="2974"/>
      <c r="J12" s="136">
        <f>SUMIF(71:71,I12,72:72)-SUMIF(71:71,C12,72:72)+100</f>
        <v>100</v>
      </c>
      <c r="K12" s="613"/>
      <c r="L12" s="1130"/>
      <c r="M12" s="1131"/>
      <c r="N12" s="1131"/>
      <c r="O12" s="1131"/>
      <c r="P12" s="3201"/>
      <c r="Q12" s="1794" t="str">
        <f t="shared" si="6"/>
        <v>使用权类型</v>
      </c>
      <c r="R12" s="770" t="s">
        <v>17</v>
      </c>
      <c r="S12" s="771">
        <f t="shared" si="0"/>
        <v>100</v>
      </c>
      <c r="T12" s="770" t="s">
        <v>17</v>
      </c>
      <c r="U12" s="771">
        <f t="shared" si="1"/>
        <v>100</v>
      </c>
      <c r="V12" s="770" t="s">
        <v>17</v>
      </c>
      <c r="W12" s="771">
        <f t="shared" si="2"/>
        <v>100</v>
      </c>
      <c r="X12" s="772"/>
      <c r="Y12" s="3040"/>
      <c r="Z12" s="55" t="str">
        <f t="shared" si="7"/>
        <v>使用权类型</v>
      </c>
      <c r="AA12" s="773">
        <f>D12/F12</f>
        <v>1</v>
      </c>
      <c r="AB12" s="773">
        <f>D12/H12</f>
        <v>1</v>
      </c>
      <c r="AC12" s="2670">
        <f>D12/J12</f>
        <v>1</v>
      </c>
    </row>
    <row r="13" spans="1:29" ht="15">
      <c r="A13" s="428"/>
      <c r="B13" s="2599"/>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201"/>
      <c r="Q13" s="1794">
        <f t="shared" si="6"/>
        <v>0</v>
      </c>
      <c r="R13" s="770" t="s">
        <v>17</v>
      </c>
      <c r="S13" s="771">
        <f t="shared" si="0"/>
        <v>100</v>
      </c>
      <c r="T13" s="770" t="s">
        <v>17</v>
      </c>
      <c r="U13" s="771">
        <f t="shared" si="1"/>
        <v>100</v>
      </c>
      <c r="V13" s="770" t="s">
        <v>17</v>
      </c>
      <c r="W13" s="771">
        <f t="shared" si="2"/>
        <v>100</v>
      </c>
      <c r="X13" s="772"/>
      <c r="Y13" s="3040"/>
      <c r="Z13" s="55">
        <f t="shared" si="7"/>
        <v>0</v>
      </c>
      <c r="AA13" s="773">
        <f t="shared" si="3"/>
        <v>1</v>
      </c>
      <c r="AB13" s="773">
        <f t="shared" si="4"/>
        <v>1</v>
      </c>
      <c r="AC13" s="2670">
        <f t="shared" si="5"/>
        <v>1</v>
      </c>
    </row>
    <row r="14" spans="1:29" ht="15.75"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01"/>
      <c r="Q14" s="1794">
        <f t="shared" si="6"/>
        <v>0</v>
      </c>
      <c r="R14" s="770" t="s">
        <v>17</v>
      </c>
      <c r="S14" s="771">
        <f t="shared" si="0"/>
        <v>100</v>
      </c>
      <c r="T14" s="770" t="s">
        <v>17</v>
      </c>
      <c r="U14" s="771">
        <f t="shared" si="1"/>
        <v>100</v>
      </c>
      <c r="V14" s="770" t="s">
        <v>17</v>
      </c>
      <c r="W14" s="771">
        <f t="shared" si="2"/>
        <v>100</v>
      </c>
      <c r="X14" s="772"/>
      <c r="Y14" s="3040"/>
      <c r="Z14" s="55">
        <f t="shared" si="7"/>
        <v>0</v>
      </c>
      <c r="AA14" s="773">
        <f t="shared" si="3"/>
        <v>1</v>
      </c>
      <c r="AB14" s="773">
        <f t="shared" si="4"/>
        <v>1</v>
      </c>
      <c r="AC14" s="2670">
        <f t="shared" si="5"/>
        <v>1</v>
      </c>
    </row>
    <row r="15" spans="1:29" ht="15">
      <c r="A15" s="440" t="s">
        <v>2563</v>
      </c>
      <c r="B15" s="629" t="s">
        <v>2691</v>
      </c>
      <c r="C15" s="2672"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199" t="s">
        <v>2564</v>
      </c>
      <c r="Q15" s="1809" t="str">
        <f t="shared" si="6"/>
        <v>办公集聚程度</v>
      </c>
      <c r="R15" s="774" t="s">
        <v>17</v>
      </c>
      <c r="S15" s="775">
        <f t="shared" si="0"/>
        <v>100</v>
      </c>
      <c r="T15" s="774" t="s">
        <v>17</v>
      </c>
      <c r="U15" s="775">
        <f t="shared" si="1"/>
        <v>100</v>
      </c>
      <c r="V15" s="774" t="s">
        <v>17</v>
      </c>
      <c r="W15" s="775">
        <f t="shared" si="2"/>
        <v>100</v>
      </c>
      <c r="X15" s="1812"/>
      <c r="Y15" s="3192" t="s">
        <v>2564</v>
      </c>
      <c r="Z15" s="1813" t="str">
        <f t="shared" si="7"/>
        <v>办公集聚程度</v>
      </c>
      <c r="AA15" s="1810">
        <f t="shared" si="3"/>
        <v>1</v>
      </c>
      <c r="AB15" s="1810">
        <f t="shared" si="4"/>
        <v>1</v>
      </c>
      <c r="AC15" s="2673">
        <f t="shared" si="5"/>
        <v>1</v>
      </c>
    </row>
    <row r="16" spans="1:29" ht="15">
      <c r="A16" s="428"/>
      <c r="B16" s="630"/>
      <c r="C16" s="2610" t="s">
        <v>3114</v>
      </c>
      <c r="D16" s="448"/>
      <c r="E16" s="447" t="s">
        <v>3114</v>
      </c>
      <c r="F16" s="448"/>
      <c r="G16" s="2610" t="s">
        <v>3114</v>
      </c>
      <c r="H16" s="450"/>
      <c r="I16" s="2610" t="s">
        <v>3114</v>
      </c>
      <c r="J16" s="448"/>
      <c r="K16" s="615"/>
      <c r="L16" s="1138"/>
      <c r="M16" s="1129"/>
      <c r="N16" s="1129"/>
      <c r="O16" s="1129"/>
      <c r="P16" s="3200"/>
      <c r="Q16" s="1809"/>
      <c r="R16" s="774"/>
      <c r="S16" s="775"/>
      <c r="T16" s="774"/>
      <c r="U16" s="775"/>
      <c r="V16" s="774"/>
      <c r="W16" s="775"/>
      <c r="X16" s="1812"/>
      <c r="Y16" s="3193"/>
      <c r="Z16" s="1813"/>
      <c r="AA16" s="1810">
        <v>1</v>
      </c>
      <c r="AB16" s="1810">
        <v>1</v>
      </c>
      <c r="AC16" s="2673">
        <v>1</v>
      </c>
    </row>
    <row r="17" spans="1:29" ht="15">
      <c r="A17" s="428"/>
      <c r="B17" s="631" t="s">
        <v>2100</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00"/>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2673">
        <f t="shared" si="5"/>
        <v>1</v>
      </c>
    </row>
    <row r="18" spans="1:29" ht="15">
      <c r="A18" s="428"/>
      <c r="B18" s="632"/>
      <c r="C18" s="2675" t="s">
        <v>3116</v>
      </c>
      <c r="D18" s="450"/>
      <c r="E18" s="2608" t="s">
        <v>3116</v>
      </c>
      <c r="F18" s="450"/>
      <c r="G18" s="2608" t="s">
        <v>3116</v>
      </c>
      <c r="H18" s="448"/>
      <c r="I18" s="2608" t="s">
        <v>3116</v>
      </c>
      <c r="J18" s="448"/>
      <c r="K18" s="615"/>
      <c r="L18" s="1138"/>
      <c r="M18" s="1129"/>
      <c r="N18" s="1129"/>
      <c r="O18" s="1129"/>
      <c r="P18" s="3200"/>
      <c r="Q18" s="1809"/>
      <c r="R18" s="774"/>
      <c r="S18" s="775"/>
      <c r="T18" s="774"/>
      <c r="U18" s="775"/>
      <c r="V18" s="774"/>
      <c r="W18" s="775"/>
      <c r="X18" s="1812"/>
      <c r="Y18" s="3193"/>
      <c r="Z18" s="1813"/>
      <c r="AA18" s="1810">
        <v>1</v>
      </c>
      <c r="AB18" s="1810">
        <v>1</v>
      </c>
      <c r="AC18" s="2673">
        <v>1</v>
      </c>
    </row>
    <row r="19" spans="1:29" ht="15">
      <c r="A19" s="428"/>
      <c r="B19" s="631" t="s">
        <v>2692</v>
      </c>
      <c r="C19" s="2674" t="str">
        <f>估价对象房地状况!C7</f>
        <v>较好</v>
      </c>
      <c r="D19" s="455">
        <v>100</v>
      </c>
      <c r="E19" s="459"/>
      <c r="F19" s="455">
        <f>SUMIF(81:81,E20,82:82)-SUMIF(81:81,C20,82:82)+100</f>
        <v>100</v>
      </c>
      <c r="G19" s="459"/>
      <c r="H19" s="450">
        <f>SUMIF(81:81,G20,82:82)-SUMIF(81:81,C20,82:82)+100</f>
        <v>100</v>
      </c>
      <c r="I19" s="457"/>
      <c r="J19" s="450">
        <f>SUMIF(81:81,I20,82:82)-SUMIF(81:81,C20,82:82)+100</f>
        <v>100</v>
      </c>
      <c r="K19" s="614"/>
      <c r="L19" s="1138"/>
      <c r="M19" s="1129"/>
      <c r="N19" s="1129"/>
      <c r="O19" s="1129"/>
      <c r="P19" s="3200"/>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2673">
        <f t="shared" si="5"/>
        <v>1</v>
      </c>
    </row>
    <row r="20" spans="1:29" ht="15">
      <c r="A20" s="428"/>
      <c r="B20" s="632"/>
      <c r="C20" s="2610" t="s">
        <v>3116</v>
      </c>
      <c r="D20" s="448"/>
      <c r="E20" s="2603" t="s">
        <v>3116</v>
      </c>
      <c r="F20" s="448"/>
      <c r="G20" s="2603" t="s">
        <v>3116</v>
      </c>
      <c r="H20" s="448"/>
      <c r="I20" s="2603" t="s">
        <v>3116</v>
      </c>
      <c r="J20" s="448"/>
      <c r="K20" s="615"/>
      <c r="L20" s="1138"/>
      <c r="M20" s="1129"/>
      <c r="N20" s="1129"/>
      <c r="O20" s="1129"/>
      <c r="P20" s="3200"/>
      <c r="Q20" s="1809"/>
      <c r="R20" s="774"/>
      <c r="S20" s="775"/>
      <c r="T20" s="774"/>
      <c r="U20" s="775"/>
      <c r="V20" s="774"/>
      <c r="W20" s="775"/>
      <c r="X20" s="1812"/>
      <c r="Y20" s="3193"/>
      <c r="Z20" s="1813"/>
      <c r="AA20" s="1810">
        <v>1</v>
      </c>
      <c r="AB20" s="1810">
        <v>1</v>
      </c>
      <c r="AC20" s="2673">
        <v>1</v>
      </c>
    </row>
    <row r="21" spans="1:29" ht="15">
      <c r="A21" s="428"/>
      <c r="B21" s="633" t="s">
        <v>2693</v>
      </c>
      <c r="C21" s="2674" t="str">
        <f>估价对象房地状况!C8</f>
        <v>七通</v>
      </c>
      <c r="D21" s="450">
        <v>100</v>
      </c>
      <c r="E21" s="459"/>
      <c r="F21" s="455">
        <f>SUMIF(83:83,E22,84:84)-SUMIF(83:83,C22,84:84)+100</f>
        <v>100</v>
      </c>
      <c r="G21" s="459"/>
      <c r="H21" s="450">
        <f>SUMIF(83:83,G22,84:84)-SUMIF(83:83,C22,84:84)+100</f>
        <v>100</v>
      </c>
      <c r="I21" s="457"/>
      <c r="J21" s="450">
        <f>SUMIF(83:83,I22,84:84)-SUMIF(83:83,C22,84:84)+100</f>
        <v>100</v>
      </c>
      <c r="K21" s="614"/>
      <c r="L21" s="1138"/>
      <c r="M21" s="1129"/>
      <c r="N21" s="1129"/>
      <c r="O21" s="1129"/>
      <c r="P21" s="3200"/>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2673">
        <f t="shared" ref="AC21" si="10">D21/J21</f>
        <v>1</v>
      </c>
    </row>
    <row r="22" spans="1:29" ht="15">
      <c r="A22" s="428"/>
      <c r="B22" s="633"/>
      <c r="C22" s="2675" t="s">
        <v>3118</v>
      </c>
      <c r="D22" s="448"/>
      <c r="E22" s="447" t="s">
        <v>3118</v>
      </c>
      <c r="F22" s="448"/>
      <c r="G22" s="447" t="s">
        <v>3118</v>
      </c>
      <c r="H22" s="448"/>
      <c r="I22" s="447" t="s">
        <v>3118</v>
      </c>
      <c r="J22" s="448"/>
      <c r="K22" s="1381"/>
      <c r="L22" s="1138"/>
      <c r="M22" s="1129"/>
      <c r="N22" s="1129"/>
      <c r="O22" s="1129"/>
      <c r="P22" s="3200"/>
      <c r="Q22" s="1809"/>
      <c r="R22" s="774"/>
      <c r="S22" s="775"/>
      <c r="T22" s="774"/>
      <c r="U22" s="775"/>
      <c r="V22" s="774"/>
      <c r="W22" s="775"/>
      <c r="X22" s="1812"/>
      <c r="Y22" s="3193"/>
      <c r="Z22" s="1813"/>
      <c r="AA22" s="1810">
        <v>1</v>
      </c>
      <c r="AB22" s="1810">
        <v>1</v>
      </c>
      <c r="AC22" s="2673">
        <v>1</v>
      </c>
    </row>
    <row r="23" spans="1:29" ht="15">
      <c r="A23" s="428"/>
      <c r="B23" s="631" t="s">
        <v>2694</v>
      </c>
      <c r="C23" s="2674" t="str">
        <f>估价对象房地状况!C9</f>
        <v>一般</v>
      </c>
      <c r="D23" s="450">
        <v>100</v>
      </c>
      <c r="E23" s="454"/>
      <c r="F23" s="450">
        <f>SUMIF(85:85,E24,86:86)-SUMIF(85:85,C24,86:86)+100</f>
        <v>100</v>
      </c>
      <c r="G23" s="454"/>
      <c r="H23" s="450">
        <f>SUMIF(85:85,G24,86:86)-SUMIF(85:85,C24,86:86)+100</f>
        <v>100</v>
      </c>
      <c r="I23" s="452"/>
      <c r="J23" s="450">
        <f>SUMIF(85:85,I24,86:86)-SUMIF(85:85,C24,86:86)+100</f>
        <v>100</v>
      </c>
      <c r="K23" s="614"/>
      <c r="L23" s="1138"/>
      <c r="M23" s="1129"/>
      <c r="N23" s="1129"/>
      <c r="O23" s="1129"/>
      <c r="P23" s="3200"/>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2673">
        <f t="shared" si="5"/>
        <v>1</v>
      </c>
    </row>
    <row r="24" spans="1:29" ht="15">
      <c r="A24" s="428"/>
      <c r="B24" s="633"/>
      <c r="C24" s="2610" t="s">
        <v>3114</v>
      </c>
      <c r="D24" s="448"/>
      <c r="E24" s="2603" t="s">
        <v>3114</v>
      </c>
      <c r="F24" s="448"/>
      <c r="G24" s="2603" t="s">
        <v>3114</v>
      </c>
      <c r="H24" s="448"/>
      <c r="I24" s="2603" t="s">
        <v>3114</v>
      </c>
      <c r="J24" s="448"/>
      <c r="K24" s="615"/>
      <c r="L24" s="1138"/>
      <c r="M24" s="1129"/>
      <c r="N24" s="1129"/>
      <c r="O24" s="1129"/>
      <c r="P24" s="3200"/>
      <c r="Q24" s="1809"/>
      <c r="R24" s="774"/>
      <c r="S24" s="775"/>
      <c r="T24" s="774"/>
      <c r="U24" s="775"/>
      <c r="V24" s="774"/>
      <c r="W24" s="775"/>
      <c r="X24" s="1812"/>
      <c r="Y24" s="3193"/>
      <c r="Z24" s="1813"/>
      <c r="AA24" s="1810">
        <v>1</v>
      </c>
      <c r="AB24" s="1810">
        <v>1</v>
      </c>
      <c r="AC24" s="2673">
        <v>1</v>
      </c>
    </row>
    <row r="25" spans="1:29" ht="27">
      <c r="A25" s="404"/>
      <c r="B25" s="631" t="s">
        <v>2695</v>
      </c>
      <c r="C25" s="2981" t="s">
        <v>3147</v>
      </c>
      <c r="D25" s="435">
        <v>100</v>
      </c>
      <c r="E25" s="434" t="s">
        <v>3146</v>
      </c>
      <c r="F25" s="435">
        <f>SUMIF(87:87,E26,88:88)-SUMIF(87:87,C26,88:88)+100</f>
        <v>98</v>
      </c>
      <c r="G25" s="2981" t="s">
        <v>3147</v>
      </c>
      <c r="H25" s="435">
        <f>SUMIF(87:87,G26,88:88)-SUMIF(87:87,C26,88:88)+100</f>
        <v>100</v>
      </c>
      <c r="I25" s="2982" t="s">
        <v>3153</v>
      </c>
      <c r="J25" s="435">
        <f>SUMIF(87:87,I26,88:88)-SUMIF(87:87,C26,88:88)+100</f>
        <v>100</v>
      </c>
      <c r="K25" s="614">
        <v>1</v>
      </c>
      <c r="L25" s="1138"/>
      <c r="M25" s="1129"/>
      <c r="N25" s="1129"/>
      <c r="O25" s="1129"/>
      <c r="P25" s="3200"/>
      <c r="Q25" s="1809" t="str">
        <f>B25</f>
        <v>毗邻道路的类型与等级</v>
      </c>
      <c r="R25" s="774" t="s">
        <v>17</v>
      </c>
      <c r="S25" s="775">
        <f>F25</f>
        <v>98</v>
      </c>
      <c r="T25" s="774" t="s">
        <v>17</v>
      </c>
      <c r="U25" s="775">
        <f>H25</f>
        <v>100</v>
      </c>
      <c r="V25" s="774" t="s">
        <v>17</v>
      </c>
      <c r="W25" s="775">
        <f>J25</f>
        <v>100</v>
      </c>
      <c r="X25" s="1812"/>
      <c r="Y25" s="3193"/>
      <c r="Z25" s="1813" t="str">
        <f>Q25</f>
        <v>毗邻道路的类型与等级</v>
      </c>
      <c r="AA25" s="1810">
        <f t="shared" si="3"/>
        <v>1.0204081632653061</v>
      </c>
      <c r="AB25" s="1810">
        <f t="shared" si="4"/>
        <v>1</v>
      </c>
      <c r="AC25" s="2673">
        <f t="shared" si="5"/>
        <v>1</v>
      </c>
    </row>
    <row r="26" spans="1:29" ht="15">
      <c r="A26" s="404"/>
      <c r="B26" s="632"/>
      <c r="C26" s="634" t="s">
        <v>3121</v>
      </c>
      <c r="D26" s="435"/>
      <c r="E26" s="616" t="s">
        <v>3126</v>
      </c>
      <c r="F26" s="435"/>
      <c r="G26" s="634" t="s">
        <v>3121</v>
      </c>
      <c r="H26" s="435"/>
      <c r="I26" s="634" t="s">
        <v>3121</v>
      </c>
      <c r="J26" s="435"/>
      <c r="K26" s="615"/>
      <c r="L26" s="1138"/>
      <c r="M26" s="1129"/>
      <c r="N26" s="1129"/>
      <c r="O26" s="1129"/>
      <c r="P26" s="3200"/>
      <c r="Q26" s="1809"/>
      <c r="R26" s="774"/>
      <c r="S26" s="775"/>
      <c r="T26" s="774"/>
      <c r="U26" s="775"/>
      <c r="V26" s="774"/>
      <c r="W26" s="775"/>
      <c r="X26" s="1812"/>
      <c r="Y26" s="3193"/>
      <c r="Z26" s="1813"/>
      <c r="AA26" s="1810">
        <v>1</v>
      </c>
      <c r="AB26" s="1810">
        <v>1</v>
      </c>
      <c r="AC26" s="2673">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00"/>
      <c r="Q27" s="1809" t="str">
        <f t="shared" ref="Q27:Q47" si="11">B27</f>
        <v>楼层</v>
      </c>
      <c r="R27" s="774" t="s">
        <v>17</v>
      </c>
      <c r="S27" s="775">
        <f>F27</f>
        <v>100</v>
      </c>
      <c r="T27" s="774" t="s">
        <v>17</v>
      </c>
      <c r="U27" s="775">
        <f>H27</f>
        <v>100</v>
      </c>
      <c r="V27" s="774" t="s">
        <v>17</v>
      </c>
      <c r="W27" s="775">
        <f>J27</f>
        <v>100</v>
      </c>
      <c r="X27" s="1812"/>
      <c r="Y27" s="3193"/>
      <c r="Z27" s="1813" t="str">
        <f>Q27</f>
        <v>楼层</v>
      </c>
      <c r="AA27" s="1810">
        <f t="shared" si="3"/>
        <v>1</v>
      </c>
      <c r="AB27" s="1810">
        <f t="shared" si="4"/>
        <v>1</v>
      </c>
      <c r="AC27" s="2673">
        <f t="shared" si="5"/>
        <v>1</v>
      </c>
    </row>
    <row r="28" spans="1:29" s="117" customFormat="1" ht="15">
      <c r="A28" s="431"/>
      <c r="B28" s="631" t="s">
        <v>2696</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00"/>
      <c r="Q28" s="1794" t="str">
        <f t="shared" si="11"/>
        <v>朝向</v>
      </c>
      <c r="R28" s="770" t="s">
        <v>17</v>
      </c>
      <c r="S28" s="771">
        <f>F28</f>
        <v>100</v>
      </c>
      <c r="T28" s="770" t="s">
        <v>17</v>
      </c>
      <c r="U28" s="771">
        <f>H28</f>
        <v>100</v>
      </c>
      <c r="V28" s="770" t="s">
        <v>17</v>
      </c>
      <c r="W28" s="771">
        <f>J28</f>
        <v>100</v>
      </c>
      <c r="X28" s="772"/>
      <c r="Y28" s="3193"/>
      <c r="Z28" s="55" t="str">
        <f>Q28</f>
        <v>朝向</v>
      </c>
      <c r="AA28" s="1810">
        <f>D28/F28</f>
        <v>1</v>
      </c>
      <c r="AB28" s="1810">
        <f>D28/H28</f>
        <v>1</v>
      </c>
      <c r="AC28" s="2673">
        <f>D28/J28</f>
        <v>1</v>
      </c>
    </row>
    <row r="29" spans="1:29" ht="15">
      <c r="A29" s="428"/>
      <c r="B29" s="2677"/>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00"/>
      <c r="Q29" s="1809">
        <f t="shared" si="11"/>
        <v>0</v>
      </c>
      <c r="R29" s="774" t="s">
        <v>17</v>
      </c>
      <c r="S29" s="775">
        <f t="shared" ref="S29:S47" si="12">F29</f>
        <v>100</v>
      </c>
      <c r="T29" s="774" t="s">
        <v>17</v>
      </c>
      <c r="U29" s="775">
        <f t="shared" ref="U29:U47" si="13">H29</f>
        <v>100</v>
      </c>
      <c r="V29" s="774" t="s">
        <v>17</v>
      </c>
      <c r="W29" s="775">
        <f t="shared" ref="W29:W47" si="14">J29</f>
        <v>100</v>
      </c>
      <c r="X29" s="1812"/>
      <c r="Y29" s="3193"/>
      <c r="Z29" s="1813">
        <f t="shared" ref="Z29:Z47" si="15">Q29</f>
        <v>0</v>
      </c>
      <c r="AA29" s="1810">
        <f t="shared" si="3"/>
        <v>1</v>
      </c>
      <c r="AB29" s="1810">
        <f t="shared" si="4"/>
        <v>1</v>
      </c>
      <c r="AC29" s="2673">
        <f t="shared" si="5"/>
        <v>1</v>
      </c>
    </row>
    <row r="30" spans="1:29" ht="15">
      <c r="A30" s="428"/>
      <c r="B30" s="2677"/>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00"/>
      <c r="Q30" s="1809">
        <f t="shared" si="11"/>
        <v>0</v>
      </c>
      <c r="R30" s="774" t="s">
        <v>17</v>
      </c>
      <c r="S30" s="775">
        <f t="shared" si="12"/>
        <v>100</v>
      </c>
      <c r="T30" s="774" t="s">
        <v>17</v>
      </c>
      <c r="U30" s="775">
        <f t="shared" si="13"/>
        <v>100</v>
      </c>
      <c r="V30" s="774" t="s">
        <v>17</v>
      </c>
      <c r="W30" s="775">
        <f t="shared" si="14"/>
        <v>100</v>
      </c>
      <c r="X30" s="1812"/>
      <c r="Y30" s="3193"/>
      <c r="Z30" s="1813">
        <f t="shared" si="15"/>
        <v>0</v>
      </c>
      <c r="AA30" s="1810">
        <f t="shared" si="3"/>
        <v>1</v>
      </c>
      <c r="AB30" s="1810">
        <f t="shared" si="4"/>
        <v>1</v>
      </c>
      <c r="AC30" s="2673">
        <f t="shared" si="5"/>
        <v>1</v>
      </c>
    </row>
    <row r="31" spans="1:29" ht="15">
      <c r="A31" s="428"/>
      <c r="B31" s="2677"/>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00"/>
      <c r="Q31" s="1809">
        <f t="shared" si="11"/>
        <v>0</v>
      </c>
      <c r="R31" s="774" t="s">
        <v>17</v>
      </c>
      <c r="S31" s="775">
        <f t="shared" si="12"/>
        <v>100</v>
      </c>
      <c r="T31" s="774" t="s">
        <v>17</v>
      </c>
      <c r="U31" s="775">
        <f t="shared" si="13"/>
        <v>100</v>
      </c>
      <c r="V31" s="774" t="s">
        <v>17</v>
      </c>
      <c r="W31" s="775">
        <f t="shared" si="14"/>
        <v>100</v>
      </c>
      <c r="X31" s="1812"/>
      <c r="Y31" s="3193"/>
      <c r="Z31" s="1813">
        <f t="shared" si="15"/>
        <v>0</v>
      </c>
      <c r="AA31" s="1810">
        <f t="shared" si="3"/>
        <v>1</v>
      </c>
      <c r="AB31" s="1810">
        <f t="shared" si="4"/>
        <v>1</v>
      </c>
      <c r="AC31" s="2673">
        <f t="shared" si="5"/>
        <v>1</v>
      </c>
    </row>
    <row r="32" spans="1:29" ht="15.75" thickBot="1">
      <c r="A32" s="436"/>
      <c r="B32" s="635"/>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00"/>
      <c r="Q32" s="1809">
        <f t="shared" si="11"/>
        <v>0</v>
      </c>
      <c r="R32" s="774" t="s">
        <v>17</v>
      </c>
      <c r="S32" s="775">
        <f t="shared" si="12"/>
        <v>100</v>
      </c>
      <c r="T32" s="774" t="s">
        <v>17</v>
      </c>
      <c r="U32" s="775">
        <f t="shared" si="13"/>
        <v>100</v>
      </c>
      <c r="V32" s="774" t="s">
        <v>17</v>
      </c>
      <c r="W32" s="775">
        <f t="shared" si="14"/>
        <v>100</v>
      </c>
      <c r="X32" s="1812"/>
      <c r="Y32" s="3193"/>
      <c r="Z32" s="1813">
        <f t="shared" si="15"/>
        <v>0</v>
      </c>
      <c r="AA32" s="1810">
        <f t="shared" si="3"/>
        <v>1</v>
      </c>
      <c r="AB32" s="1810">
        <f t="shared" si="4"/>
        <v>1</v>
      </c>
      <c r="AC32" s="2673">
        <f t="shared" si="5"/>
        <v>1</v>
      </c>
    </row>
    <row r="33" spans="1:29" ht="15">
      <c r="A33" s="440" t="s">
        <v>2567</v>
      </c>
      <c r="B33" s="71" t="s">
        <v>2697</v>
      </c>
      <c r="C33" s="2678" t="s">
        <v>3143</v>
      </c>
      <c r="D33" s="467">
        <v>100</v>
      </c>
      <c r="E33" s="2678" t="s">
        <v>3143</v>
      </c>
      <c r="F33" s="461">
        <f>SUMIF(101:101,E33,102:102)-SUMIF(101:101,C33,102:102)+100</f>
        <v>100</v>
      </c>
      <c r="G33" s="2678" t="s">
        <v>3143</v>
      </c>
      <c r="H33" s="435">
        <f>SUMIF(101:101,G33,102:102)-SUMIF(101:101,C33,102:102)+100</f>
        <v>100</v>
      </c>
      <c r="I33" s="2678" t="s">
        <v>3143</v>
      </c>
      <c r="J33" s="467">
        <f>SUMIF(101:101,I33,102:102)-SUMIF(101:101,C33,102:102)+100</f>
        <v>100</v>
      </c>
      <c r="K33" s="612">
        <v>1</v>
      </c>
      <c r="L33" s="1138"/>
      <c r="M33" s="1129"/>
      <c r="N33" s="1129"/>
      <c r="O33" s="1129"/>
      <c r="P33" s="3194" t="s">
        <v>2569</v>
      </c>
      <c r="Q33" s="1809" t="str">
        <f t="shared" si="11"/>
        <v>建筑类型</v>
      </c>
      <c r="R33" s="774" t="s">
        <v>17</v>
      </c>
      <c r="S33" s="775">
        <f t="shared" si="12"/>
        <v>100</v>
      </c>
      <c r="T33" s="774" t="s">
        <v>17</v>
      </c>
      <c r="U33" s="775">
        <f t="shared" si="13"/>
        <v>100</v>
      </c>
      <c r="V33" s="774" t="s">
        <v>17</v>
      </c>
      <c r="W33" s="775">
        <f t="shared" si="14"/>
        <v>100</v>
      </c>
      <c r="X33" s="1812"/>
      <c r="Y33" s="3197" t="s">
        <v>2569</v>
      </c>
      <c r="Z33" s="1813" t="str">
        <f t="shared" si="15"/>
        <v>建筑类型</v>
      </c>
      <c r="AA33" s="1810">
        <f t="shared" si="3"/>
        <v>1</v>
      </c>
      <c r="AB33" s="1810">
        <f t="shared" si="4"/>
        <v>1</v>
      </c>
      <c r="AC33" s="2673">
        <f t="shared" si="5"/>
        <v>1</v>
      </c>
    </row>
    <row r="34" spans="1:29" s="471" customFormat="1" ht="15">
      <c r="A34" s="468"/>
      <c r="B34" s="422"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6"/>
      <c r="M34" s="1139"/>
      <c r="N34" s="1139"/>
      <c r="O34" s="1139"/>
      <c r="P34" s="3195"/>
      <c r="Q34" s="776" t="str">
        <f t="shared" si="11"/>
        <v>项目建筑规模</v>
      </c>
      <c r="R34" s="777" t="s">
        <v>17</v>
      </c>
      <c r="S34" s="778">
        <f t="shared" si="12"/>
        <v>100</v>
      </c>
      <c r="T34" s="777" t="s">
        <v>17</v>
      </c>
      <c r="U34" s="778">
        <f t="shared" si="13"/>
        <v>100</v>
      </c>
      <c r="V34" s="777" t="s">
        <v>17</v>
      </c>
      <c r="W34" s="778">
        <f t="shared" si="14"/>
        <v>100</v>
      </c>
      <c r="X34" s="779"/>
      <c r="Y34" s="3197"/>
      <c r="Z34" s="780" t="str">
        <f t="shared" si="15"/>
        <v>项目建筑规模</v>
      </c>
      <c r="AA34" s="1810">
        <f t="shared" si="3"/>
        <v>1</v>
      </c>
      <c r="AB34" s="1810">
        <f t="shared" si="4"/>
        <v>1</v>
      </c>
      <c r="AC34" s="2673">
        <f t="shared" si="5"/>
        <v>1</v>
      </c>
    </row>
    <row r="35" spans="1:29" ht="15">
      <c r="A35" s="472"/>
      <c r="B35" s="422" t="s">
        <v>2571</v>
      </c>
      <c r="C35" s="460" t="s">
        <v>3095</v>
      </c>
      <c r="D35" s="435">
        <v>100</v>
      </c>
      <c r="E35" s="460" t="s">
        <v>3095</v>
      </c>
      <c r="F35" s="461">
        <f>SUMIF(106:106,E35,107:107)-SUMIF(106:106,C35,107:107)+100</f>
        <v>100</v>
      </c>
      <c r="G35" s="460" t="s">
        <v>3095</v>
      </c>
      <c r="H35" s="435">
        <f>SUMIF(106:106,G35,107:107)-SUMIF(106:106,C35,107:107)+100</f>
        <v>100</v>
      </c>
      <c r="I35" s="460" t="s">
        <v>3095</v>
      </c>
      <c r="J35" s="435">
        <f>SUMIF(106:106,I35,107:107)-SUMIF(106:106,C35,107:107)+100</f>
        <v>100</v>
      </c>
      <c r="K35" s="612">
        <v>1</v>
      </c>
      <c r="L35" s="1138"/>
      <c r="M35" s="1129"/>
      <c r="N35" s="1129"/>
      <c r="O35" s="1129"/>
      <c r="P35" s="3195"/>
      <c r="Q35" s="1809" t="str">
        <f t="shared" si="11"/>
        <v>建筑结构</v>
      </c>
      <c r="R35" s="774" t="s">
        <v>17</v>
      </c>
      <c r="S35" s="775">
        <f t="shared" si="12"/>
        <v>100</v>
      </c>
      <c r="T35" s="774" t="s">
        <v>17</v>
      </c>
      <c r="U35" s="775">
        <f t="shared" si="13"/>
        <v>100</v>
      </c>
      <c r="V35" s="774" t="s">
        <v>17</v>
      </c>
      <c r="W35" s="775">
        <f t="shared" si="14"/>
        <v>100</v>
      </c>
      <c r="X35" s="1812"/>
      <c r="Y35" s="3197"/>
      <c r="Z35" s="1813" t="str">
        <f t="shared" si="15"/>
        <v>建筑结构</v>
      </c>
      <c r="AA35" s="1810">
        <f t="shared" si="3"/>
        <v>1</v>
      </c>
      <c r="AB35" s="1810">
        <f t="shared" si="4"/>
        <v>1</v>
      </c>
      <c r="AC35" s="2673">
        <f t="shared" si="5"/>
        <v>1</v>
      </c>
    </row>
    <row r="36" spans="1:29" ht="15">
      <c r="A36" s="472"/>
      <c r="B36" s="422" t="s">
        <v>2665</v>
      </c>
      <c r="C36" s="460" t="s">
        <v>3130</v>
      </c>
      <c r="D36" s="435">
        <v>100</v>
      </c>
      <c r="E36" s="460" t="s">
        <v>3130</v>
      </c>
      <c r="F36" s="461">
        <f>SUMIF(108:108,E36,109:109)-SUMIF(108:108,C36,109:109)+100</f>
        <v>100</v>
      </c>
      <c r="G36" s="460" t="s">
        <v>3130</v>
      </c>
      <c r="H36" s="435">
        <f>SUMIF(108:108,G36,109:109)-SUMIF(108:108,C36,109:109)+100</f>
        <v>100</v>
      </c>
      <c r="I36" s="460" t="s">
        <v>3130</v>
      </c>
      <c r="J36" s="435">
        <f>SUMIF(108:108,I36,109:109)-SUMIF(108:108,C36,109:109)+100</f>
        <v>100</v>
      </c>
      <c r="K36" s="612">
        <v>1</v>
      </c>
      <c r="L36" s="1138"/>
      <c r="M36" s="1129"/>
      <c r="N36" s="1129"/>
      <c r="O36" s="1129"/>
      <c r="P36" s="3195"/>
      <c r="Q36" s="1809" t="str">
        <f t="shared" si="11"/>
        <v>公共部分装修</v>
      </c>
      <c r="R36" s="774" t="s">
        <v>17</v>
      </c>
      <c r="S36" s="775">
        <f t="shared" si="12"/>
        <v>100</v>
      </c>
      <c r="T36" s="774" t="s">
        <v>17</v>
      </c>
      <c r="U36" s="775">
        <f t="shared" si="13"/>
        <v>100</v>
      </c>
      <c r="V36" s="774" t="s">
        <v>17</v>
      </c>
      <c r="W36" s="775">
        <f t="shared" si="14"/>
        <v>100</v>
      </c>
      <c r="X36" s="1812"/>
      <c r="Y36" s="3197"/>
      <c r="Z36" s="1813" t="str">
        <f t="shared" si="15"/>
        <v>公共部分装修</v>
      </c>
      <c r="AA36" s="1810">
        <f t="shared" si="3"/>
        <v>1</v>
      </c>
      <c r="AB36" s="1810">
        <f t="shared" si="4"/>
        <v>1</v>
      </c>
      <c r="AC36" s="2673">
        <f t="shared" si="5"/>
        <v>1</v>
      </c>
    </row>
    <row r="37" spans="1:29" ht="15">
      <c r="A37" s="472"/>
      <c r="B37" s="422" t="s">
        <v>2666</v>
      </c>
      <c r="C37" s="474">
        <v>1</v>
      </c>
      <c r="D37" s="435">
        <v>100</v>
      </c>
      <c r="E37" s="474">
        <f>ROUND(1-(2017-2014)/60,2)</f>
        <v>0.95</v>
      </c>
      <c r="F37" s="461">
        <f>LOOKUP(E37,111:111,112:112)-LOOKUP(C37,111:111,112:112)+100</f>
        <v>100</v>
      </c>
      <c r="G37" s="474">
        <f>ROUND(1-(2017-2006)/60,2)</f>
        <v>0.82</v>
      </c>
      <c r="H37" s="461">
        <f>LOOKUP(G37,111:111,112:112)-LOOKUP(C37,111:111,112:112)+100</f>
        <v>99</v>
      </c>
      <c r="I37" s="474">
        <f>ROUND(1-(2017-2004)/60,2)</f>
        <v>0.78</v>
      </c>
      <c r="J37" s="435">
        <f>LOOKUP(I37,111:111,112:112)-LOOKUP(C37,111:111,112:112)+100</f>
        <v>98</v>
      </c>
      <c r="K37" s="612">
        <v>1</v>
      </c>
      <c r="L37" s="1138"/>
      <c r="M37" s="1129"/>
      <c r="N37" s="1129"/>
      <c r="O37" s="1129"/>
      <c r="P37" s="3195"/>
      <c r="Q37" s="1809" t="str">
        <f t="shared" si="11"/>
        <v>成新度</v>
      </c>
      <c r="R37" s="774" t="s">
        <v>17</v>
      </c>
      <c r="S37" s="775">
        <f t="shared" si="12"/>
        <v>100</v>
      </c>
      <c r="T37" s="774" t="s">
        <v>17</v>
      </c>
      <c r="U37" s="775">
        <f t="shared" si="13"/>
        <v>99</v>
      </c>
      <c r="V37" s="774" t="s">
        <v>17</v>
      </c>
      <c r="W37" s="775">
        <f t="shared" si="14"/>
        <v>98</v>
      </c>
      <c r="X37" s="1812"/>
      <c r="Y37" s="3197"/>
      <c r="Z37" s="1813" t="str">
        <f t="shared" si="15"/>
        <v>成新度</v>
      </c>
      <c r="AA37" s="1810">
        <f t="shared" si="3"/>
        <v>1</v>
      </c>
      <c r="AB37" s="1810">
        <f t="shared" si="4"/>
        <v>1.0101010101010102</v>
      </c>
      <c r="AC37" s="2673">
        <f t="shared" si="5"/>
        <v>1.0204081632653061</v>
      </c>
    </row>
    <row r="38" spans="1:29" s="117" customFormat="1" ht="15">
      <c r="A38" s="473"/>
      <c r="B38" s="422" t="s">
        <v>2698</v>
      </c>
      <c r="C38" s="460" t="s">
        <v>3148</v>
      </c>
      <c r="D38" s="136">
        <v>100</v>
      </c>
      <c r="E38" s="460" t="s">
        <v>3148</v>
      </c>
      <c r="F38" s="461">
        <f>SUMIF(113:113,E38,114:114)-SUMIF(113:113,C38,114:114)+100</f>
        <v>100</v>
      </c>
      <c r="G38" s="460" t="s">
        <v>3148</v>
      </c>
      <c r="H38" s="435">
        <f>SUMIF(113:113,G38,114:114)-SUMIF(113:113,C38,114:114)+100</f>
        <v>100</v>
      </c>
      <c r="I38" s="460" t="s">
        <v>3154</v>
      </c>
      <c r="J38" s="435">
        <f>SUMIF(113:113,I38,114:114)-SUMIF(113:113,C38,114:114)+100</f>
        <v>98</v>
      </c>
      <c r="K38" s="612">
        <v>2</v>
      </c>
      <c r="L38" s="1130"/>
      <c r="M38" s="1131"/>
      <c r="N38" s="1131"/>
      <c r="O38" s="1131"/>
      <c r="P38" s="3195"/>
      <c r="Q38" s="1794" t="str">
        <f t="shared" si="11"/>
        <v>写字楼等级</v>
      </c>
      <c r="R38" s="770" t="s">
        <v>17</v>
      </c>
      <c r="S38" s="771">
        <f t="shared" si="12"/>
        <v>100</v>
      </c>
      <c r="T38" s="770" t="s">
        <v>17</v>
      </c>
      <c r="U38" s="771">
        <f t="shared" si="13"/>
        <v>100</v>
      </c>
      <c r="V38" s="770" t="s">
        <v>17</v>
      </c>
      <c r="W38" s="771">
        <f t="shared" si="14"/>
        <v>98</v>
      </c>
      <c r="X38" s="772"/>
      <c r="Y38" s="3197"/>
      <c r="Z38" s="55" t="str">
        <f t="shared" si="15"/>
        <v>写字楼等级</v>
      </c>
      <c r="AA38" s="773">
        <f t="shared" si="3"/>
        <v>1</v>
      </c>
      <c r="AB38" s="773">
        <f t="shared" si="4"/>
        <v>1</v>
      </c>
      <c r="AC38" s="2670">
        <f t="shared" si="5"/>
        <v>1.0204081632653061</v>
      </c>
    </row>
    <row r="39" spans="1:29" ht="15">
      <c r="A39" s="472"/>
      <c r="B39" s="422" t="s">
        <v>2699</v>
      </c>
      <c r="C39" s="460" t="s">
        <v>3132</v>
      </c>
      <c r="D39" s="435">
        <v>100</v>
      </c>
      <c r="E39" s="460" t="s">
        <v>3132</v>
      </c>
      <c r="F39" s="461">
        <f>SUMIF(115:115,E39,116:116)-SUMIF(115:115,C39,116:116)+100</f>
        <v>100</v>
      </c>
      <c r="G39" s="460" t="s">
        <v>3132</v>
      </c>
      <c r="H39" s="435">
        <f>SUMIF(115:115,G39,116:116)-SUMIF(115:115,C39,116:116)+100</f>
        <v>100</v>
      </c>
      <c r="I39" s="460" t="s">
        <v>3132</v>
      </c>
      <c r="J39" s="435">
        <f>SUMIF(115:115,I39,116:116)-SUMIF(115:115,C39,116:116)+100</f>
        <v>100</v>
      </c>
      <c r="K39" s="612">
        <v>1</v>
      </c>
      <c r="L39" s="1138"/>
      <c r="M39" s="1129"/>
      <c r="N39" s="1129"/>
      <c r="O39" s="1129"/>
      <c r="P39" s="3195" t="s">
        <v>2569</v>
      </c>
      <c r="Q39" s="1809" t="str">
        <f t="shared" si="11"/>
        <v>物业管理</v>
      </c>
      <c r="R39" s="774" t="s">
        <v>17</v>
      </c>
      <c r="S39" s="775">
        <f t="shared" si="12"/>
        <v>100</v>
      </c>
      <c r="T39" s="774" t="s">
        <v>17</v>
      </c>
      <c r="U39" s="775">
        <f t="shared" si="13"/>
        <v>100</v>
      </c>
      <c r="V39" s="774" t="s">
        <v>17</v>
      </c>
      <c r="W39" s="775">
        <f t="shared" si="14"/>
        <v>100</v>
      </c>
      <c r="X39" s="1812"/>
      <c r="Y39" s="3197" t="s">
        <v>2569</v>
      </c>
      <c r="Z39" s="1813" t="str">
        <f t="shared" si="15"/>
        <v>物业管理</v>
      </c>
      <c r="AA39" s="1810">
        <f t="shared" si="3"/>
        <v>1</v>
      </c>
      <c r="AB39" s="1810">
        <f t="shared" si="4"/>
        <v>1</v>
      </c>
      <c r="AC39" s="2673">
        <f t="shared" si="5"/>
        <v>1</v>
      </c>
    </row>
    <row r="40" spans="1:29" ht="15">
      <c r="A40" s="472"/>
      <c r="B40" s="422" t="s">
        <v>2667</v>
      </c>
      <c r="C40" s="460" t="s">
        <v>3118</v>
      </c>
      <c r="D40" s="435">
        <v>100</v>
      </c>
      <c r="E40" s="460" t="s">
        <v>3135</v>
      </c>
      <c r="F40" s="461">
        <f>SUMIF(117:117,E40,118:118)-SUMIF(117:117,C40,118:118)+100</f>
        <v>99</v>
      </c>
      <c r="G40" s="460" t="s">
        <v>3135</v>
      </c>
      <c r="H40" s="435">
        <f>SUMIF(117:117,G40,118:118)-SUMIF(117:117,C40,118:118)+100</f>
        <v>99</v>
      </c>
      <c r="I40" s="460" t="s">
        <v>3135</v>
      </c>
      <c r="J40" s="435">
        <f>SUMIF(117:117,I40,118:118)-SUMIF(117:117,C40,118:118)+100</f>
        <v>99</v>
      </c>
      <c r="K40" s="612">
        <v>1</v>
      </c>
      <c r="L40" s="1138"/>
      <c r="M40" s="1129"/>
      <c r="N40" s="1129"/>
      <c r="O40" s="1129"/>
      <c r="P40" s="3195"/>
      <c r="Q40" s="1809" t="str">
        <f t="shared" si="11"/>
        <v>市政基础设施</v>
      </c>
      <c r="R40" s="774" t="s">
        <v>17</v>
      </c>
      <c r="S40" s="775">
        <f t="shared" si="12"/>
        <v>99</v>
      </c>
      <c r="T40" s="774" t="s">
        <v>17</v>
      </c>
      <c r="U40" s="775">
        <f t="shared" si="13"/>
        <v>99</v>
      </c>
      <c r="V40" s="774" t="s">
        <v>17</v>
      </c>
      <c r="W40" s="775">
        <f t="shared" si="14"/>
        <v>99</v>
      </c>
      <c r="X40" s="1812"/>
      <c r="Y40" s="3197"/>
      <c r="Z40" s="1813" t="str">
        <f t="shared" si="15"/>
        <v>市政基础设施</v>
      </c>
      <c r="AA40" s="1810">
        <f t="shared" si="3"/>
        <v>1.0101010101010102</v>
      </c>
      <c r="AB40" s="1810">
        <f t="shared" si="4"/>
        <v>1.0101010101010102</v>
      </c>
      <c r="AC40" s="2673">
        <f t="shared" si="5"/>
        <v>1.0101010101010102</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95"/>
      <c r="Q41" s="1809" t="str">
        <f t="shared" si="11"/>
        <v>层高</v>
      </c>
      <c r="R41" s="774" t="s">
        <v>17</v>
      </c>
      <c r="S41" s="775">
        <f t="shared" si="12"/>
        <v>100</v>
      </c>
      <c r="T41" s="774" t="s">
        <v>17</v>
      </c>
      <c r="U41" s="775">
        <f t="shared" si="13"/>
        <v>100</v>
      </c>
      <c r="V41" s="774" t="s">
        <v>17</v>
      </c>
      <c r="W41" s="775">
        <f t="shared" si="14"/>
        <v>100</v>
      </c>
      <c r="X41" s="1812"/>
      <c r="Y41" s="3197"/>
      <c r="Z41" s="1813" t="str">
        <f t="shared" si="15"/>
        <v>层高</v>
      </c>
      <c r="AA41" s="1810">
        <f t="shared" si="3"/>
        <v>1</v>
      </c>
      <c r="AB41" s="1810">
        <f t="shared" si="4"/>
        <v>1</v>
      </c>
      <c r="AC41" s="2673">
        <f t="shared" si="5"/>
        <v>1</v>
      </c>
    </row>
    <row r="42" spans="1:29" s="471" customFormat="1" ht="15">
      <c r="A42" s="468"/>
      <c r="B42" s="1811"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0">
        <f t="shared" si="3"/>
        <v>1</v>
      </c>
      <c r="AB42" s="1810">
        <f t="shared" si="4"/>
        <v>1</v>
      </c>
      <c r="AC42" s="2673">
        <f t="shared" si="5"/>
        <v>1</v>
      </c>
    </row>
    <row r="43" spans="1:29" ht="15">
      <c r="A43" s="472"/>
      <c r="B43" s="422" t="s">
        <v>2672</v>
      </c>
      <c r="C43" s="460" t="s">
        <v>3137</v>
      </c>
      <c r="D43" s="435">
        <v>100</v>
      </c>
      <c r="E43" s="460" t="s">
        <v>3137</v>
      </c>
      <c r="F43" s="461">
        <f>SUMIF(123:123,E43,124:124)-SUMIF(123:123,C43,124:124)+100</f>
        <v>100</v>
      </c>
      <c r="G43" s="460" t="s">
        <v>3140</v>
      </c>
      <c r="H43" s="435">
        <f>SUMIF(123:123,G43,124:124)-SUMIF(123:123,C43,124:124)+100</f>
        <v>94</v>
      </c>
      <c r="I43" s="460" t="s">
        <v>3137</v>
      </c>
      <c r="J43" s="435">
        <f>SUMIF(123:123,I43,124:124)-SUMIF(123:123,C43,124:124)+100</f>
        <v>100</v>
      </c>
      <c r="K43" s="612">
        <v>3</v>
      </c>
      <c r="L43" s="1138"/>
      <c r="M43" s="1129"/>
      <c r="N43" s="1129"/>
      <c r="O43" s="1129"/>
      <c r="P43" s="3195"/>
      <c r="Q43" s="1809" t="str">
        <f t="shared" si="11"/>
        <v>内部装修</v>
      </c>
      <c r="R43" s="774" t="s">
        <v>17</v>
      </c>
      <c r="S43" s="775">
        <f t="shared" si="12"/>
        <v>100</v>
      </c>
      <c r="T43" s="774" t="s">
        <v>17</v>
      </c>
      <c r="U43" s="775">
        <f t="shared" si="13"/>
        <v>94</v>
      </c>
      <c r="V43" s="774" t="s">
        <v>17</v>
      </c>
      <c r="W43" s="775">
        <f t="shared" si="14"/>
        <v>100</v>
      </c>
      <c r="X43" s="1812"/>
      <c r="Y43" s="3197"/>
      <c r="Z43" s="1813" t="str">
        <f t="shared" si="15"/>
        <v>内部装修</v>
      </c>
      <c r="AA43" s="1810">
        <f t="shared" si="3"/>
        <v>1</v>
      </c>
      <c r="AB43" s="1810">
        <f t="shared" si="4"/>
        <v>1.0638297872340425</v>
      </c>
      <c r="AC43" s="2673">
        <f t="shared" si="5"/>
        <v>1</v>
      </c>
    </row>
    <row r="44" spans="1:29" ht="15">
      <c r="A44" s="472"/>
      <c r="B44" s="422" t="s">
        <v>2580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195"/>
      <c r="Q44" s="1809" t="str">
        <f t="shared" si="11"/>
        <v>内部装修维护情况</v>
      </c>
      <c r="R44" s="774" t="s">
        <v>17</v>
      </c>
      <c r="S44" s="775">
        <f t="shared" si="12"/>
        <v>100</v>
      </c>
      <c r="T44" s="774" t="s">
        <v>17</v>
      </c>
      <c r="U44" s="775">
        <f t="shared" si="13"/>
        <v>100</v>
      </c>
      <c r="V44" s="774" t="s">
        <v>17</v>
      </c>
      <c r="W44" s="775">
        <f t="shared" si="14"/>
        <v>100</v>
      </c>
      <c r="X44" s="1812"/>
      <c r="Y44" s="3197"/>
      <c r="Z44" s="1813" t="str">
        <f t="shared" si="15"/>
        <v>内部装修维护情况</v>
      </c>
      <c r="AA44" s="1810">
        <f t="shared" si="3"/>
        <v>1</v>
      </c>
      <c r="AB44" s="1810">
        <f t="shared" si="4"/>
        <v>1</v>
      </c>
      <c r="AC44" s="2673">
        <f t="shared" si="5"/>
        <v>1</v>
      </c>
    </row>
    <row r="45" spans="1:29" s="117" customFormat="1" ht="15">
      <c r="A45" s="473"/>
      <c r="B45" s="1384" t="str">
        <f>B42</f>
        <v>单套建筑面积</v>
      </c>
      <c r="C45" s="434" t="s">
        <v>3145</v>
      </c>
      <c r="D45" s="136">
        <v>100</v>
      </c>
      <c r="E45" s="434">
        <v>210</v>
      </c>
      <c r="F45" s="425">
        <f>SUMIF(127:127,E45,128:128)-SUMIF(127:127,C45,128:128)+100</f>
        <v>100</v>
      </c>
      <c r="G45" s="434">
        <v>6700</v>
      </c>
      <c r="H45" s="136">
        <f>SUMIF(127:127,G45,128:128)-SUMIF(127:127,C45,128:128)+100</f>
        <v>100</v>
      </c>
      <c r="I45" s="434">
        <v>189</v>
      </c>
      <c r="J45" s="136">
        <f>SUMIF(127:127,I45,128:128)-SUMIF(127:127,C45,128:128)+100</f>
        <v>100</v>
      </c>
      <c r="K45" s="613"/>
      <c r="L45" s="1130"/>
      <c r="M45" s="1131"/>
      <c r="N45" s="1131"/>
      <c r="O45" s="1131"/>
      <c r="P45" s="3195"/>
      <c r="Q45" s="1794" t="str">
        <f t="shared" si="11"/>
        <v>单套建筑面积</v>
      </c>
      <c r="R45" s="770" t="s">
        <v>17</v>
      </c>
      <c r="S45" s="771">
        <f t="shared" si="12"/>
        <v>100</v>
      </c>
      <c r="T45" s="770" t="s">
        <v>17</v>
      </c>
      <c r="U45" s="771">
        <f t="shared" si="13"/>
        <v>100</v>
      </c>
      <c r="V45" s="770" t="s">
        <v>17</v>
      </c>
      <c r="W45" s="771">
        <f t="shared" si="14"/>
        <v>100</v>
      </c>
      <c r="X45" s="772"/>
      <c r="Y45" s="3197"/>
      <c r="Z45" s="55" t="str">
        <f t="shared" si="15"/>
        <v>单套建筑面积</v>
      </c>
      <c r="AA45" s="773">
        <f t="shared" si="3"/>
        <v>1</v>
      </c>
      <c r="AB45" s="773">
        <f t="shared" si="4"/>
        <v>1</v>
      </c>
      <c r="AC45" s="2670">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95"/>
      <c r="Q46" s="1809">
        <f t="shared" si="11"/>
        <v>0</v>
      </c>
      <c r="R46" s="774" t="s">
        <v>17</v>
      </c>
      <c r="S46" s="775">
        <f t="shared" si="12"/>
        <v>100</v>
      </c>
      <c r="T46" s="774" t="s">
        <v>17</v>
      </c>
      <c r="U46" s="775">
        <f t="shared" si="13"/>
        <v>100</v>
      </c>
      <c r="V46" s="774" t="s">
        <v>17</v>
      </c>
      <c r="W46" s="775">
        <f t="shared" si="14"/>
        <v>100</v>
      </c>
      <c r="X46" s="1812"/>
      <c r="Y46" s="3197"/>
      <c r="Z46" s="1813">
        <f t="shared" si="15"/>
        <v>0</v>
      </c>
      <c r="AA46" s="1810">
        <f t="shared" si="3"/>
        <v>1</v>
      </c>
      <c r="AB46" s="1810">
        <f t="shared" si="4"/>
        <v>1</v>
      </c>
      <c r="AC46" s="2673">
        <f t="shared" si="5"/>
        <v>1</v>
      </c>
    </row>
    <row r="47" spans="1:29" ht="15.75" thickBot="1">
      <c r="A47" s="478"/>
      <c r="B47" s="2601"/>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6"/>
      <c r="Q47" s="1809">
        <f t="shared" si="11"/>
        <v>0</v>
      </c>
      <c r="R47" s="774" t="s">
        <v>17</v>
      </c>
      <c r="S47" s="775">
        <f t="shared" si="12"/>
        <v>100</v>
      </c>
      <c r="T47" s="774" t="s">
        <v>17</v>
      </c>
      <c r="U47" s="775">
        <f t="shared" si="13"/>
        <v>100</v>
      </c>
      <c r="V47" s="774" t="s">
        <v>17</v>
      </c>
      <c r="W47" s="775">
        <f t="shared" si="14"/>
        <v>100</v>
      </c>
      <c r="X47" s="1812"/>
      <c r="Y47" s="3198"/>
      <c r="Z47" s="1813">
        <f t="shared" si="15"/>
        <v>0</v>
      </c>
      <c r="AA47" s="1810">
        <f t="shared" si="3"/>
        <v>1</v>
      </c>
      <c r="AB47" s="1810">
        <f t="shared" si="4"/>
        <v>1</v>
      </c>
      <c r="AC47" s="2673">
        <f t="shared" si="5"/>
        <v>1</v>
      </c>
    </row>
    <row r="48" spans="1:29" ht="15">
      <c r="A48" s="479" t="s">
        <v>2581</v>
      </c>
      <c r="B48" s="480"/>
      <c r="C48" s="1405" t="s">
        <v>1</v>
      </c>
      <c r="D48" s="1406"/>
      <c r="E48" s="1407">
        <v>4.3</v>
      </c>
      <c r="F48" s="1408"/>
      <c r="G48" s="1409">
        <v>4</v>
      </c>
      <c r="H48" s="1410"/>
      <c r="I48" s="1407">
        <v>4.8</v>
      </c>
      <c r="J48" s="485"/>
      <c r="K48" s="783"/>
      <c r="L48" s="1141"/>
      <c r="M48" s="1129"/>
      <c r="N48" s="1129"/>
      <c r="O48" s="1129"/>
      <c r="P48" s="3201" t="str">
        <f>A48</f>
        <v>成交单价（元/平方米）</v>
      </c>
      <c r="Q48" s="3190"/>
      <c r="R48" s="3191">
        <f>E48</f>
        <v>4.3</v>
      </c>
      <c r="S48" s="3191"/>
      <c r="T48" s="3191">
        <f>G48</f>
        <v>4</v>
      </c>
      <c r="U48" s="3191"/>
      <c r="V48" s="3191">
        <f>I48</f>
        <v>4.8</v>
      </c>
      <c r="W48" s="3191"/>
      <c r="X48" s="446"/>
      <c r="Y48" s="781"/>
      <c r="Z48" s="446"/>
      <c r="AA48" s="446"/>
      <c r="AB48" s="446"/>
      <c r="AC48" s="630"/>
    </row>
    <row r="49" spans="1:29" ht="15.75" thickBot="1">
      <c r="A49" s="486" t="s">
        <v>2673</v>
      </c>
      <c r="B49" s="487"/>
      <c r="C49" s="1411" t="e">
        <f>R50</f>
        <v>#DIV/0!</v>
      </c>
      <c r="D49" s="1412"/>
      <c r="E49" s="1413" t="e">
        <f>R49</f>
        <v>#DIV/0!</v>
      </c>
      <c r="F49" s="1413"/>
      <c r="G49" s="1411" t="e">
        <f>T49</f>
        <v>#DIV/0!</v>
      </c>
      <c r="H49" s="1412"/>
      <c r="I49" s="1413" t="e">
        <f>V49</f>
        <v>#DIV/0!</v>
      </c>
      <c r="J49" s="489"/>
      <c r="K49" s="784"/>
      <c r="L49" s="1141"/>
      <c r="M49" s="1129"/>
      <c r="N49" s="1129"/>
      <c r="O49" s="1129"/>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2674</v>
      </c>
      <c r="B50" s="493"/>
      <c r="C50" s="1415" t="e">
        <f>R50</f>
        <v>#DIV/0!</v>
      </c>
      <c r="D50" s="1415"/>
      <c r="E50" s="1415"/>
      <c r="F50" s="1415"/>
      <c r="G50" s="1415"/>
      <c r="H50" s="1415"/>
      <c r="I50" s="1415"/>
      <c r="J50" s="494"/>
      <c r="K50" s="785"/>
      <c r="L50" s="1141"/>
      <c r="M50" s="1129"/>
      <c r="N50" s="1129"/>
      <c r="O50" s="1129"/>
      <c r="P50" s="3260" t="str">
        <f>A50</f>
        <v>估价对象XX用房的比较价值（楼面单价，元/平方米）</v>
      </c>
      <c r="Q50" s="3261"/>
      <c r="R50" s="3262" t="e">
        <f>IF(F1="售价",ROUND(AVERAGE(R49:V49),0),ROUND(AVERAGE(R49:V49),1))</f>
        <v>#DIV/0!</v>
      </c>
      <c r="S50" s="3262"/>
      <c r="T50" s="3262"/>
      <c r="U50" s="3262"/>
      <c r="V50" s="3262"/>
      <c r="W50" s="3262"/>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2677</v>
      </c>
      <c r="D55" s="501"/>
      <c r="E55" s="499">
        <f>IF(E48&lt;G48,G48/E48-1,E48/G48-1)</f>
        <v>7.4999999999999956E-2</v>
      </c>
      <c r="F55" s="500" t="str">
        <f>IF(OR(E55&gt;=0.3,E55&lt;=-0.3),"超过30%","")</f>
        <v/>
      </c>
      <c r="G55" s="499">
        <f>IF(G48&lt;I48,I48/G48-1,G48/I48-1)</f>
        <v>0.19999999999999996</v>
      </c>
      <c r="H55" s="500" t="str">
        <f>IF(OR(G55&gt;=0.3,G55&lt;=-0.3),"超过30%","")</f>
        <v/>
      </c>
      <c r="I55" s="499">
        <f>IF(I48&lt;E48,E48/I48-1,I48/E48-1)</f>
        <v>0.11627906976744184</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2678</v>
      </c>
      <c r="B58" s="759"/>
      <c r="C58" s="764"/>
      <c r="D58" s="764"/>
      <c r="E58" s="764"/>
      <c r="F58" s="765"/>
      <c r="G58" s="765"/>
      <c r="H58" s="764"/>
      <c r="I58" s="764"/>
      <c r="J58" s="764"/>
      <c r="K58" s="766"/>
      <c r="L58" s="1159"/>
      <c r="M58" s="1157"/>
      <c r="N58" s="1157"/>
      <c r="O58" s="1157"/>
      <c r="P58" s="2680"/>
      <c r="Q58" s="504"/>
    </row>
    <row r="59" spans="1:29" s="508" customFormat="1" ht="15">
      <c r="A59" s="505" t="s">
        <v>2552</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c r="F60" s="512"/>
      <c r="G60" s="512"/>
      <c r="H60" s="512"/>
      <c r="I60" s="512"/>
      <c r="J60" s="512"/>
      <c r="K60" s="512"/>
      <c r="L60" s="512"/>
      <c r="M60" s="513"/>
      <c r="N60" s="512"/>
      <c r="O60" s="513"/>
      <c r="P60" s="2681"/>
    </row>
    <row r="61" spans="1:29" s="117" customFormat="1" ht="15.75" thickBot="1">
      <c r="A61" s="515" t="s">
        <v>2589</v>
      </c>
      <c r="B61" s="516"/>
      <c r="C61" s="517"/>
      <c r="D61" s="518"/>
      <c r="E61" s="518"/>
      <c r="F61" s="518"/>
      <c r="G61" s="518"/>
      <c r="H61" s="518"/>
      <c r="I61" s="518"/>
      <c r="J61" s="518"/>
      <c r="K61" s="518"/>
      <c r="L61" s="518"/>
      <c r="M61" s="519"/>
      <c r="N61" s="518"/>
      <c r="O61" s="519"/>
      <c r="P61" s="2681"/>
      <c r="Q61" s="504"/>
    </row>
    <row r="62" spans="1:29" s="117" customFormat="1" ht="15">
      <c r="A62" s="521" t="s">
        <v>2554</v>
      </c>
      <c r="B62" s="510"/>
      <c r="C62" s="522" t="s">
        <v>2656</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2592</v>
      </c>
      <c r="B64" s="528" t="s">
        <v>2558</v>
      </c>
      <c r="C64" s="529" t="str">
        <f>C9</f>
        <v>商业</v>
      </c>
      <c r="D64" s="2979" t="s">
        <v>3111</v>
      </c>
      <c r="E64" s="530"/>
      <c r="F64" s="530"/>
      <c r="G64" s="530"/>
      <c r="H64" s="530"/>
      <c r="I64" s="530"/>
      <c r="J64" s="530"/>
      <c r="K64" s="531"/>
      <c r="L64" s="532"/>
      <c r="M64" s="533"/>
      <c r="N64" s="1150"/>
      <c r="O64" s="1150"/>
      <c r="P64" s="2683"/>
      <c r="Q64" s="504"/>
    </row>
    <row r="65" spans="1:17" ht="15.75" thickBot="1">
      <c r="A65" s="534"/>
      <c r="B65" s="535"/>
      <c r="C65" s="536">
        <v>99</v>
      </c>
      <c r="D65" s="536">
        <v>100</v>
      </c>
      <c r="E65" s="536"/>
      <c r="F65" s="536"/>
      <c r="G65" s="536"/>
      <c r="H65" s="536"/>
      <c r="I65" s="536"/>
      <c r="J65" s="536"/>
      <c r="K65" s="536"/>
      <c r="L65" s="536"/>
      <c r="M65" s="537"/>
      <c r="N65" s="1151"/>
      <c r="O65" s="1151"/>
      <c r="P65" s="2683"/>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2562</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t="str">
        <f>B12</f>
        <v>使用权类型</v>
      </c>
      <c r="C71" s="2978" t="s">
        <v>3113</v>
      </c>
      <c r="D71" s="2978" t="s">
        <v>3156</v>
      </c>
      <c r="E71" s="554"/>
      <c r="F71" s="554"/>
      <c r="G71" s="554"/>
      <c r="H71" s="555"/>
      <c r="I71" s="555"/>
      <c r="J71" s="555"/>
      <c r="K71" s="555"/>
      <c r="L71" s="556"/>
      <c r="M71" s="557"/>
      <c r="N71" s="1152"/>
      <c r="O71" s="1152"/>
      <c r="P71" s="2684"/>
      <c r="Q71" s="559"/>
    </row>
    <row r="72" spans="1:17" s="471" customFormat="1" ht="15.75" thickBot="1">
      <c r="A72" s="553"/>
      <c r="B72" s="543"/>
      <c r="C72" s="560">
        <v>100</v>
      </c>
      <c r="D72" s="536">
        <v>97</v>
      </c>
      <c r="E72" s="536"/>
      <c r="F72" s="536"/>
      <c r="G72" s="536"/>
      <c r="H72" s="536"/>
      <c r="I72" s="536"/>
      <c r="J72" s="536"/>
      <c r="K72" s="536"/>
      <c r="L72" s="536"/>
      <c r="M72" s="537"/>
      <c r="N72" s="1151"/>
      <c r="O72" s="1151"/>
      <c r="P72" s="2684"/>
      <c r="Q72" s="559"/>
    </row>
    <row r="73" spans="1:17" s="471" customFormat="1" ht="15.75" thickTop="1">
      <c r="A73" s="553"/>
      <c r="B73" s="538">
        <f>B13</f>
        <v>0</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0</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2693</v>
      </c>
      <c r="C83" s="660" t="s">
        <v>2679</v>
      </c>
      <c r="D83" s="660" t="s">
        <v>2680</v>
      </c>
      <c r="E83" s="660" t="s">
        <v>2681</v>
      </c>
      <c r="F83" s="660" t="s">
        <v>2682</v>
      </c>
      <c r="G83" s="660" t="s">
        <v>2683</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2703</v>
      </c>
      <c r="C87" s="2978" t="s">
        <v>3123</v>
      </c>
      <c r="D87" s="2978" t="s">
        <v>3124</v>
      </c>
      <c r="E87" s="2978" t="s">
        <v>3125</v>
      </c>
      <c r="F87" s="2978" t="s">
        <v>3127</v>
      </c>
      <c r="G87" s="2978" t="s">
        <v>3128</v>
      </c>
      <c r="H87" s="554"/>
      <c r="I87" s="554"/>
      <c r="J87" s="554"/>
      <c r="K87" s="554"/>
      <c r="L87" s="580"/>
      <c r="M87" s="581"/>
      <c r="N87" s="1149"/>
      <c r="O87" s="1149"/>
      <c r="P87" s="2683"/>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0</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0</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0</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0</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2567</v>
      </c>
      <c r="B101" s="528" t="s">
        <v>2616</v>
      </c>
      <c r="C101" s="2979" t="s">
        <v>3144</v>
      </c>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1"/>
      <c r="O102" s="1151"/>
      <c r="P102" s="2683"/>
      <c r="Q102" s="504"/>
    </row>
    <row r="103" spans="1:17" ht="29.25" thickTop="1">
      <c r="A103" s="534"/>
      <c r="B103" s="538" t="s">
        <v>2617</v>
      </c>
      <c r="C103" s="578" t="str">
        <f>C104&amp;"(含)"&amp;"-"&amp;D104</f>
        <v>0(含)-10000</v>
      </c>
      <c r="D103" s="578" t="str">
        <f t="shared" ref="D103:L103" si="23">D104&amp;"(含)"&amp;"-"&amp;E104</f>
        <v>10000(含)-20000</v>
      </c>
      <c r="E103" s="578" t="str">
        <f t="shared" si="23"/>
        <v>20000(含)-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v>10000</v>
      </c>
      <c r="E104" s="595">
        <v>20000</v>
      </c>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2618</v>
      </c>
      <c r="C106" s="2978" t="s">
        <v>3129</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3"/>
      <c r="Q107" s="504"/>
    </row>
    <row r="108" spans="1:17" ht="15" thickTop="1">
      <c r="A108" s="599"/>
      <c r="B108" s="538" t="s">
        <v>2620</v>
      </c>
      <c r="C108" s="2978" t="s">
        <v>3131</v>
      </c>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3"/>
      <c r="Q112" s="504"/>
    </row>
    <row r="113" spans="1:17" s="471" customFormat="1" ht="15" thickTop="1">
      <c r="A113" s="593"/>
      <c r="B113" s="538" t="s">
        <v>2704</v>
      </c>
      <c r="C113" s="2978" t="s">
        <v>3149</v>
      </c>
      <c r="D113" s="2978" t="s">
        <v>3155</v>
      </c>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4"/>
      <c r="Q114" s="559"/>
    </row>
    <row r="115" spans="1:17" ht="15" thickTop="1">
      <c r="A115" s="599"/>
      <c r="B115" s="538" t="s">
        <v>2621</v>
      </c>
      <c r="C115" s="2978" t="s">
        <v>3133</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3"/>
      <c r="Q116" s="504"/>
    </row>
    <row r="117" spans="1:17" ht="15" thickTop="1">
      <c r="A117" s="599"/>
      <c r="B117" s="538" t="s">
        <v>2622</v>
      </c>
      <c r="C117" s="2978" t="s">
        <v>3134</v>
      </c>
      <c r="D117" s="2978" t="s">
        <v>3136</v>
      </c>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3"/>
      <c r="Q118" s="504"/>
    </row>
    <row r="119" spans="1:17" ht="15" thickTop="1">
      <c r="A119" s="599"/>
      <c r="B119" s="636" t="s">
        <v>2705</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2688</v>
      </c>
      <c r="C121" s="434" t="s">
        <v>3145</v>
      </c>
      <c r="D121" s="434">
        <v>210</v>
      </c>
      <c r="E121" s="434">
        <v>6700</v>
      </c>
      <c r="F121" s="583">
        <v>189</v>
      </c>
      <c r="G121" s="555"/>
      <c r="H121" s="555"/>
      <c r="I121" s="555"/>
      <c r="J121" s="555"/>
      <c r="K121" s="555"/>
      <c r="L121" s="556"/>
      <c r="M121" s="557"/>
      <c r="N121" s="1152"/>
      <c r="O121" s="1152"/>
      <c r="P121" s="2684"/>
      <c r="Q121" s="559"/>
    </row>
    <row r="122" spans="1:17" s="471" customFormat="1" ht="15.75" thickBot="1">
      <c r="A122" s="553"/>
      <c r="B122" s="535"/>
      <c r="C122" s="560">
        <v>100</v>
      </c>
      <c r="D122" s="560">
        <v>102</v>
      </c>
      <c r="E122" s="560">
        <v>98</v>
      </c>
      <c r="F122" s="560">
        <v>102</v>
      </c>
      <c r="G122" s="560"/>
      <c r="H122" s="560"/>
      <c r="I122" s="560"/>
      <c r="J122" s="560"/>
      <c r="K122" s="560"/>
      <c r="L122" s="560"/>
      <c r="M122" s="560"/>
      <c r="N122" s="1152"/>
      <c r="O122" s="1152"/>
      <c r="P122" s="2684"/>
      <c r="Q122" s="559"/>
    </row>
    <row r="123" spans="1:17" ht="15" thickTop="1">
      <c r="A123" s="599"/>
      <c r="B123" s="538" t="s">
        <v>2624</v>
      </c>
      <c r="C123" s="2978" t="s">
        <v>3138</v>
      </c>
      <c r="D123" s="2978" t="s">
        <v>3139</v>
      </c>
      <c r="E123" s="2978" t="s">
        <v>3141</v>
      </c>
      <c r="F123" s="2980" t="s">
        <v>3142</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1"/>
      <c r="O124" s="1151"/>
      <c r="P124" s="2683"/>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t="str">
        <f>B45</f>
        <v>单套建筑面积</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0</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0</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2706</v>
      </c>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IF(C2="——",ROUND(C43*D3/10000,0),ROUND(C43*D3/10000,0)-D2)</f>
        <v>#DIV/0!</v>
      </c>
      <c r="C2" s="2585"/>
      <c r="D2" s="1122"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50425.270000000004</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90"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90"/>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90"/>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190"/>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2563</v>
      </c>
      <c r="B15" s="69" t="s">
        <v>2707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92" t="s">
        <v>2564</v>
      </c>
      <c r="Q15" s="1809" t="str">
        <f t="shared" si="6"/>
        <v>产业集聚程度</v>
      </c>
      <c r="R15" s="774" t="s">
        <v>17</v>
      </c>
      <c r="S15" s="775">
        <f t="shared" si="0"/>
        <v>100</v>
      </c>
      <c r="T15" s="774" t="s">
        <v>17</v>
      </c>
      <c r="U15" s="775">
        <f t="shared" si="1"/>
        <v>100</v>
      </c>
      <c r="V15" s="774" t="s">
        <v>17</v>
      </c>
      <c r="W15" s="775">
        <f t="shared" si="2"/>
        <v>100</v>
      </c>
      <c r="X15" s="1812"/>
      <c r="Y15" s="3192" t="s">
        <v>2564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37"/>
      <c r="P16" s="3193"/>
      <c r="Q16" s="1809"/>
      <c r="R16" s="774"/>
      <c r="S16" s="775"/>
      <c r="T16" s="774"/>
      <c r="U16" s="775"/>
      <c r="V16" s="774"/>
      <c r="W16" s="775"/>
      <c r="X16" s="1812"/>
      <c r="Y16" s="3193"/>
      <c r="Z16" s="1813"/>
      <c r="AA16" s="1810">
        <v>1</v>
      </c>
      <c r="AB16" s="1810">
        <v>1</v>
      </c>
      <c r="AC16" s="1810">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8"/>
      <c r="M18" s="1129"/>
      <c r="N18" s="1129"/>
      <c r="O18" s="1137"/>
      <c r="P18" s="3193"/>
      <c r="Q18" s="1809"/>
      <c r="R18" s="774"/>
      <c r="S18" s="775"/>
      <c r="T18" s="774"/>
      <c r="U18" s="775"/>
      <c r="V18" s="774"/>
      <c r="W18" s="775"/>
      <c r="X18" s="1812"/>
      <c r="Y18" s="3193"/>
      <c r="Z18" s="1813"/>
      <c r="AA18" s="1810">
        <v>1</v>
      </c>
      <c r="AB18" s="1810">
        <v>1</v>
      </c>
      <c r="AC18" s="1810">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3"/>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8"/>
      <c r="M20" s="1129"/>
      <c r="N20" s="1129"/>
      <c r="O20" s="1137"/>
      <c r="P20" s="3193"/>
      <c r="Q20" s="1809"/>
      <c r="R20" s="774"/>
      <c r="S20" s="775"/>
      <c r="T20" s="774"/>
      <c r="U20" s="775"/>
      <c r="V20" s="774"/>
      <c r="W20" s="775"/>
      <c r="X20" s="1812"/>
      <c r="Y20" s="3193"/>
      <c r="Z20" s="1813"/>
      <c r="AA20" s="1810">
        <v>1</v>
      </c>
      <c r="AB20" s="1810">
        <v>1</v>
      </c>
      <c r="AC20" s="1810">
        <v>1</v>
      </c>
    </row>
    <row r="21" spans="1:29" ht="28.5">
      <c r="A21" s="428"/>
      <c r="B21" s="1382"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3"/>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9"/>
      <c r="G22" s="447"/>
      <c r="H22" s="448"/>
      <c r="I22" s="447"/>
      <c r="J22" s="448"/>
      <c r="K22" s="1381"/>
      <c r="L22" s="1138"/>
      <c r="M22" s="1129"/>
      <c r="N22" s="1129"/>
      <c r="O22" s="1137"/>
      <c r="P22" s="3193"/>
      <c r="Q22" s="1809"/>
      <c r="R22" s="774"/>
      <c r="S22" s="775"/>
      <c r="T22" s="774"/>
      <c r="U22" s="775"/>
      <c r="V22" s="774"/>
      <c r="W22" s="775"/>
      <c r="X22" s="1812"/>
      <c r="Y22" s="3193"/>
      <c r="Z22" s="1813"/>
      <c r="AA22" s="1810">
        <v>1</v>
      </c>
      <c r="AB22" s="1810">
        <v>1</v>
      </c>
      <c r="AC22" s="1810">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3"/>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1810">
        <f t="shared" si="5"/>
        <v>1</v>
      </c>
    </row>
    <row r="24" spans="1:29" ht="15">
      <c r="A24" s="428"/>
      <c r="B24" s="1382"/>
      <c r="C24" s="447"/>
      <c r="D24" s="448"/>
      <c r="E24" s="2604"/>
      <c r="F24" s="449"/>
      <c r="G24" s="2603"/>
      <c r="H24" s="448"/>
      <c r="I24" s="2604"/>
      <c r="J24" s="448"/>
      <c r="K24" s="615"/>
      <c r="L24" s="1138"/>
      <c r="M24" s="1129"/>
      <c r="N24" s="1129"/>
      <c r="O24" s="1137"/>
      <c r="P24" s="3193"/>
      <c r="Q24" s="1809"/>
      <c r="R24" s="774"/>
      <c r="S24" s="775"/>
      <c r="T24" s="774"/>
      <c r="U24" s="775"/>
      <c r="V24" s="774"/>
      <c r="W24" s="775"/>
      <c r="X24" s="1812"/>
      <c r="Y24" s="3193"/>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3"/>
      <c r="Q25" s="1809">
        <f>B25</f>
        <v>111</v>
      </c>
      <c r="R25" s="774" t="s">
        <v>17</v>
      </c>
      <c r="S25" s="775">
        <f>F25</f>
        <v>100</v>
      </c>
      <c r="T25" s="774" t="s">
        <v>17</v>
      </c>
      <c r="U25" s="775">
        <f>H25</f>
        <v>100</v>
      </c>
      <c r="V25" s="774" t="s">
        <v>17</v>
      </c>
      <c r="W25" s="775">
        <f>J25</f>
        <v>100</v>
      </c>
      <c r="X25" s="1812"/>
      <c r="Y25" s="3193"/>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3"/>
      <c r="Q26" s="1809">
        <f t="shared" ref="Q26:Q40" si="11">B26</f>
        <v>111</v>
      </c>
      <c r="R26" s="774" t="s">
        <v>17</v>
      </c>
      <c r="S26" s="775">
        <f>F26</f>
        <v>100</v>
      </c>
      <c r="T26" s="774" t="s">
        <v>17</v>
      </c>
      <c r="U26" s="775">
        <f>H26</f>
        <v>100</v>
      </c>
      <c r="V26" s="774" t="s">
        <v>17</v>
      </c>
      <c r="W26" s="775">
        <f>J26</f>
        <v>100</v>
      </c>
      <c r="X26" s="1812"/>
      <c r="Y26" s="3193"/>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3"/>
      <c r="Q27" s="1794">
        <f t="shared" si="11"/>
        <v>111</v>
      </c>
      <c r="R27" s="770" t="s">
        <v>17</v>
      </c>
      <c r="S27" s="771">
        <f>F27</f>
        <v>100</v>
      </c>
      <c r="T27" s="770" t="s">
        <v>17</v>
      </c>
      <c r="U27" s="771">
        <f>H27</f>
        <v>100</v>
      </c>
      <c r="V27" s="770" t="s">
        <v>17</v>
      </c>
      <c r="W27" s="771">
        <f>J27</f>
        <v>100</v>
      </c>
      <c r="X27" s="772"/>
      <c r="Y27" s="3193"/>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3"/>
      <c r="Q28" s="1809">
        <f t="shared" si="11"/>
        <v>111</v>
      </c>
      <c r="R28" s="774" t="s">
        <v>17</v>
      </c>
      <c r="S28" s="775">
        <f t="shared" ref="S28:S40" si="12">F28</f>
        <v>100</v>
      </c>
      <c r="T28" s="774" t="s">
        <v>17</v>
      </c>
      <c r="U28" s="775">
        <f t="shared" ref="U28:U40" si="13">H28</f>
        <v>100</v>
      </c>
      <c r="V28" s="774" t="s">
        <v>17</v>
      </c>
      <c r="W28" s="775">
        <f t="shared" ref="W28:W40" si="14">J28</f>
        <v>100</v>
      </c>
      <c r="X28" s="1812"/>
      <c r="Y28" s="3193"/>
      <c r="Z28" s="1813">
        <f t="shared" ref="Z28:Z40" si="15">Q28</f>
        <v>111</v>
      </c>
      <c r="AA28" s="1810">
        <f t="shared" si="3"/>
        <v>1</v>
      </c>
      <c r="AB28" s="1810">
        <f t="shared" si="4"/>
        <v>1</v>
      </c>
      <c r="AC28" s="1810">
        <f t="shared" si="5"/>
        <v>1</v>
      </c>
    </row>
    <row r="29" spans="1:29" ht="15">
      <c r="A29" s="466" t="s">
        <v>2567</v>
      </c>
      <c r="B29" s="71" t="s">
        <v>2697</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78" t="s">
        <v>2569</v>
      </c>
      <c r="Q29" s="1809" t="str">
        <f t="shared" si="11"/>
        <v>建筑类型</v>
      </c>
      <c r="R29" s="774" t="s">
        <v>17</v>
      </c>
      <c r="S29" s="775">
        <f t="shared" si="12"/>
        <v>100</v>
      </c>
      <c r="T29" s="774" t="s">
        <v>17</v>
      </c>
      <c r="U29" s="775">
        <f t="shared" si="13"/>
        <v>100</v>
      </c>
      <c r="V29" s="774" t="s">
        <v>17</v>
      </c>
      <c r="W29" s="775">
        <f t="shared" si="14"/>
        <v>100</v>
      </c>
      <c r="X29" s="1812"/>
      <c r="Y29" s="3197" t="s">
        <v>2569</v>
      </c>
      <c r="Z29" s="1813" t="str">
        <f t="shared" si="15"/>
        <v>建筑类型</v>
      </c>
      <c r="AA29" s="1810">
        <f t="shared" si="3"/>
        <v>1</v>
      </c>
      <c r="AB29" s="1810">
        <f t="shared" si="4"/>
        <v>1</v>
      </c>
      <c r="AC29" s="1810">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0" t="e">
        <f t="shared" si="3"/>
        <v>#N/A</v>
      </c>
      <c r="AB30" s="1810" t="e">
        <f t="shared" si="4"/>
        <v>#N/A</v>
      </c>
      <c r="AC30" s="1810"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7"/>
      <c r="Q31" s="1809" t="str">
        <f t="shared" si="11"/>
        <v>建筑结构</v>
      </c>
      <c r="R31" s="774" t="s">
        <v>17</v>
      </c>
      <c r="S31" s="775">
        <f t="shared" si="12"/>
        <v>100</v>
      </c>
      <c r="T31" s="774" t="s">
        <v>17</v>
      </c>
      <c r="U31" s="775">
        <f t="shared" si="13"/>
        <v>100</v>
      </c>
      <c r="V31" s="774" t="s">
        <v>17</v>
      </c>
      <c r="W31" s="775">
        <f t="shared" si="14"/>
        <v>100</v>
      </c>
      <c r="X31" s="1812"/>
      <c r="Y31" s="3197"/>
      <c r="Z31" s="1813" t="str">
        <f t="shared" si="15"/>
        <v>建筑结构</v>
      </c>
      <c r="AA31" s="1810">
        <f t="shared" si="3"/>
        <v>1</v>
      </c>
      <c r="AB31" s="1810">
        <f t="shared" si="4"/>
        <v>1</v>
      </c>
      <c r="AC31" s="1810">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7"/>
      <c r="Q32" s="1809" t="str">
        <f t="shared" si="11"/>
        <v>公共部分装修</v>
      </c>
      <c r="R32" s="774" t="s">
        <v>17</v>
      </c>
      <c r="S32" s="775">
        <f t="shared" si="12"/>
        <v>100</v>
      </c>
      <c r="T32" s="774" t="s">
        <v>17</v>
      </c>
      <c r="U32" s="775">
        <f t="shared" si="13"/>
        <v>100</v>
      </c>
      <c r="V32" s="774" t="s">
        <v>17</v>
      </c>
      <c r="W32" s="775">
        <f t="shared" si="14"/>
        <v>100</v>
      </c>
      <c r="X32" s="1812"/>
      <c r="Y32" s="3197"/>
      <c r="Z32" s="1813" t="str">
        <f t="shared" si="15"/>
        <v>公共部分装修</v>
      </c>
      <c r="AA32" s="1810">
        <f t="shared" si="3"/>
        <v>1</v>
      </c>
      <c r="AB32" s="1810">
        <f t="shared" si="4"/>
        <v>1</v>
      </c>
      <c r="AC32" s="1810">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7"/>
      <c r="Q33" s="1809" t="str">
        <f t="shared" si="11"/>
        <v>成新度</v>
      </c>
      <c r="R33" s="774" t="s">
        <v>17</v>
      </c>
      <c r="S33" s="775" t="e">
        <f t="shared" si="12"/>
        <v>#N/A</v>
      </c>
      <c r="T33" s="774" t="s">
        <v>17</v>
      </c>
      <c r="U33" s="775" t="e">
        <f t="shared" si="13"/>
        <v>#N/A</v>
      </c>
      <c r="V33" s="774" t="s">
        <v>17</v>
      </c>
      <c r="W33" s="775" t="e">
        <f t="shared" si="14"/>
        <v>#N/A</v>
      </c>
      <c r="X33" s="1812"/>
      <c r="Y33" s="3197"/>
      <c r="Z33" s="1813" t="str">
        <f t="shared" si="15"/>
        <v>成新度</v>
      </c>
      <c r="AA33" s="1810" t="e">
        <f t="shared" si="3"/>
        <v>#N/A</v>
      </c>
      <c r="AB33" s="1810" t="e">
        <f t="shared" si="4"/>
        <v>#N/A</v>
      </c>
      <c r="AC33" s="1810"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7"/>
      <c r="Q34" s="1794"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7" t="s">
        <v>2569</v>
      </c>
      <c r="Q35" s="1809" t="str">
        <f t="shared" si="11"/>
        <v>市政基础设施</v>
      </c>
      <c r="R35" s="774" t="s">
        <v>17</v>
      </c>
      <c r="S35" s="775">
        <f t="shared" si="12"/>
        <v>100</v>
      </c>
      <c r="T35" s="774" t="s">
        <v>17</v>
      </c>
      <c r="U35" s="775">
        <f t="shared" si="13"/>
        <v>100</v>
      </c>
      <c r="V35" s="774" t="s">
        <v>17</v>
      </c>
      <c r="W35" s="775">
        <f t="shared" si="14"/>
        <v>100</v>
      </c>
      <c r="X35" s="1812"/>
      <c r="Y35" s="3197" t="s">
        <v>2569</v>
      </c>
      <c r="Z35" s="1813" t="str">
        <f t="shared" si="15"/>
        <v>市政基础设施</v>
      </c>
      <c r="AA35" s="1810">
        <f t="shared" si="3"/>
        <v>1</v>
      </c>
      <c r="AB35" s="1810">
        <f t="shared" si="4"/>
        <v>1</v>
      </c>
      <c r="AC35" s="1810">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7"/>
      <c r="Q36" s="1809" t="str">
        <f t="shared" si="11"/>
        <v>内部装修</v>
      </c>
      <c r="R36" s="774" t="s">
        <v>17</v>
      </c>
      <c r="S36" s="775">
        <f t="shared" si="12"/>
        <v>100</v>
      </c>
      <c r="T36" s="774" t="s">
        <v>17</v>
      </c>
      <c r="U36" s="775">
        <f t="shared" si="13"/>
        <v>100</v>
      </c>
      <c r="V36" s="774" t="s">
        <v>17</v>
      </c>
      <c r="W36" s="775">
        <f t="shared" si="14"/>
        <v>100</v>
      </c>
      <c r="X36" s="1812"/>
      <c r="Y36" s="3197"/>
      <c r="Z36" s="1813" t="str">
        <f t="shared" si="15"/>
        <v>内部装修</v>
      </c>
      <c r="AA36" s="1810">
        <f t="shared" si="3"/>
        <v>1</v>
      </c>
      <c r="AB36" s="1810">
        <f t="shared" si="4"/>
        <v>1</v>
      </c>
      <c r="AC36" s="1810">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7"/>
      <c r="Q37" s="1809" t="str">
        <f t="shared" si="11"/>
        <v>内部装修状况</v>
      </c>
      <c r="R37" s="774" t="s">
        <v>17</v>
      </c>
      <c r="S37" s="775">
        <f t="shared" si="12"/>
        <v>100</v>
      </c>
      <c r="T37" s="774" t="s">
        <v>17</v>
      </c>
      <c r="U37" s="775">
        <f t="shared" si="13"/>
        <v>100</v>
      </c>
      <c r="V37" s="774" t="s">
        <v>17</v>
      </c>
      <c r="W37" s="775">
        <f t="shared" si="14"/>
        <v>100</v>
      </c>
      <c r="X37" s="1812"/>
      <c r="Y37" s="3197"/>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7"/>
      <c r="Q39" s="1809">
        <f t="shared" si="11"/>
        <v>111</v>
      </c>
      <c r="R39" s="774" t="s">
        <v>17</v>
      </c>
      <c r="S39" s="775">
        <f t="shared" si="12"/>
        <v>100</v>
      </c>
      <c r="T39" s="774" t="s">
        <v>17</v>
      </c>
      <c r="U39" s="775">
        <f t="shared" si="13"/>
        <v>100</v>
      </c>
      <c r="V39" s="774" t="s">
        <v>17</v>
      </c>
      <c r="W39" s="775">
        <f t="shared" si="14"/>
        <v>100</v>
      </c>
      <c r="X39" s="1812"/>
      <c r="Y39" s="319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8"/>
      <c r="Q40" s="1809">
        <f t="shared" si="11"/>
        <v>111</v>
      </c>
      <c r="R40" s="774" t="s">
        <v>17</v>
      </c>
      <c r="S40" s="775">
        <f t="shared" si="12"/>
        <v>100</v>
      </c>
      <c r="T40" s="774" t="s">
        <v>17</v>
      </c>
      <c r="U40" s="775">
        <f t="shared" si="13"/>
        <v>100</v>
      </c>
      <c r="V40" s="774" t="s">
        <v>17</v>
      </c>
      <c r="W40" s="775">
        <f t="shared" si="14"/>
        <v>100</v>
      </c>
      <c r="X40" s="1812"/>
      <c r="Y40" s="3198"/>
      <c r="Z40" s="1813">
        <f t="shared" si="15"/>
        <v>111</v>
      </c>
      <c r="AA40" s="1810">
        <f t="shared" si="3"/>
        <v>1</v>
      </c>
      <c r="AB40" s="1810">
        <f t="shared" si="4"/>
        <v>1</v>
      </c>
      <c r="AC40" s="1810">
        <f t="shared" si="5"/>
        <v>1</v>
      </c>
    </row>
    <row r="41" spans="1:29" ht="15">
      <c r="A41" s="479" t="s">
        <v>2581</v>
      </c>
      <c r="B41" s="480"/>
      <c r="C41" s="1405" t="s">
        <v>1</v>
      </c>
      <c r="D41" s="1406"/>
      <c r="E41" s="1407"/>
      <c r="F41" s="1408"/>
      <c r="G41" s="1409"/>
      <c r="H41" s="1410"/>
      <c r="I41" s="1407"/>
      <c r="J41" s="1410"/>
      <c r="K41" s="783"/>
      <c r="L41" s="1141"/>
      <c r="M41" s="1142"/>
      <c r="N41" s="1129"/>
      <c r="O41" s="1142"/>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2673</v>
      </c>
      <c r="B42" s="487"/>
      <c r="C42" s="1411" t="e">
        <f>R43</f>
        <v>#DIV/0!</v>
      </c>
      <c r="D42" s="1412"/>
      <c r="E42" s="1413" t="e">
        <f>R42</f>
        <v>#DIV/0!</v>
      </c>
      <c r="F42" s="1413"/>
      <c r="G42" s="1411" t="e">
        <f>T42</f>
        <v>#DIV/0!</v>
      </c>
      <c r="H42" s="1412"/>
      <c r="I42" s="1413" t="e">
        <f>V42</f>
        <v>#DIV/0!</v>
      </c>
      <c r="J42" s="1412"/>
      <c r="K42" s="784"/>
      <c r="L42" s="1141"/>
      <c r="M42" s="1142"/>
      <c r="N42" s="1129"/>
      <c r="O42" s="1142"/>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2674</v>
      </c>
      <c r="B43" s="493"/>
      <c r="C43" s="1415" t="e">
        <f>R43</f>
        <v>#DIV/0!</v>
      </c>
      <c r="D43" s="1415"/>
      <c r="E43" s="1415"/>
      <c r="F43" s="1415"/>
      <c r="G43" s="1415"/>
      <c r="H43" s="1415"/>
      <c r="I43" s="1415"/>
      <c r="J43" s="1415"/>
      <c r="K43" s="785"/>
      <c r="L43" s="1141"/>
      <c r="M43" s="1142"/>
      <c r="N43" s="1142"/>
      <c r="O43" s="1142"/>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2678</v>
      </c>
      <c r="B51" s="759"/>
      <c r="C51" s="764"/>
      <c r="D51" s="764"/>
      <c r="E51" s="764"/>
      <c r="F51" s="765"/>
      <c r="G51" s="765"/>
      <c r="H51" s="764"/>
      <c r="I51" s="764"/>
      <c r="J51" s="764"/>
      <c r="K51" s="1158"/>
      <c r="L51" s="1159"/>
      <c r="M51" s="1157"/>
      <c r="N51" s="1157"/>
      <c r="O51" s="1157"/>
      <c r="P51" s="503"/>
      <c r="Q51" s="504"/>
    </row>
    <row r="52" spans="1:17" s="508" customFormat="1" ht="15">
      <c r="A52" s="505" t="s">
        <v>2552</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2592</v>
      </c>
      <c r="B57" s="528" t="s">
        <v>2558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2567</v>
      </c>
      <c r="B88" s="528" t="s">
        <v>2616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2620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6" priority="16" stopIfTrue="1" operator="containsText" text="超过">
      <formula>NOT(ISERROR(SEARCH("超过",F46)))</formula>
    </cfRule>
  </conditionalFormatting>
  <conditionalFormatting sqref="H48">
    <cfRule type="containsText" dxfId="115" priority="15" stopIfTrue="1" operator="containsText" text="超过">
      <formula>NOT(ISERROR(SEARCH("超过",H48)))</formula>
    </cfRule>
  </conditionalFormatting>
  <conditionalFormatting sqref="F48">
    <cfRule type="containsText" dxfId="114" priority="14" stopIfTrue="1" operator="containsText" text="超过">
      <formula>NOT(ISERROR(SEARCH("超过",F48)))</formula>
    </cfRule>
  </conditionalFormatting>
  <conditionalFormatting sqref="F47 H47">
    <cfRule type="containsText" dxfId="113" priority="13" stopIfTrue="1" operator="containsText" text="超过">
      <formula>NOT(ISERROR(SEARCH("超过",F47)))</formula>
    </cfRule>
  </conditionalFormatting>
  <conditionalFormatting sqref="E46">
    <cfRule type="expression" dxfId="112" priority="12" stopIfTrue="1">
      <formula>$F$46="超过30%"</formula>
    </cfRule>
  </conditionalFormatting>
  <conditionalFormatting sqref="E47">
    <cfRule type="expression" dxfId="111" priority="11" stopIfTrue="1">
      <formula>$F$47="超过20%"</formula>
    </cfRule>
  </conditionalFormatting>
  <conditionalFormatting sqref="E48">
    <cfRule type="expression" dxfId="110" priority="10" stopIfTrue="1">
      <formula>$F$48="超过30%"</formula>
    </cfRule>
  </conditionalFormatting>
  <conditionalFormatting sqref="G48">
    <cfRule type="expression" dxfId="109" priority="9" stopIfTrue="1">
      <formula>$H$48="超过30%"</formula>
    </cfRule>
  </conditionalFormatting>
  <conditionalFormatting sqref="G46">
    <cfRule type="expression" dxfId="108" priority="8" stopIfTrue="1">
      <formula>$H$46="超过30%"</formula>
    </cfRule>
  </conditionalFormatting>
  <conditionalFormatting sqref="G47">
    <cfRule type="expression" dxfId="107" priority="7" stopIfTrue="1">
      <formula>$H$47="超过20%"</formula>
    </cfRule>
  </conditionalFormatting>
  <conditionalFormatting sqref="J46">
    <cfRule type="containsText" dxfId="106" priority="6" stopIfTrue="1" operator="containsText" text="超过">
      <formula>NOT(ISERROR(SEARCH("超过",J46)))</formula>
    </cfRule>
  </conditionalFormatting>
  <conditionalFormatting sqref="J48">
    <cfRule type="containsText" dxfId="105" priority="5" stopIfTrue="1" operator="containsText" text="超过">
      <formula>NOT(ISERROR(SEARCH("超过",J48)))</formula>
    </cfRule>
  </conditionalFormatting>
  <conditionalFormatting sqref="J47">
    <cfRule type="containsText" dxfId="104" priority="4" stopIfTrue="1" operator="containsText" text="超过">
      <formula>NOT(ISERROR(SEARCH("超过",J47)))</formula>
    </cfRule>
  </conditionalFormatting>
  <conditionalFormatting sqref="I46">
    <cfRule type="expression" dxfId="103" priority="3" stopIfTrue="1">
      <formula>$J$46="超过30%"</formula>
    </cfRule>
  </conditionalFormatting>
  <conditionalFormatting sqref="I47">
    <cfRule type="expression" dxfId="102" priority="2" stopIfTrue="1">
      <formula>$J$47="超过20%"</formula>
    </cfRule>
  </conditionalFormatting>
  <conditionalFormatting sqref="I48">
    <cfRule type="expression" dxfId="10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50425.270000000004</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5" t="s">
        <v>2540</v>
      </c>
      <c r="D4" s="3206"/>
      <c r="E4" s="3207" t="s">
        <v>2541</v>
      </c>
      <c r="F4" s="3208"/>
      <c r="G4" s="3205" t="s">
        <v>2542</v>
      </c>
      <c r="H4" s="3206"/>
      <c r="I4" s="3205" t="s">
        <v>2543</v>
      </c>
      <c r="J4" s="3206"/>
      <c r="K4" s="2595" t="s">
        <v>2544</v>
      </c>
      <c r="L4" s="1128"/>
      <c r="M4" s="1129"/>
      <c r="N4" s="1129"/>
      <c r="O4" s="1129"/>
      <c r="P4" s="3209" t="s">
        <v>2545</v>
      </c>
      <c r="Q4" s="3210"/>
      <c r="R4" s="3215" t="s">
        <v>2541</v>
      </c>
      <c r="S4" s="3216"/>
      <c r="T4" s="3215" t="s">
        <v>2542</v>
      </c>
      <c r="U4" s="3216"/>
      <c r="V4" s="3221" t="s">
        <v>2543</v>
      </c>
      <c r="W4" s="3221"/>
      <c r="X4" s="2939"/>
      <c r="Y4" s="3215" t="s">
        <v>2545</v>
      </c>
      <c r="Z4" s="3216"/>
      <c r="AA4" s="3202" t="s">
        <v>2541</v>
      </c>
      <c r="AB4" s="3202" t="s">
        <v>2542</v>
      </c>
      <c r="AC4" s="3202" t="s">
        <v>2543</v>
      </c>
    </row>
    <row r="5" spans="1:29" ht="15">
      <c r="A5" s="404"/>
      <c r="B5" s="405"/>
      <c r="C5" s="3224" t="s">
        <v>2546</v>
      </c>
      <c r="D5" s="3225"/>
      <c r="E5" s="3231" t="s">
        <v>2547</v>
      </c>
      <c r="F5" s="3232"/>
      <c r="G5" s="3224" t="s">
        <v>2548</v>
      </c>
      <c r="H5" s="3225"/>
      <c r="I5" s="3224" t="s">
        <v>2549</v>
      </c>
      <c r="J5" s="3225"/>
      <c r="K5" s="2596"/>
      <c r="L5" s="1128"/>
      <c r="M5" s="1129"/>
      <c r="N5" s="1129"/>
      <c r="O5" s="1129"/>
      <c r="P5" s="3211"/>
      <c r="Q5" s="3212"/>
      <c r="R5" s="3217"/>
      <c r="S5" s="3218"/>
      <c r="T5" s="3217"/>
      <c r="U5" s="3218"/>
      <c r="V5" s="3221"/>
      <c r="W5" s="3221"/>
      <c r="X5" s="2939"/>
      <c r="Y5" s="3217"/>
      <c r="Z5" s="3218"/>
      <c r="AA5" s="3203"/>
      <c r="AB5" s="3203"/>
      <c r="AC5" s="3203"/>
    </row>
    <row r="6" spans="1:29" ht="15.75" thickBot="1">
      <c r="A6" s="406"/>
      <c r="B6" s="407"/>
      <c r="C6" s="3222" t="s">
        <v>2550</v>
      </c>
      <c r="D6" s="3223"/>
      <c r="E6" s="3229" t="s">
        <v>2550</v>
      </c>
      <c r="F6" s="3230"/>
      <c r="G6" s="3222" t="s">
        <v>2550</v>
      </c>
      <c r="H6" s="3223"/>
      <c r="I6" s="3222" t="s">
        <v>2550</v>
      </c>
      <c r="J6" s="3223"/>
      <c r="K6" s="2596" t="s">
        <v>2551</v>
      </c>
      <c r="L6" s="1128"/>
      <c r="M6" s="1129"/>
      <c r="N6" s="1129"/>
      <c r="O6" s="1129"/>
      <c r="P6" s="3213"/>
      <c r="Q6" s="3214"/>
      <c r="R6" s="3217"/>
      <c r="S6" s="3218"/>
      <c r="T6" s="3219"/>
      <c r="U6" s="3220"/>
      <c r="V6" s="3221"/>
      <c r="W6" s="3221"/>
      <c r="X6" s="2939"/>
      <c r="Y6" s="3219"/>
      <c r="Z6" s="3220"/>
      <c r="AA6" s="3204"/>
      <c r="AB6" s="3204"/>
      <c r="AC6" s="3204"/>
    </row>
    <row r="7" spans="1:29" s="117" customFormat="1" ht="15.75" thickBot="1">
      <c r="A7" s="408" t="s">
        <v>2552</v>
      </c>
      <c r="B7" s="409"/>
      <c r="C7" s="410">
        <f>'数据-取费表'!B2</f>
        <v>43444</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26" t="s">
        <v>2553</v>
      </c>
      <c r="Q7" s="3228"/>
      <c r="R7" s="770" t="s">
        <v>23</v>
      </c>
      <c r="S7" s="771">
        <f t="shared" ref="S7:S15" si="0">F7</f>
        <v>0</v>
      </c>
      <c r="T7" s="770" t="s">
        <v>23</v>
      </c>
      <c r="U7" s="771">
        <f t="shared" ref="U7:U15" si="1">H7</f>
        <v>0</v>
      </c>
      <c r="V7" s="770" t="s">
        <v>23</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26" t="s">
        <v>2556</v>
      </c>
      <c r="Q8" s="3227"/>
      <c r="R8" s="770" t="s">
        <v>23</v>
      </c>
      <c r="S8" s="771">
        <f t="shared" si="0"/>
        <v>0</v>
      </c>
      <c r="T8" s="770" t="s">
        <v>23</v>
      </c>
      <c r="U8" s="771">
        <f t="shared" si="1"/>
        <v>0</v>
      </c>
      <c r="V8" s="770" t="s">
        <v>23</v>
      </c>
      <c r="W8" s="771">
        <f t="shared" si="2"/>
        <v>0</v>
      </c>
      <c r="X8" s="772"/>
      <c r="Y8" s="3226" t="s">
        <v>2556</v>
      </c>
      <c r="Z8" s="3227"/>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01" t="s">
        <v>2559</v>
      </c>
      <c r="Q9" s="2925" t="str">
        <f t="shared" ref="Q9:Q15" si="6">B9</f>
        <v>用途</v>
      </c>
      <c r="R9" s="770" t="s">
        <v>17</v>
      </c>
      <c r="S9" s="771">
        <f t="shared" si="0"/>
        <v>100</v>
      </c>
      <c r="T9" s="770" t="s">
        <v>17</v>
      </c>
      <c r="U9" s="771">
        <f t="shared" si="1"/>
        <v>100</v>
      </c>
      <c r="V9" s="770" t="s">
        <v>17</v>
      </c>
      <c r="W9" s="771">
        <f t="shared" si="2"/>
        <v>100</v>
      </c>
      <c r="X9" s="772"/>
      <c r="Y9" s="3040" t="s">
        <v>2560</v>
      </c>
      <c r="Z9" s="2926" t="str">
        <f t="shared" ref="Z9:Z15" si="7">Q9</f>
        <v>用途</v>
      </c>
      <c r="AA9" s="773">
        <f t="shared" si="3"/>
        <v>1</v>
      </c>
      <c r="AB9" s="773">
        <f t="shared" si="4"/>
        <v>1</v>
      </c>
      <c r="AC9" s="773">
        <f t="shared" si="5"/>
        <v>1</v>
      </c>
    </row>
    <row r="10" spans="1:29" s="427" customFormat="1" ht="27">
      <c r="A10" s="421"/>
      <c r="B10" s="2931"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1"/>
      <c r="Q10" s="2925" t="str">
        <f t="shared" si="6"/>
        <v>土地使用年限（年）</v>
      </c>
      <c r="R10" s="770" t="s">
        <v>17</v>
      </c>
      <c r="S10" s="771">
        <f t="shared" si="0"/>
        <v>100</v>
      </c>
      <c r="T10" s="770" t="s">
        <v>17</v>
      </c>
      <c r="U10" s="771">
        <f t="shared" si="1"/>
        <v>100</v>
      </c>
      <c r="V10" s="770" t="s">
        <v>17</v>
      </c>
      <c r="W10" s="771">
        <f t="shared" si="2"/>
        <v>100</v>
      </c>
      <c r="X10" s="772"/>
      <c r="Y10" s="3040"/>
      <c r="Z10" s="2926" t="str">
        <f t="shared" si="7"/>
        <v>土地使用年限（年）</v>
      </c>
      <c r="AA10" s="773">
        <f t="shared" si="3"/>
        <v>1</v>
      </c>
      <c r="AB10" s="773">
        <f t="shared" si="4"/>
        <v>1</v>
      </c>
      <c r="AC10" s="773">
        <f t="shared" si="5"/>
        <v>1</v>
      </c>
    </row>
    <row r="11" spans="1:29" ht="15">
      <c r="A11" s="428"/>
      <c r="B11" s="2931"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01"/>
      <c r="Q11" s="2925" t="str">
        <f t="shared" si="6"/>
        <v>容积率</v>
      </c>
      <c r="R11" s="770" t="s">
        <v>21</v>
      </c>
      <c r="S11" s="771" t="e">
        <f t="shared" si="0"/>
        <v>#N/A</v>
      </c>
      <c r="T11" s="770" t="s">
        <v>21</v>
      </c>
      <c r="U11" s="771" t="e">
        <f t="shared" si="1"/>
        <v>#N/A</v>
      </c>
      <c r="V11" s="770" t="s">
        <v>21</v>
      </c>
      <c r="W11" s="771" t="e">
        <f t="shared" si="2"/>
        <v>#N/A</v>
      </c>
      <c r="X11" s="772"/>
      <c r="Y11" s="3040"/>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01"/>
      <c r="Q12" s="2925">
        <f t="shared" si="6"/>
        <v>111</v>
      </c>
      <c r="R12" s="770" t="s">
        <v>21</v>
      </c>
      <c r="S12" s="771">
        <f t="shared" si="0"/>
        <v>100</v>
      </c>
      <c r="T12" s="770" t="s">
        <v>21</v>
      </c>
      <c r="U12" s="771">
        <f t="shared" si="1"/>
        <v>100</v>
      </c>
      <c r="V12" s="770" t="s">
        <v>21</v>
      </c>
      <c r="W12" s="771">
        <f t="shared" si="2"/>
        <v>100</v>
      </c>
      <c r="X12" s="772"/>
      <c r="Y12" s="3040"/>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01"/>
      <c r="Q13" s="2925">
        <f t="shared" si="6"/>
        <v>111</v>
      </c>
      <c r="R13" s="770" t="s">
        <v>21</v>
      </c>
      <c r="S13" s="771">
        <f t="shared" si="0"/>
        <v>100</v>
      </c>
      <c r="T13" s="770" t="s">
        <v>21</v>
      </c>
      <c r="U13" s="771">
        <f t="shared" si="1"/>
        <v>100</v>
      </c>
      <c r="V13" s="770" t="s">
        <v>21</v>
      </c>
      <c r="W13" s="771">
        <f t="shared" si="2"/>
        <v>100</v>
      </c>
      <c r="X13" s="772"/>
      <c r="Y13" s="3040"/>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01"/>
      <c r="Q14" s="2925">
        <f t="shared" si="6"/>
        <v>111</v>
      </c>
      <c r="R14" s="770" t="s">
        <v>21</v>
      </c>
      <c r="S14" s="771">
        <f t="shared" si="0"/>
        <v>100</v>
      </c>
      <c r="T14" s="770" t="s">
        <v>21</v>
      </c>
      <c r="U14" s="771">
        <f t="shared" si="1"/>
        <v>100</v>
      </c>
      <c r="V14" s="770" t="s">
        <v>21</v>
      </c>
      <c r="W14" s="771">
        <f t="shared" si="2"/>
        <v>100</v>
      </c>
      <c r="X14" s="772"/>
      <c r="Y14" s="3040"/>
      <c r="Z14" s="2926">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9" t="s">
        <v>2564</v>
      </c>
      <c r="Q15" s="2937" t="str">
        <f t="shared" si="6"/>
        <v>居住社区成熟度</v>
      </c>
      <c r="R15" s="774" t="s">
        <v>21</v>
      </c>
      <c r="S15" s="775">
        <f t="shared" si="0"/>
        <v>100</v>
      </c>
      <c r="T15" s="774" t="s">
        <v>21</v>
      </c>
      <c r="U15" s="775">
        <f t="shared" si="1"/>
        <v>100</v>
      </c>
      <c r="V15" s="774" t="s">
        <v>21</v>
      </c>
      <c r="W15" s="775">
        <f t="shared" si="2"/>
        <v>100</v>
      </c>
      <c r="X15" s="2939"/>
      <c r="Y15" s="3192" t="s">
        <v>2564</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8"/>
      <c r="M16" s="1129"/>
      <c r="N16" s="1129"/>
      <c r="O16" s="1129"/>
      <c r="P16" s="3200"/>
      <c r="Q16" s="2937"/>
      <c r="R16" s="774"/>
      <c r="S16" s="775"/>
      <c r="T16" s="774"/>
      <c r="U16" s="775"/>
      <c r="V16" s="774"/>
      <c r="W16" s="775"/>
      <c r="X16" s="2939"/>
      <c r="Y16" s="3193"/>
      <c r="Z16" s="2940"/>
      <c r="AA16" s="2938">
        <v>1</v>
      </c>
      <c r="AB16" s="2938">
        <v>1</v>
      </c>
      <c r="AC16" s="2938">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0"/>
      <c r="Q17" s="2937" t="str">
        <f>B17</f>
        <v>交通便捷度</v>
      </c>
      <c r="R17" s="774" t="s">
        <v>21</v>
      </c>
      <c r="S17" s="775">
        <f>F17</f>
        <v>100</v>
      </c>
      <c r="T17" s="774" t="s">
        <v>21</v>
      </c>
      <c r="U17" s="775">
        <f>H17</f>
        <v>100</v>
      </c>
      <c r="V17" s="774" t="s">
        <v>21</v>
      </c>
      <c r="W17" s="775">
        <f>J17</f>
        <v>100</v>
      </c>
      <c r="X17" s="2939"/>
      <c r="Y17" s="3193"/>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8"/>
      <c r="M18" s="1129"/>
      <c r="N18" s="1129"/>
      <c r="O18" s="1129"/>
      <c r="P18" s="3200"/>
      <c r="Q18" s="2937"/>
      <c r="R18" s="774"/>
      <c r="S18" s="775"/>
      <c r="T18" s="774"/>
      <c r="U18" s="775"/>
      <c r="V18" s="774"/>
      <c r="W18" s="775"/>
      <c r="X18" s="2939"/>
      <c r="Y18" s="3193"/>
      <c r="Z18" s="2940"/>
      <c r="AA18" s="2938">
        <v>1</v>
      </c>
      <c r="AB18" s="2938">
        <v>1</v>
      </c>
      <c r="AC18" s="2938">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0"/>
      <c r="Q19" s="2937" t="str">
        <f>B19</f>
        <v>公共配套设施</v>
      </c>
      <c r="R19" s="774" t="s">
        <v>21</v>
      </c>
      <c r="S19" s="775">
        <f>F19</f>
        <v>100</v>
      </c>
      <c r="T19" s="774" t="s">
        <v>21</v>
      </c>
      <c r="U19" s="775">
        <f>H19</f>
        <v>100</v>
      </c>
      <c r="V19" s="774" t="s">
        <v>21</v>
      </c>
      <c r="W19" s="775">
        <f>J19</f>
        <v>100</v>
      </c>
      <c r="X19" s="2939"/>
      <c r="Y19" s="3193"/>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8"/>
      <c r="M20" s="1129"/>
      <c r="N20" s="1129"/>
      <c r="O20" s="1129"/>
      <c r="P20" s="3200"/>
      <c r="Q20" s="2937"/>
      <c r="R20" s="774"/>
      <c r="S20" s="775"/>
      <c r="T20" s="774"/>
      <c r="U20" s="775"/>
      <c r="V20" s="774"/>
      <c r="W20" s="775"/>
      <c r="X20" s="2939"/>
      <c r="Y20" s="3193"/>
      <c r="Z20" s="2940"/>
      <c r="AA20" s="2938">
        <v>1</v>
      </c>
      <c r="AB20" s="2938">
        <v>1</v>
      </c>
      <c r="AC20" s="2938">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0"/>
      <c r="Q21" s="2937" t="str">
        <f>B21</f>
        <v>基础设施水平</v>
      </c>
      <c r="R21" s="774" t="s">
        <v>17</v>
      </c>
      <c r="S21" s="775">
        <f>F21</f>
        <v>100</v>
      </c>
      <c r="T21" s="774" t="s">
        <v>17</v>
      </c>
      <c r="U21" s="775">
        <f>H21</f>
        <v>100</v>
      </c>
      <c r="V21" s="774" t="s">
        <v>17</v>
      </c>
      <c r="W21" s="775">
        <f>J21</f>
        <v>100</v>
      </c>
      <c r="X21" s="2939"/>
      <c r="Y21" s="3193"/>
      <c r="Z21" s="2940" t="str">
        <f>Q21</f>
        <v>基础设施水平</v>
      </c>
      <c r="AA21" s="2938">
        <f t="shared" ref="AA21" si="8">D21/F21</f>
        <v>1</v>
      </c>
      <c r="AB21" s="2938">
        <f t="shared" ref="AB21" si="9">D21/H21</f>
        <v>1</v>
      </c>
      <c r="AC21" s="2938">
        <f t="shared" ref="AC21" si="10">D21/J21</f>
        <v>1</v>
      </c>
    </row>
    <row r="22" spans="1:29" ht="15">
      <c r="A22" s="428"/>
      <c r="B22" s="1382"/>
      <c r="C22" s="2607"/>
      <c r="D22" s="448"/>
      <c r="E22" s="447"/>
      <c r="F22" s="448"/>
      <c r="G22" s="2610"/>
      <c r="H22" s="448"/>
      <c r="I22" s="447"/>
      <c r="J22" s="448"/>
      <c r="K22" s="2611"/>
      <c r="L22" s="1138"/>
      <c r="M22" s="1129"/>
      <c r="N22" s="1129"/>
      <c r="O22" s="1129"/>
      <c r="P22" s="3200"/>
      <c r="Q22" s="2937"/>
      <c r="R22" s="774"/>
      <c r="S22" s="775"/>
      <c r="T22" s="774"/>
      <c r="U22" s="775"/>
      <c r="V22" s="774"/>
      <c r="W22" s="775"/>
      <c r="X22" s="2939"/>
      <c r="Y22" s="3193"/>
      <c r="Z22" s="2940"/>
      <c r="AA22" s="2938">
        <v>1</v>
      </c>
      <c r="AB22" s="2938">
        <v>1</v>
      </c>
      <c r="AC22" s="2938">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0"/>
      <c r="Q23" s="2937" t="str">
        <f>B23</f>
        <v>自然及人文环境</v>
      </c>
      <c r="R23" s="774" t="s">
        <v>21</v>
      </c>
      <c r="S23" s="775">
        <f>F23</f>
        <v>100</v>
      </c>
      <c r="T23" s="774" t="s">
        <v>21</v>
      </c>
      <c r="U23" s="775">
        <f>H23</f>
        <v>100</v>
      </c>
      <c r="V23" s="774" t="s">
        <v>21</v>
      </c>
      <c r="W23" s="775">
        <f>J23</f>
        <v>100</v>
      </c>
      <c r="X23" s="2939"/>
      <c r="Y23" s="3193"/>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8"/>
      <c r="M24" s="1129"/>
      <c r="N24" s="1129"/>
      <c r="O24" s="1129"/>
      <c r="P24" s="3200"/>
      <c r="Q24" s="2937"/>
      <c r="R24" s="774"/>
      <c r="S24" s="775"/>
      <c r="T24" s="774"/>
      <c r="U24" s="775"/>
      <c r="V24" s="774"/>
      <c r="W24" s="775"/>
      <c r="X24" s="2939"/>
      <c r="Y24" s="3193"/>
      <c r="Z24" s="2940"/>
      <c r="AA24" s="2938">
        <v>1</v>
      </c>
      <c r="AB24" s="2938">
        <v>1</v>
      </c>
      <c r="AC24" s="2938">
        <v>1</v>
      </c>
    </row>
    <row r="25" spans="1:29" ht="15">
      <c r="A25" s="428"/>
      <c r="B25" s="2931"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00"/>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193"/>
      <c r="Z25" s="2940" t="str">
        <f>Q25</f>
        <v>楼层-1</v>
      </c>
      <c r="AA25" s="2938">
        <f t="shared" ref="AA25:AA46" si="15">D25/F25</f>
        <v>1</v>
      </c>
      <c r="AB25" s="2938">
        <f t="shared" ref="AB25:AB46" si="16">D25/H25</f>
        <v>1</v>
      </c>
      <c r="AC25" s="2938">
        <f t="shared" ref="AC25:AC46" si="17">D25/J25</f>
        <v>1</v>
      </c>
    </row>
    <row r="26" spans="1:29" ht="15">
      <c r="A26" s="428"/>
      <c r="B26" s="2931"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00"/>
      <c r="Q26" s="2937" t="str">
        <f t="shared" si="11"/>
        <v>朝向</v>
      </c>
      <c r="R26" s="774" t="s">
        <v>21</v>
      </c>
      <c r="S26" s="775">
        <f t="shared" si="12"/>
        <v>100</v>
      </c>
      <c r="T26" s="774" t="s">
        <v>21</v>
      </c>
      <c r="U26" s="775">
        <f t="shared" si="13"/>
        <v>100</v>
      </c>
      <c r="V26" s="774" t="s">
        <v>21</v>
      </c>
      <c r="W26" s="775">
        <f t="shared" si="14"/>
        <v>100</v>
      </c>
      <c r="X26" s="2939"/>
      <c r="Y26" s="3193"/>
      <c r="Z26" s="2940" t="str">
        <f>Q26</f>
        <v>朝向</v>
      </c>
      <c r="AA26" s="2938">
        <f t="shared" si="15"/>
        <v>1</v>
      </c>
      <c r="AB26" s="2938">
        <f t="shared" si="16"/>
        <v>1</v>
      </c>
      <c r="AC26" s="293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00"/>
      <c r="Q27" s="2925">
        <f t="shared" si="11"/>
        <v>111</v>
      </c>
      <c r="R27" s="770" t="s">
        <v>21</v>
      </c>
      <c r="S27" s="771">
        <f t="shared" si="12"/>
        <v>100</v>
      </c>
      <c r="T27" s="770" t="s">
        <v>21</v>
      </c>
      <c r="U27" s="771">
        <f t="shared" si="13"/>
        <v>100</v>
      </c>
      <c r="V27" s="770" t="s">
        <v>21</v>
      </c>
      <c r="W27" s="771">
        <f t="shared" si="14"/>
        <v>100</v>
      </c>
      <c r="X27" s="772"/>
      <c r="Y27" s="3193"/>
      <c r="Z27" s="2926">
        <f>Q27</f>
        <v>111</v>
      </c>
      <c r="AA27" s="2938">
        <f t="shared" si="15"/>
        <v>1</v>
      </c>
      <c r="AB27" s="2938">
        <f t="shared" si="16"/>
        <v>1</v>
      </c>
      <c r="AC27" s="2938">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00"/>
      <c r="Q28" s="2937">
        <f t="shared" si="11"/>
        <v>111</v>
      </c>
      <c r="R28" s="774" t="s">
        <v>21</v>
      </c>
      <c r="S28" s="775">
        <f t="shared" si="12"/>
        <v>100</v>
      </c>
      <c r="T28" s="774" t="s">
        <v>21</v>
      </c>
      <c r="U28" s="775">
        <f t="shared" si="13"/>
        <v>100</v>
      </c>
      <c r="V28" s="774" t="s">
        <v>21</v>
      </c>
      <c r="W28" s="775">
        <f t="shared" si="14"/>
        <v>100</v>
      </c>
      <c r="X28" s="2939"/>
      <c r="Y28" s="3193"/>
      <c r="Z28" s="2940">
        <f t="shared" ref="Z28:Z46" si="18">Q28</f>
        <v>111</v>
      </c>
      <c r="AA28" s="2938">
        <f t="shared" si="15"/>
        <v>1</v>
      </c>
      <c r="AB28" s="2938">
        <f t="shared" si="16"/>
        <v>1</v>
      </c>
      <c r="AC28" s="2938">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00"/>
      <c r="Q29" s="2937">
        <f t="shared" si="11"/>
        <v>111</v>
      </c>
      <c r="R29" s="774" t="s">
        <v>21</v>
      </c>
      <c r="S29" s="775">
        <f t="shared" si="12"/>
        <v>100</v>
      </c>
      <c r="T29" s="774" t="s">
        <v>21</v>
      </c>
      <c r="U29" s="775">
        <f t="shared" si="13"/>
        <v>100</v>
      </c>
      <c r="V29" s="774" t="s">
        <v>21</v>
      </c>
      <c r="W29" s="775">
        <f t="shared" si="14"/>
        <v>100</v>
      </c>
      <c r="X29" s="2939"/>
      <c r="Y29" s="3193"/>
      <c r="Z29" s="2940">
        <f t="shared" si="18"/>
        <v>111</v>
      </c>
      <c r="AA29" s="2938">
        <f t="shared" si="15"/>
        <v>1</v>
      </c>
      <c r="AB29" s="2938">
        <f t="shared" si="16"/>
        <v>1</v>
      </c>
      <c r="AC29" s="2938">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00"/>
      <c r="Q30" s="2937">
        <f t="shared" si="11"/>
        <v>111</v>
      </c>
      <c r="R30" s="774" t="s">
        <v>21</v>
      </c>
      <c r="S30" s="775">
        <f t="shared" si="12"/>
        <v>100</v>
      </c>
      <c r="T30" s="774" t="s">
        <v>21</v>
      </c>
      <c r="U30" s="775">
        <f t="shared" si="13"/>
        <v>100</v>
      </c>
      <c r="V30" s="774" t="s">
        <v>21</v>
      </c>
      <c r="W30" s="775">
        <f t="shared" si="14"/>
        <v>100</v>
      </c>
      <c r="X30" s="2939"/>
      <c r="Y30" s="3193"/>
      <c r="Z30" s="2940">
        <f t="shared" si="18"/>
        <v>111</v>
      </c>
      <c r="AA30" s="2938">
        <f t="shared" si="15"/>
        <v>1</v>
      </c>
      <c r="AB30" s="2938">
        <f t="shared" si="16"/>
        <v>1</v>
      </c>
      <c r="AC30" s="2938">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00"/>
      <c r="Q31" s="2937">
        <f t="shared" si="11"/>
        <v>111</v>
      </c>
      <c r="R31" s="774" t="s">
        <v>21</v>
      </c>
      <c r="S31" s="775">
        <f t="shared" si="12"/>
        <v>100</v>
      </c>
      <c r="T31" s="774" t="s">
        <v>21</v>
      </c>
      <c r="U31" s="775">
        <f t="shared" si="13"/>
        <v>100</v>
      </c>
      <c r="V31" s="774" t="s">
        <v>21</v>
      </c>
      <c r="W31" s="775">
        <f t="shared" si="14"/>
        <v>100</v>
      </c>
      <c r="X31" s="2939"/>
      <c r="Y31" s="3193"/>
      <c r="Z31" s="2940">
        <f t="shared" si="18"/>
        <v>111</v>
      </c>
      <c r="AA31" s="2938">
        <f t="shared" si="15"/>
        <v>1</v>
      </c>
      <c r="AB31" s="2938">
        <f t="shared" si="16"/>
        <v>1</v>
      </c>
      <c r="AC31" s="2938">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194" t="s">
        <v>2569</v>
      </c>
      <c r="Q32" s="2937" t="str">
        <f t="shared" si="11"/>
        <v>建筑类型</v>
      </c>
      <c r="R32" s="774" t="s">
        <v>21</v>
      </c>
      <c r="S32" s="775">
        <f t="shared" si="12"/>
        <v>100</v>
      </c>
      <c r="T32" s="774" t="s">
        <v>21</v>
      </c>
      <c r="U32" s="775">
        <f t="shared" si="13"/>
        <v>100</v>
      </c>
      <c r="V32" s="774" t="s">
        <v>21</v>
      </c>
      <c r="W32" s="775">
        <f t="shared" si="14"/>
        <v>100</v>
      </c>
      <c r="X32" s="2939"/>
      <c r="Y32" s="3197" t="s">
        <v>2569</v>
      </c>
      <c r="Z32" s="2940" t="str">
        <f t="shared" si="18"/>
        <v>建筑类型</v>
      </c>
      <c r="AA32" s="2938">
        <f t="shared" si="15"/>
        <v>1</v>
      </c>
      <c r="AB32" s="2938">
        <f t="shared" si="16"/>
        <v>1</v>
      </c>
      <c r="AC32" s="2938">
        <f t="shared" si="17"/>
        <v>1</v>
      </c>
    </row>
    <row r="33" spans="1:29" s="471" customFormat="1" ht="15">
      <c r="A33" s="468"/>
      <c r="B33" s="2931"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2938" t="e">
        <f t="shared" si="15"/>
        <v>#N/A</v>
      </c>
      <c r="AB33" s="2938" t="e">
        <f t="shared" si="16"/>
        <v>#N/A</v>
      </c>
      <c r="AC33" s="2938" t="e">
        <f t="shared" si="17"/>
        <v>#N/A</v>
      </c>
    </row>
    <row r="34" spans="1:29" ht="15">
      <c r="A34" s="472"/>
      <c r="B34" s="2931"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195"/>
      <c r="Q34" s="2937" t="str">
        <f t="shared" si="11"/>
        <v>建筑结构</v>
      </c>
      <c r="R34" s="774" t="s">
        <v>21</v>
      </c>
      <c r="S34" s="775">
        <f t="shared" si="12"/>
        <v>100</v>
      </c>
      <c r="T34" s="774" t="s">
        <v>21</v>
      </c>
      <c r="U34" s="775">
        <f t="shared" si="13"/>
        <v>100</v>
      </c>
      <c r="V34" s="774" t="s">
        <v>21</v>
      </c>
      <c r="W34" s="775">
        <f t="shared" si="14"/>
        <v>100</v>
      </c>
      <c r="X34" s="2939"/>
      <c r="Y34" s="3197"/>
      <c r="Z34" s="2940" t="str">
        <f t="shared" si="18"/>
        <v>建筑结构</v>
      </c>
      <c r="AA34" s="2938">
        <f t="shared" si="15"/>
        <v>1</v>
      </c>
      <c r="AB34" s="2938">
        <f t="shared" si="16"/>
        <v>1</v>
      </c>
      <c r="AC34" s="2938">
        <f t="shared" si="17"/>
        <v>1</v>
      </c>
    </row>
    <row r="35" spans="1:29" ht="15">
      <c r="A35" s="472"/>
      <c r="B35" s="2931"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195"/>
      <c r="Q35" s="2937" t="str">
        <f t="shared" si="11"/>
        <v>建筑品质</v>
      </c>
      <c r="R35" s="774" t="s">
        <v>21</v>
      </c>
      <c r="S35" s="775">
        <f t="shared" si="12"/>
        <v>100</v>
      </c>
      <c r="T35" s="774" t="s">
        <v>21</v>
      </c>
      <c r="U35" s="775">
        <f t="shared" si="13"/>
        <v>100</v>
      </c>
      <c r="V35" s="774" t="s">
        <v>21</v>
      </c>
      <c r="W35" s="775">
        <f t="shared" si="14"/>
        <v>100</v>
      </c>
      <c r="X35" s="2939"/>
      <c r="Y35" s="3197"/>
      <c r="Z35" s="2940" t="str">
        <f t="shared" si="18"/>
        <v>建筑品质</v>
      </c>
      <c r="AA35" s="2938">
        <f t="shared" si="15"/>
        <v>1</v>
      </c>
      <c r="AB35" s="2938">
        <f t="shared" si="16"/>
        <v>1</v>
      </c>
      <c r="AC35" s="2938">
        <f t="shared" si="17"/>
        <v>1</v>
      </c>
    </row>
    <row r="36" spans="1:29" ht="15">
      <c r="A36" s="472"/>
      <c r="B36" s="2931"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195"/>
      <c r="Q36" s="2937" t="str">
        <f t="shared" si="11"/>
        <v>公共部分装修</v>
      </c>
      <c r="R36" s="774" t="s">
        <v>21</v>
      </c>
      <c r="S36" s="775">
        <f t="shared" si="12"/>
        <v>100</v>
      </c>
      <c r="T36" s="774" t="s">
        <v>21</v>
      </c>
      <c r="U36" s="775">
        <f t="shared" si="13"/>
        <v>100</v>
      </c>
      <c r="V36" s="774" t="s">
        <v>21</v>
      </c>
      <c r="W36" s="775">
        <f t="shared" si="14"/>
        <v>100</v>
      </c>
      <c r="X36" s="2939"/>
      <c r="Y36" s="3197"/>
      <c r="Z36" s="2940" t="str">
        <f t="shared" si="18"/>
        <v>公共部分装修</v>
      </c>
      <c r="AA36" s="2938">
        <f t="shared" si="15"/>
        <v>1</v>
      </c>
      <c r="AB36" s="2938">
        <f t="shared" si="16"/>
        <v>1</v>
      </c>
      <c r="AC36" s="2938">
        <f t="shared" si="17"/>
        <v>1</v>
      </c>
    </row>
    <row r="37" spans="1:29" s="117" customFormat="1" ht="15">
      <c r="A37" s="473"/>
      <c r="B37" s="2931"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5"/>
      <c r="Q37" s="2925" t="str">
        <f t="shared" si="11"/>
        <v>成新度</v>
      </c>
      <c r="R37" s="770" t="s">
        <v>21</v>
      </c>
      <c r="S37" s="771" t="e">
        <f t="shared" si="12"/>
        <v>#N/A</v>
      </c>
      <c r="T37" s="770" t="s">
        <v>21</v>
      </c>
      <c r="U37" s="771" t="e">
        <f t="shared" si="13"/>
        <v>#N/A</v>
      </c>
      <c r="V37" s="770" t="s">
        <v>21</v>
      </c>
      <c r="W37" s="771" t="e">
        <f t="shared" si="14"/>
        <v>#N/A</v>
      </c>
      <c r="X37" s="772"/>
      <c r="Y37" s="3197"/>
      <c r="Z37" s="2926" t="str">
        <f t="shared" si="18"/>
        <v>成新度</v>
      </c>
      <c r="AA37" s="773" t="e">
        <f t="shared" si="15"/>
        <v>#N/A</v>
      </c>
      <c r="AB37" s="773" t="e">
        <f t="shared" si="16"/>
        <v>#N/A</v>
      </c>
      <c r="AC37" s="773" t="e">
        <f t="shared" si="17"/>
        <v>#N/A</v>
      </c>
    </row>
    <row r="38" spans="1:29" ht="15">
      <c r="A38" s="472"/>
      <c r="B38" s="2931"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195" t="s">
        <v>2569</v>
      </c>
      <c r="Q38" s="2937" t="str">
        <f t="shared" si="11"/>
        <v>物业管理</v>
      </c>
      <c r="R38" s="774" t="s">
        <v>21</v>
      </c>
      <c r="S38" s="775">
        <f t="shared" si="12"/>
        <v>100</v>
      </c>
      <c r="T38" s="774" t="s">
        <v>21</v>
      </c>
      <c r="U38" s="775">
        <f t="shared" si="13"/>
        <v>100</v>
      </c>
      <c r="V38" s="774" t="s">
        <v>21</v>
      </c>
      <c r="W38" s="775">
        <f t="shared" si="14"/>
        <v>100</v>
      </c>
      <c r="X38" s="2939"/>
      <c r="Y38" s="3197" t="s">
        <v>2569</v>
      </c>
      <c r="Z38" s="2940" t="str">
        <f t="shared" si="18"/>
        <v>物业管理</v>
      </c>
      <c r="AA38" s="2938">
        <f t="shared" si="15"/>
        <v>1</v>
      </c>
      <c r="AB38" s="2938">
        <f t="shared" si="16"/>
        <v>1</v>
      </c>
      <c r="AC38" s="2938">
        <f t="shared" si="17"/>
        <v>1</v>
      </c>
    </row>
    <row r="39" spans="1:29" ht="15">
      <c r="A39" s="472"/>
      <c r="B39" s="2931"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195"/>
      <c r="Q39" s="2937" t="str">
        <f t="shared" si="11"/>
        <v>市政基础设施</v>
      </c>
      <c r="R39" s="774" t="s">
        <v>21</v>
      </c>
      <c r="S39" s="775">
        <f t="shared" si="12"/>
        <v>100</v>
      </c>
      <c r="T39" s="774" t="s">
        <v>21</v>
      </c>
      <c r="U39" s="775">
        <f t="shared" si="13"/>
        <v>100</v>
      </c>
      <c r="V39" s="774" t="s">
        <v>21</v>
      </c>
      <c r="W39" s="775">
        <f t="shared" si="14"/>
        <v>100</v>
      </c>
      <c r="X39" s="2939"/>
      <c r="Y39" s="3197"/>
      <c r="Z39" s="2940" t="str">
        <f t="shared" si="18"/>
        <v>市政基础设施</v>
      </c>
      <c r="AA39" s="2938">
        <f t="shared" si="15"/>
        <v>1</v>
      </c>
      <c r="AB39" s="2938">
        <f t="shared" si="16"/>
        <v>1</v>
      </c>
      <c r="AC39" s="2938">
        <f t="shared" si="17"/>
        <v>1</v>
      </c>
    </row>
    <row r="40" spans="1:29" ht="15">
      <c r="A40" s="472"/>
      <c r="B40" s="2931"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195"/>
      <c r="Q40" s="2937" t="str">
        <f t="shared" si="11"/>
        <v>房型</v>
      </c>
      <c r="R40" s="774" t="s">
        <v>21</v>
      </c>
      <c r="S40" s="775">
        <f t="shared" si="12"/>
        <v>100</v>
      </c>
      <c r="T40" s="774" t="s">
        <v>21</v>
      </c>
      <c r="U40" s="775">
        <f t="shared" si="13"/>
        <v>100</v>
      </c>
      <c r="V40" s="774" t="s">
        <v>21</v>
      </c>
      <c r="W40" s="775">
        <f t="shared" si="14"/>
        <v>100</v>
      </c>
      <c r="X40" s="2939"/>
      <c r="Y40" s="3197"/>
      <c r="Z40" s="2940" t="str">
        <f t="shared" si="18"/>
        <v>房型</v>
      </c>
      <c r="AA40" s="2938">
        <f t="shared" si="15"/>
        <v>1</v>
      </c>
      <c r="AB40" s="2938">
        <f t="shared" si="16"/>
        <v>1</v>
      </c>
      <c r="AC40" s="2938">
        <f t="shared" si="17"/>
        <v>1</v>
      </c>
    </row>
    <row r="41" spans="1:29" s="471" customFormat="1" ht="28.5">
      <c r="A41" s="468"/>
      <c r="B41" s="2931"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2938">
        <f t="shared" si="15"/>
        <v>1</v>
      </c>
      <c r="AB41" s="2938">
        <f t="shared" si="16"/>
        <v>1</v>
      </c>
      <c r="AC41" s="2938">
        <f t="shared" si="17"/>
        <v>1</v>
      </c>
    </row>
    <row r="42" spans="1:29" ht="15">
      <c r="A42" s="472"/>
      <c r="B42" s="2931"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195"/>
      <c r="Q42" s="2937" t="str">
        <f t="shared" si="11"/>
        <v>内部装修</v>
      </c>
      <c r="R42" s="774" t="s">
        <v>21</v>
      </c>
      <c r="S42" s="775">
        <f t="shared" si="12"/>
        <v>100</v>
      </c>
      <c r="T42" s="774" t="s">
        <v>21</v>
      </c>
      <c r="U42" s="775">
        <f t="shared" si="13"/>
        <v>100</v>
      </c>
      <c r="V42" s="774" t="s">
        <v>21</v>
      </c>
      <c r="W42" s="775">
        <f t="shared" si="14"/>
        <v>100</v>
      </c>
      <c r="X42" s="2939"/>
      <c r="Y42" s="3197"/>
      <c r="Z42" s="2940" t="str">
        <f t="shared" si="18"/>
        <v>内部装修</v>
      </c>
      <c r="AA42" s="2938">
        <f t="shared" si="15"/>
        <v>1</v>
      </c>
      <c r="AB42" s="2938">
        <f t="shared" si="16"/>
        <v>1</v>
      </c>
      <c r="AC42" s="2938">
        <f t="shared" si="17"/>
        <v>1</v>
      </c>
    </row>
    <row r="43" spans="1:29" ht="15">
      <c r="A43" s="472"/>
      <c r="B43" s="2931"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195"/>
      <c r="Q43" s="2937" t="str">
        <f t="shared" si="11"/>
        <v>内部装修维护情况</v>
      </c>
      <c r="R43" s="774" t="s">
        <v>21</v>
      </c>
      <c r="S43" s="775">
        <f t="shared" si="12"/>
        <v>100</v>
      </c>
      <c r="T43" s="774" t="s">
        <v>21</v>
      </c>
      <c r="U43" s="775">
        <f t="shared" si="13"/>
        <v>100</v>
      </c>
      <c r="V43" s="774" t="s">
        <v>21</v>
      </c>
      <c r="W43" s="775">
        <f t="shared" si="14"/>
        <v>100</v>
      </c>
      <c r="X43" s="2939"/>
      <c r="Y43" s="3197"/>
      <c r="Z43" s="2940" t="str">
        <f t="shared" si="18"/>
        <v>内部装修维护情况</v>
      </c>
      <c r="AA43" s="2938">
        <f t="shared" si="15"/>
        <v>1</v>
      </c>
      <c r="AB43" s="2938">
        <f t="shared" si="16"/>
        <v>1</v>
      </c>
      <c r="AC43" s="293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195"/>
      <c r="Q44" s="2925">
        <f t="shared" si="11"/>
        <v>111</v>
      </c>
      <c r="R44" s="770" t="s">
        <v>21</v>
      </c>
      <c r="S44" s="771">
        <f t="shared" si="12"/>
        <v>100</v>
      </c>
      <c r="T44" s="770" t="s">
        <v>21</v>
      </c>
      <c r="U44" s="771">
        <f t="shared" si="13"/>
        <v>100</v>
      </c>
      <c r="V44" s="770" t="s">
        <v>21</v>
      </c>
      <c r="W44" s="771">
        <f t="shared" si="14"/>
        <v>100</v>
      </c>
      <c r="X44" s="772"/>
      <c r="Y44" s="3197"/>
      <c r="Z44" s="2926">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195"/>
      <c r="Q45" s="2937">
        <f t="shared" si="11"/>
        <v>111</v>
      </c>
      <c r="R45" s="774" t="s">
        <v>21</v>
      </c>
      <c r="S45" s="775">
        <f t="shared" si="12"/>
        <v>100</v>
      </c>
      <c r="T45" s="774" t="s">
        <v>21</v>
      </c>
      <c r="U45" s="775">
        <f t="shared" si="13"/>
        <v>100</v>
      </c>
      <c r="V45" s="774" t="s">
        <v>21</v>
      </c>
      <c r="W45" s="775">
        <f t="shared" si="14"/>
        <v>100</v>
      </c>
      <c r="X45" s="2939"/>
      <c r="Y45" s="3197"/>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196"/>
      <c r="Q46" s="2937">
        <f t="shared" si="11"/>
        <v>111</v>
      </c>
      <c r="R46" s="774" t="s">
        <v>20</v>
      </c>
      <c r="S46" s="775">
        <f t="shared" si="12"/>
        <v>100</v>
      </c>
      <c r="T46" s="774" t="s">
        <v>20</v>
      </c>
      <c r="U46" s="775">
        <f t="shared" si="13"/>
        <v>100</v>
      </c>
      <c r="V46" s="774" t="s">
        <v>20</v>
      </c>
      <c r="W46" s="775">
        <f t="shared" si="14"/>
        <v>100</v>
      </c>
      <c r="X46" s="2939"/>
      <c r="Y46" s="3198"/>
      <c r="Z46" s="2940">
        <f t="shared" si="18"/>
        <v>111</v>
      </c>
      <c r="AA46" s="2938">
        <f t="shared" si="15"/>
        <v>1</v>
      </c>
      <c r="AB46" s="2938">
        <f t="shared" si="16"/>
        <v>1</v>
      </c>
      <c r="AC46" s="2938">
        <f t="shared" si="17"/>
        <v>1</v>
      </c>
    </row>
    <row r="47" spans="1:29" ht="15">
      <c r="A47" s="479" t="s">
        <v>2581</v>
      </c>
      <c r="B47" s="480"/>
      <c r="C47" s="1405" t="s">
        <v>19</v>
      </c>
      <c r="D47" s="1406"/>
      <c r="E47" s="1407"/>
      <c r="F47" s="1408"/>
      <c r="G47" s="1409"/>
      <c r="H47" s="1410"/>
      <c r="I47" s="1407"/>
      <c r="J47" s="1410"/>
      <c r="K47" s="2620"/>
      <c r="L47" s="1141"/>
      <c r="M47" s="1142"/>
      <c r="N47" s="1129"/>
      <c r="O47" s="1142"/>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00" priority="14" stopIfTrue="1" operator="containsText" text="超过">
      <formula>NOT(ISERROR(SEARCH("超过",F52)))</formula>
    </cfRule>
  </conditionalFormatting>
  <conditionalFormatting sqref="J54">
    <cfRule type="containsText" dxfId="99" priority="13" stopIfTrue="1" operator="containsText" text="超过">
      <formula>NOT(ISERROR(SEARCH("超过",J54)))</formula>
    </cfRule>
  </conditionalFormatting>
  <conditionalFormatting sqref="H54">
    <cfRule type="containsText" dxfId="98" priority="12" stopIfTrue="1" operator="containsText" text="超过">
      <formula>NOT(ISERROR(SEARCH("超过",H54)))</formula>
    </cfRule>
  </conditionalFormatting>
  <conditionalFormatting sqref="F54">
    <cfRule type="containsText" dxfId="97" priority="11" stopIfTrue="1" operator="containsText" text="超过">
      <formula>NOT(ISERROR(SEARCH("超过",F54)))</formula>
    </cfRule>
  </conditionalFormatting>
  <conditionalFormatting sqref="F53 H53 J53">
    <cfRule type="containsText" dxfId="96" priority="10" stopIfTrue="1" operator="containsText" text="超过">
      <formula>NOT(ISERROR(SEARCH("超过",F53)))</formula>
    </cfRule>
  </conditionalFormatting>
  <conditionalFormatting sqref="E52">
    <cfRule type="expression" dxfId="95" priority="9"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0</v>
      </c>
      <c r="D6" s="164" t="s">
        <v>3040</v>
      </c>
      <c r="E6" s="347" t="s">
        <v>1406</v>
      </c>
      <c r="F6" s="348">
        <f ca="1">INDIRECT("'数据-取费表'!u"&amp;$G$1)</f>
        <v>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36" t="s">
        <v>1407</v>
      </c>
      <c r="F7" s="348">
        <f ca="1">IF(INDIRECT("'数据-取费表'!ah"&amp;$G$1)="",INDIRECT("'数据-取费表'!k"&amp;$G$1),INDIRECT("'数据-取费表'!ah"&amp;$G$1))</f>
        <v>0</v>
      </c>
      <c r="G7" s="1850"/>
      <c r="H7" s="349"/>
      <c r="I7" s="3234"/>
      <c r="J7" s="351"/>
      <c r="K7" s="352"/>
      <c r="L7" s="347" t="s">
        <v>1407</v>
      </c>
      <c r="M7" s="348">
        <f ca="1">F7</f>
        <v>0</v>
      </c>
    </row>
    <row r="8" spans="1:37" ht="18" customHeight="1">
      <c r="A8" s="349"/>
      <c r="B8" s="3234"/>
      <c r="C8" s="351"/>
      <c r="D8" s="352"/>
      <c r="E8" s="347" t="s">
        <v>1408</v>
      </c>
      <c r="F8" s="348">
        <f ca="1">INDIRECT("'数据-取费表'!ai"&amp;$G$1)</f>
        <v>0</v>
      </c>
      <c r="G8" s="1850"/>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1"/>
      <c r="F1" s="2583"/>
      <c r="G1" s="1622" t="s">
        <v>2647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2331</v>
      </c>
      <c r="B2" s="1416" t="e">
        <f ca="1">IF(C2="——",IF(B37="元/平方米",ROUND(C39*D3/10000,0),ROUND(F3*C39/10000,0)),IF(B37="元/平方米",ROUND(C39*D3/10000,0),ROUND(F3*C39/10000,0))-D2)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26" t="s">
        <v>2553</v>
      </c>
      <c r="Q7" s="3228"/>
      <c r="R7" s="770" t="s">
        <v>17</v>
      </c>
      <c r="S7" s="771">
        <f t="shared" ref="S7:S14" si="0">F7</f>
        <v>0</v>
      </c>
      <c r="T7" s="770" t="s">
        <v>17</v>
      </c>
      <c r="U7" s="771">
        <f t="shared" ref="U7:U14" si="1">H7</f>
        <v>0</v>
      </c>
      <c r="V7" s="770" t="s">
        <v>17</v>
      </c>
      <c r="W7" s="771">
        <f t="shared" ref="W7:W14" si="2">J7</f>
        <v>0</v>
      </c>
      <c r="X7" s="772"/>
      <c r="Y7" s="3226" t="s">
        <v>2553</v>
      </c>
      <c r="Z7" s="3227"/>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90" t="s">
        <v>2559</v>
      </c>
      <c r="Q9" s="1794" t="str">
        <f t="shared" ref="Q9:Q14" si="6">B9</f>
        <v>用途</v>
      </c>
      <c r="R9" s="770" t="s">
        <v>17</v>
      </c>
      <c r="S9" s="771">
        <f t="shared" si="0"/>
        <v>100</v>
      </c>
      <c r="T9" s="770" t="s">
        <v>17</v>
      </c>
      <c r="U9" s="771">
        <f t="shared" si="1"/>
        <v>100</v>
      </c>
      <c r="V9" s="770" t="s">
        <v>17</v>
      </c>
      <c r="W9" s="771">
        <f t="shared" si="2"/>
        <v>100</v>
      </c>
      <c r="X9" s="772"/>
      <c r="Y9" s="3040"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90"/>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90"/>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01" t="s">
        <v>2563</v>
      </c>
      <c r="B14" s="629" t="s">
        <v>2713</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92" t="s">
        <v>2564</v>
      </c>
      <c r="Q14" s="1809" t="str">
        <f t="shared" si="6"/>
        <v>交通便捷度</v>
      </c>
      <c r="R14" s="774" t="s">
        <v>17</v>
      </c>
      <c r="S14" s="775">
        <f t="shared" si="0"/>
        <v>100</v>
      </c>
      <c r="T14" s="774" t="s">
        <v>17</v>
      </c>
      <c r="U14" s="775">
        <f t="shared" si="1"/>
        <v>100</v>
      </c>
      <c r="V14" s="774" t="s">
        <v>17</v>
      </c>
      <c r="W14" s="775">
        <f t="shared" si="2"/>
        <v>100</v>
      </c>
      <c r="X14" s="1812"/>
      <c r="Y14" s="3192" t="s">
        <v>2564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8"/>
      <c r="M15" s="1129"/>
      <c r="N15" s="1129"/>
      <c r="O15" s="1129"/>
      <c r="P15" s="3193"/>
      <c r="Q15" s="1809"/>
      <c r="R15" s="774"/>
      <c r="S15" s="775"/>
      <c r="T15" s="774"/>
      <c r="U15" s="775"/>
      <c r="V15" s="774"/>
      <c r="W15" s="775"/>
      <c r="X15" s="1812"/>
      <c r="Y15" s="3193"/>
      <c r="Z15" s="1813"/>
      <c r="AA15" s="1810">
        <v>1</v>
      </c>
      <c r="AB15" s="1810">
        <v>1</v>
      </c>
      <c r="AC15" s="1810">
        <v>1</v>
      </c>
    </row>
    <row r="16" spans="1:29" ht="15">
      <c r="A16" s="404"/>
      <c r="B16" s="631" t="s">
        <v>2692</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8"/>
      <c r="M17" s="1129"/>
      <c r="N17" s="1129"/>
      <c r="O17" s="1129"/>
      <c r="P17" s="3193"/>
      <c r="Q17" s="1809"/>
      <c r="R17" s="774"/>
      <c r="S17" s="775"/>
      <c r="T17" s="774"/>
      <c r="U17" s="775"/>
      <c r="V17" s="774"/>
      <c r="W17" s="775"/>
      <c r="X17" s="1812"/>
      <c r="Y17" s="3193"/>
      <c r="Z17" s="1813"/>
      <c r="AA17" s="1810">
        <v>1</v>
      </c>
      <c r="AB17" s="1810">
        <v>1</v>
      </c>
      <c r="AC17" s="1810">
        <v>1</v>
      </c>
    </row>
    <row r="18" spans="1:29" ht="15">
      <c r="A18" s="404"/>
      <c r="B18" s="633" t="s">
        <v>2693</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1"/>
      <c r="L19" s="1138"/>
      <c r="M19" s="1129"/>
      <c r="N19" s="1129"/>
      <c r="O19" s="1129"/>
      <c r="P19" s="3193"/>
      <c r="Q19" s="1809"/>
      <c r="R19" s="774"/>
      <c r="S19" s="775"/>
      <c r="T19" s="774"/>
      <c r="U19" s="775"/>
      <c r="V19" s="774"/>
      <c r="W19" s="775"/>
      <c r="X19" s="1812"/>
      <c r="Y19" s="3193"/>
      <c r="Z19" s="1813"/>
      <c r="AA19" s="1810">
        <v>1</v>
      </c>
      <c r="AB19" s="1810">
        <v>1</v>
      </c>
      <c r="AC19" s="1810">
        <v>1</v>
      </c>
    </row>
    <row r="20" spans="1:29" ht="15">
      <c r="A20" s="404"/>
      <c r="B20" s="631" t="s">
        <v>2714</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8"/>
      <c r="M21" s="1129"/>
      <c r="N21" s="1129"/>
      <c r="O21" s="1129"/>
      <c r="P21" s="3193"/>
      <c r="Q21" s="1809"/>
      <c r="R21" s="774"/>
      <c r="S21" s="775"/>
      <c r="T21" s="774"/>
      <c r="U21" s="775"/>
      <c r="V21" s="774"/>
      <c r="W21" s="775"/>
      <c r="X21" s="1812"/>
      <c r="Y21" s="3193"/>
      <c r="Z21" s="1813"/>
      <c r="AA21" s="1810">
        <v>1</v>
      </c>
      <c r="AB21" s="1810">
        <v>1</v>
      </c>
      <c r="AC21" s="1810">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3"/>
      <c r="Q24" s="1809">
        <f t="shared" ref="Q24:Q36"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652" t="s">
        <v>2567</v>
      </c>
      <c r="B26" s="70" t="s">
        <v>2716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78" t="s">
        <v>2569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7" t="s">
        <v>2569</v>
      </c>
      <c r="Z26" s="1813" t="str">
        <f t="shared" ref="Z26:Z36" si="15">Q26</f>
        <v>配套类型</v>
      </c>
      <c r="AA26" s="1810">
        <f t="shared" si="3"/>
        <v>1</v>
      </c>
      <c r="AB26" s="1810">
        <f t="shared" si="4"/>
        <v>1</v>
      </c>
      <c r="AC26" s="1810">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0">
        <f t="shared" si="3"/>
        <v>1</v>
      </c>
      <c r="AB27" s="1810">
        <f t="shared" si="4"/>
        <v>1</v>
      </c>
      <c r="AC27" s="1810">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7"/>
      <c r="Q28" s="1809" t="str">
        <f t="shared" si="11"/>
        <v>公共部分装修</v>
      </c>
      <c r="R28" s="774" t="s">
        <v>17</v>
      </c>
      <c r="S28" s="775">
        <f t="shared" si="12"/>
        <v>100</v>
      </c>
      <c r="T28" s="774" t="s">
        <v>17</v>
      </c>
      <c r="U28" s="775">
        <f t="shared" si="13"/>
        <v>100</v>
      </c>
      <c r="V28" s="774" t="s">
        <v>17</v>
      </c>
      <c r="W28" s="775">
        <f t="shared" si="14"/>
        <v>100</v>
      </c>
      <c r="X28" s="1812"/>
      <c r="Y28" s="3197"/>
      <c r="Z28" s="1813" t="str">
        <f t="shared" si="15"/>
        <v>公共部分装修</v>
      </c>
      <c r="AA28" s="1810">
        <f t="shared" si="3"/>
        <v>1</v>
      </c>
      <c r="AB28" s="1810">
        <f t="shared" si="4"/>
        <v>1</v>
      </c>
      <c r="AC28" s="1810">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7"/>
      <c r="Q29" s="1809" t="str">
        <f t="shared" si="11"/>
        <v>成新率</v>
      </c>
      <c r="R29" s="774" t="s">
        <v>17</v>
      </c>
      <c r="S29" s="775" t="e">
        <f t="shared" si="12"/>
        <v>#N/A</v>
      </c>
      <c r="T29" s="774" t="s">
        <v>17</v>
      </c>
      <c r="U29" s="775" t="e">
        <f t="shared" si="13"/>
        <v>#N/A</v>
      </c>
      <c r="V29" s="774" t="s">
        <v>17</v>
      </c>
      <c r="W29" s="775" t="e">
        <f t="shared" si="14"/>
        <v>#N/A</v>
      </c>
      <c r="X29" s="1812"/>
      <c r="Y29" s="3197"/>
      <c r="Z29" s="1813" t="str">
        <f t="shared" si="15"/>
        <v>成新率</v>
      </c>
      <c r="AA29" s="1810" t="e">
        <f t="shared" si="3"/>
        <v>#N/A</v>
      </c>
      <c r="AB29" s="1810" t="e">
        <f t="shared" si="4"/>
        <v>#N/A</v>
      </c>
      <c r="AC29" s="1810"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7"/>
      <c r="Q30" s="1809" t="str">
        <f t="shared" si="11"/>
        <v>物业等级</v>
      </c>
      <c r="R30" s="774" t="s">
        <v>17</v>
      </c>
      <c r="S30" s="775">
        <f t="shared" si="12"/>
        <v>100</v>
      </c>
      <c r="T30" s="774" t="s">
        <v>17</v>
      </c>
      <c r="U30" s="775">
        <f t="shared" si="13"/>
        <v>100</v>
      </c>
      <c r="V30" s="774" t="s">
        <v>17</v>
      </c>
      <c r="W30" s="775">
        <f t="shared" si="14"/>
        <v>100</v>
      </c>
      <c r="X30" s="1812"/>
      <c r="Y30" s="3197"/>
      <c r="Z30" s="1813" t="str">
        <f t="shared" si="15"/>
        <v>物业等级</v>
      </c>
      <c r="AA30" s="1810">
        <f t="shared" si="3"/>
        <v>1</v>
      </c>
      <c r="AB30" s="1810">
        <f t="shared" si="4"/>
        <v>1</v>
      </c>
      <c r="AC30" s="1810">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7"/>
      <c r="Q31" s="1794"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7" t="s">
        <v>2569</v>
      </c>
      <c r="Q32" s="1809" t="str">
        <f t="shared" si="11"/>
        <v>车位类型</v>
      </c>
      <c r="R32" s="774" t="s">
        <v>17</v>
      </c>
      <c r="S32" s="775">
        <f t="shared" si="12"/>
        <v>100</v>
      </c>
      <c r="T32" s="774" t="s">
        <v>17</v>
      </c>
      <c r="U32" s="775">
        <f t="shared" si="13"/>
        <v>100</v>
      </c>
      <c r="V32" s="774" t="s">
        <v>17</v>
      </c>
      <c r="W32" s="775">
        <f t="shared" si="14"/>
        <v>100</v>
      </c>
      <c r="X32" s="1812"/>
      <c r="Y32" s="3197" t="s">
        <v>2569</v>
      </c>
      <c r="Z32" s="1813" t="str">
        <f t="shared" si="15"/>
        <v>车位类型</v>
      </c>
      <c r="AA32" s="1810">
        <f t="shared" si="3"/>
        <v>1</v>
      </c>
      <c r="AB32" s="1810">
        <f t="shared" si="4"/>
        <v>1</v>
      </c>
      <c r="AC32" s="1810">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7"/>
      <c r="Q33" s="1809" t="str">
        <f t="shared" si="11"/>
        <v>是否直接入户</v>
      </c>
      <c r="R33" s="774" t="s">
        <v>17</v>
      </c>
      <c r="S33" s="775">
        <f t="shared" si="12"/>
        <v>100</v>
      </c>
      <c r="T33" s="774" t="s">
        <v>17</v>
      </c>
      <c r="U33" s="775">
        <f t="shared" si="13"/>
        <v>100</v>
      </c>
      <c r="V33" s="774" t="s">
        <v>17</v>
      </c>
      <c r="W33" s="775">
        <f t="shared" si="14"/>
        <v>100</v>
      </c>
      <c r="X33" s="1812"/>
      <c r="Y33" s="319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7"/>
      <c r="Q34" s="1809">
        <f t="shared" si="11"/>
        <v>111</v>
      </c>
      <c r="R34" s="774" t="s">
        <v>17</v>
      </c>
      <c r="S34" s="775">
        <f t="shared" si="12"/>
        <v>100</v>
      </c>
      <c r="T34" s="774" t="s">
        <v>17</v>
      </c>
      <c r="U34" s="775">
        <f t="shared" si="13"/>
        <v>100</v>
      </c>
      <c r="V34" s="774" t="s">
        <v>17</v>
      </c>
      <c r="W34" s="775">
        <f t="shared" si="14"/>
        <v>100</v>
      </c>
      <c r="X34" s="1812"/>
      <c r="Y34" s="319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7"/>
      <c r="Q36" s="1809">
        <f t="shared" si="11"/>
        <v>111</v>
      </c>
      <c r="R36" s="774" t="s">
        <v>17</v>
      </c>
      <c r="S36" s="775">
        <f t="shared" si="12"/>
        <v>100</v>
      </c>
      <c r="T36" s="774" t="s">
        <v>17</v>
      </c>
      <c r="U36" s="775">
        <f t="shared" si="13"/>
        <v>100</v>
      </c>
      <c r="V36" s="774" t="s">
        <v>17</v>
      </c>
      <c r="W36" s="775">
        <f t="shared" si="14"/>
        <v>100</v>
      </c>
      <c r="X36" s="1812"/>
      <c r="Y36" s="3197"/>
      <c r="Z36" s="1813">
        <f t="shared" si="15"/>
        <v>111</v>
      </c>
      <c r="AA36" s="1810">
        <f t="shared" si="3"/>
        <v>1</v>
      </c>
      <c r="AB36" s="1810">
        <f t="shared" si="4"/>
        <v>1</v>
      </c>
      <c r="AC36" s="1810">
        <f t="shared" si="5"/>
        <v>1</v>
      </c>
    </row>
    <row r="37" spans="1:29" ht="15">
      <c r="A37" s="479" t="s">
        <v>2724</v>
      </c>
      <c r="B37" s="2694" t="s">
        <v>2725</v>
      </c>
      <c r="C37" s="1405" t="s">
        <v>1</v>
      </c>
      <c r="D37" s="1406"/>
      <c r="E37" s="1407">
        <v>7000</v>
      </c>
      <c r="F37" s="1408"/>
      <c r="G37" s="1409">
        <v>7000</v>
      </c>
      <c r="H37" s="1410"/>
      <c r="I37" s="1407">
        <v>7000</v>
      </c>
      <c r="J37" s="1410"/>
      <c r="K37" s="619"/>
      <c r="L37" s="1141"/>
      <c r="M37" s="1142"/>
      <c r="N37" s="1129"/>
      <c r="O37" s="1142"/>
      <c r="P37" s="3190" t="str">
        <f>A37</f>
        <v>成交单价</v>
      </c>
      <c r="Q37" s="3190"/>
      <c r="R37" s="3191">
        <f>E37</f>
        <v>7000</v>
      </c>
      <c r="S37" s="3191"/>
      <c r="T37" s="3191">
        <f>G37</f>
        <v>7000</v>
      </c>
      <c r="U37" s="3191"/>
      <c r="V37" s="3191">
        <f>I37</f>
        <v>7000</v>
      </c>
      <c r="W37" s="3191"/>
      <c r="X37" s="759"/>
      <c r="Y37" s="781"/>
      <c r="Z37" s="759"/>
      <c r="AA37" s="759"/>
      <c r="AB37" s="759"/>
      <c r="AC37" s="759"/>
    </row>
    <row r="38" spans="1:29" ht="15.75" thickBot="1">
      <c r="A38" s="486" t="s">
        <v>2726</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2727</v>
      </c>
      <c r="B39" s="493"/>
      <c r="C39" s="1415" t="e">
        <f>R39</f>
        <v>#DIV/0!</v>
      </c>
      <c r="D39" s="1415"/>
      <c r="E39" s="1415"/>
      <c r="F39" s="1415"/>
      <c r="G39" s="1415"/>
      <c r="H39" s="1415"/>
      <c r="I39" s="1415"/>
      <c r="J39" s="1415"/>
      <c r="K39" s="621"/>
      <c r="L39" s="1141"/>
      <c r="M39" s="1142"/>
      <c r="N39" s="1142"/>
      <c r="O39" s="1142"/>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2730</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2732</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2554</v>
      </c>
      <c r="B51" s="510"/>
      <c r="C51" s="522" t="s">
        <v>2656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2592</v>
      </c>
      <c r="B53" s="528" t="s">
        <v>2558</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2607</v>
      </c>
      <c r="C65" s="578" t="s">
        <v>2601</v>
      </c>
      <c r="D65" s="578" t="s">
        <v>2602</v>
      </c>
      <c r="E65" s="578" t="s">
        <v>2603</v>
      </c>
      <c r="F65" s="578" t="s">
        <v>2604</v>
      </c>
      <c r="G65" s="578" t="s">
        <v>2605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2693</v>
      </c>
      <c r="C67" s="660" t="s">
        <v>2679</v>
      </c>
      <c r="D67" s="660" t="s">
        <v>2680</v>
      </c>
      <c r="E67" s="660" t="s">
        <v>2681</v>
      </c>
      <c r="F67" s="660" t="s">
        <v>2682</v>
      </c>
      <c r="G67" s="660" t="s">
        <v>2683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2613</v>
      </c>
      <c r="C69" s="578" t="s">
        <v>2601</v>
      </c>
      <c r="D69" s="578" t="s">
        <v>2602</v>
      </c>
      <c r="E69" s="578" t="s">
        <v>2603</v>
      </c>
      <c r="F69" s="578" t="s">
        <v>2604</v>
      </c>
      <c r="G69" s="578" t="s">
        <v>2605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2733</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2567</v>
      </c>
      <c r="B79" s="528" t="s">
        <v>2734</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2735</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2620</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2737</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2739</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2740</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0</v>
      </c>
      <c r="D6" s="164" t="s">
        <v>3040</v>
      </c>
      <c r="E6" s="347" t="s">
        <v>1406</v>
      </c>
      <c r="F6" s="348">
        <f ca="1">INDIRECT("'数据-取费表'!u"&amp;$G$1)</f>
        <v>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36" t="s">
        <v>1407</v>
      </c>
      <c r="F7" s="348">
        <f ca="1">IF(INDIRECT("'数据-取费表'!ah"&amp;$G$1)="",INDIRECT("'数据-取费表'!k"&amp;$G$1),INDIRECT("'数据-取费表'!ah"&amp;$G$1))</f>
        <v>0</v>
      </c>
      <c r="G7" s="1850"/>
      <c r="H7" s="349"/>
      <c r="I7" s="3234"/>
      <c r="J7" s="351"/>
      <c r="K7" s="352"/>
      <c r="L7" s="347" t="s">
        <v>1407</v>
      </c>
      <c r="M7" s="348">
        <f ca="1">F7</f>
        <v>0</v>
      </c>
    </row>
    <row r="8" spans="1:37" ht="18" customHeight="1">
      <c r="A8" s="349"/>
      <c r="B8" s="3234"/>
      <c r="C8" s="351"/>
      <c r="D8" s="352"/>
      <c r="E8" s="347" t="s">
        <v>1408</v>
      </c>
      <c r="F8" s="348">
        <f ca="1">INDIRECT("'数据-取费表'!ai"&amp;$G$1)</f>
        <v>0</v>
      </c>
      <c r="G8" s="1850"/>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IF(C2="——",ROUND(C37*D3/10000,0),ROUND(C37*D3/10000,0)-D2)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43444</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26" t="s">
        <v>2553</v>
      </c>
      <c r="Q7" s="3228"/>
      <c r="R7" s="770" t="s">
        <v>17</v>
      </c>
      <c r="S7" s="771">
        <f t="shared" ref="S7:S14" si="0">F7</f>
        <v>0</v>
      </c>
      <c r="T7" s="770" t="s">
        <v>17</v>
      </c>
      <c r="U7" s="771">
        <f t="shared" ref="U7:U14" si="1">H7</f>
        <v>0</v>
      </c>
      <c r="V7" s="770" t="s">
        <v>17</v>
      </c>
      <c r="W7" s="771">
        <f t="shared" ref="W7:W14" si="2">J7</f>
        <v>0</v>
      </c>
      <c r="X7" s="772"/>
      <c r="Y7" s="3226" t="s">
        <v>2553</v>
      </c>
      <c r="Z7" s="3227"/>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90" t="s">
        <v>2559</v>
      </c>
      <c r="Q9" s="1794" t="str">
        <f t="shared" ref="Q9:Q14" si="6">B9</f>
        <v>用途</v>
      </c>
      <c r="R9" s="770" t="s">
        <v>17</v>
      </c>
      <c r="S9" s="771">
        <f t="shared" si="0"/>
        <v>100</v>
      </c>
      <c r="T9" s="770" t="s">
        <v>17</v>
      </c>
      <c r="U9" s="771">
        <f t="shared" si="1"/>
        <v>100</v>
      </c>
      <c r="V9" s="770" t="s">
        <v>17</v>
      </c>
      <c r="W9" s="771">
        <f t="shared" si="2"/>
        <v>100</v>
      </c>
      <c r="X9" s="772"/>
      <c r="Y9" s="3040"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90"/>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90"/>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40" t="s">
        <v>2563</v>
      </c>
      <c r="B14" s="69" t="s">
        <v>2713</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92" t="s">
        <v>2564</v>
      </c>
      <c r="Q14" s="1809" t="str">
        <f t="shared" si="6"/>
        <v>交通便捷度</v>
      </c>
      <c r="R14" s="774" t="s">
        <v>17</v>
      </c>
      <c r="S14" s="775">
        <f t="shared" si="0"/>
        <v>100</v>
      </c>
      <c r="T14" s="774" t="s">
        <v>17</v>
      </c>
      <c r="U14" s="775">
        <f t="shared" si="1"/>
        <v>100</v>
      </c>
      <c r="V14" s="774" t="s">
        <v>17</v>
      </c>
      <c r="W14" s="775">
        <f t="shared" si="2"/>
        <v>100</v>
      </c>
      <c r="X14" s="1812"/>
      <c r="Y14" s="3192" t="s">
        <v>2564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8"/>
      <c r="M15" s="1129"/>
      <c r="N15" s="1129"/>
      <c r="O15" s="1137"/>
      <c r="P15" s="3193"/>
      <c r="Q15" s="1809"/>
      <c r="R15" s="774"/>
      <c r="S15" s="775"/>
      <c r="T15" s="774"/>
      <c r="U15" s="775"/>
      <c r="V15" s="774"/>
      <c r="W15" s="775"/>
      <c r="X15" s="1812"/>
      <c r="Y15" s="3193"/>
      <c r="Z15" s="1813"/>
      <c r="AA15" s="1810">
        <v>1</v>
      </c>
      <c r="AB15" s="1810">
        <v>1</v>
      </c>
      <c r="AC15" s="1810">
        <v>1</v>
      </c>
    </row>
    <row r="16" spans="1:29" ht="15">
      <c r="A16" s="428"/>
      <c r="B16" s="451" t="s">
        <v>2692</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8"/>
      <c r="M17" s="1129"/>
      <c r="N17" s="1129"/>
      <c r="O17" s="1137"/>
      <c r="P17" s="3193"/>
      <c r="Q17" s="1809"/>
      <c r="R17" s="774"/>
      <c r="S17" s="775"/>
      <c r="T17" s="774"/>
      <c r="U17" s="775"/>
      <c r="V17" s="774"/>
      <c r="W17" s="775"/>
      <c r="X17" s="1812"/>
      <c r="Y17" s="3193"/>
      <c r="Z17" s="1813"/>
      <c r="AA17" s="1810">
        <v>1</v>
      </c>
      <c r="AB17" s="1810">
        <v>1</v>
      </c>
      <c r="AC17" s="1810">
        <v>1</v>
      </c>
    </row>
    <row r="18" spans="1:29" ht="15">
      <c r="A18" s="428"/>
      <c r="B18" s="1382" t="s">
        <v>2693</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28"/>
      <c r="B19" s="1382"/>
      <c r="C19" s="2607"/>
      <c r="D19" s="450"/>
      <c r="E19" s="2607"/>
      <c r="F19" s="453"/>
      <c r="G19" s="2607"/>
      <c r="H19" s="448"/>
      <c r="I19" s="447"/>
      <c r="J19" s="448"/>
      <c r="K19" s="1381"/>
      <c r="L19" s="1138"/>
      <c r="M19" s="1129"/>
      <c r="N19" s="1129"/>
      <c r="O19" s="1137"/>
      <c r="P19" s="3193"/>
      <c r="Q19" s="1809"/>
      <c r="R19" s="774"/>
      <c r="S19" s="775"/>
      <c r="T19" s="774"/>
      <c r="U19" s="775"/>
      <c r="V19" s="774"/>
      <c r="W19" s="775"/>
      <c r="X19" s="1812"/>
      <c r="Y19" s="3193"/>
      <c r="Z19" s="1813"/>
      <c r="AA19" s="1810">
        <v>1</v>
      </c>
      <c r="AB19" s="1810">
        <v>1</v>
      </c>
      <c r="AC19" s="1810">
        <v>1</v>
      </c>
    </row>
    <row r="20" spans="1:29" ht="15">
      <c r="A20" s="428"/>
      <c r="B20" s="451" t="s">
        <v>2714</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8"/>
      <c r="M21" s="1129"/>
      <c r="N21" s="1129"/>
      <c r="O21" s="1137"/>
      <c r="P21" s="3193"/>
      <c r="Q21" s="1809"/>
      <c r="R21" s="774"/>
      <c r="S21" s="775"/>
      <c r="T21" s="774"/>
      <c r="U21" s="775"/>
      <c r="V21" s="774"/>
      <c r="W21" s="775"/>
      <c r="X21" s="1812"/>
      <c r="Y21" s="3193"/>
      <c r="Z21" s="1813"/>
      <c r="AA21" s="1810">
        <v>1</v>
      </c>
      <c r="AB21" s="1810">
        <v>1</v>
      </c>
      <c r="AC21" s="1810">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3"/>
      <c r="Q24" s="1809">
        <f t="shared" ref="Q24:Q34"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466" t="s">
        <v>2567</v>
      </c>
      <c r="B26" s="71" t="s">
        <v>2718</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78" t="s">
        <v>2569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7" t="s">
        <v>2569</v>
      </c>
      <c r="Z26" s="1813" t="str">
        <f t="shared" ref="Z26:Z34" si="15">Q26</f>
        <v>公共部分装修</v>
      </c>
      <c r="AA26" s="1810">
        <f t="shared" si="3"/>
        <v>1</v>
      </c>
      <c r="AB26" s="1810">
        <f t="shared" si="4"/>
        <v>1</v>
      </c>
      <c r="AC26" s="1810">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0" t="e">
        <f t="shared" si="3"/>
        <v>#N/A</v>
      </c>
      <c r="AB27" s="1810" t="e">
        <f t="shared" si="4"/>
        <v>#N/A</v>
      </c>
      <c r="AC27" s="1810"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7"/>
      <c r="Q28" s="1809" t="str">
        <f t="shared" si="11"/>
        <v>物业等级</v>
      </c>
      <c r="R28" s="774" t="s">
        <v>17</v>
      </c>
      <c r="S28" s="775">
        <f t="shared" si="12"/>
        <v>100</v>
      </c>
      <c r="T28" s="774" t="s">
        <v>17</v>
      </c>
      <c r="U28" s="775">
        <f t="shared" si="13"/>
        <v>100</v>
      </c>
      <c r="V28" s="774" t="s">
        <v>17</v>
      </c>
      <c r="W28" s="775">
        <f t="shared" si="14"/>
        <v>100</v>
      </c>
      <c r="X28" s="1812"/>
      <c r="Y28" s="3197"/>
      <c r="Z28" s="1813" t="str">
        <f t="shared" si="15"/>
        <v>物业等级</v>
      </c>
      <c r="AA28" s="1810">
        <f t="shared" si="3"/>
        <v>1</v>
      </c>
      <c r="AB28" s="1810">
        <f t="shared" si="4"/>
        <v>1</v>
      </c>
      <c r="AC28" s="1810">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7"/>
      <c r="Q29" s="1809" t="str">
        <f t="shared" si="11"/>
        <v>有无电梯</v>
      </c>
      <c r="R29" s="774" t="s">
        <v>17</v>
      </c>
      <c r="S29" s="775">
        <f t="shared" si="12"/>
        <v>100</v>
      </c>
      <c r="T29" s="774" t="s">
        <v>17</v>
      </c>
      <c r="U29" s="775">
        <f t="shared" si="13"/>
        <v>100</v>
      </c>
      <c r="V29" s="774" t="s">
        <v>17</v>
      </c>
      <c r="W29" s="775">
        <f t="shared" si="14"/>
        <v>100</v>
      </c>
      <c r="X29" s="1812"/>
      <c r="Y29" s="3197"/>
      <c r="Z29" s="1813" t="str">
        <f t="shared" si="15"/>
        <v>有无电梯</v>
      </c>
      <c r="AA29" s="1810">
        <f t="shared" si="3"/>
        <v>1</v>
      </c>
      <c r="AB29" s="1810">
        <f t="shared" si="4"/>
        <v>1</v>
      </c>
      <c r="AC29" s="1810">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7"/>
      <c r="Q30" s="1809" t="str">
        <f t="shared" si="11"/>
        <v>建筑面积</v>
      </c>
      <c r="R30" s="774" t="s">
        <v>17</v>
      </c>
      <c r="S30" s="775" t="e">
        <f t="shared" si="12"/>
        <v>#N/A</v>
      </c>
      <c r="T30" s="774" t="s">
        <v>17</v>
      </c>
      <c r="U30" s="775" t="e">
        <f t="shared" si="13"/>
        <v>#N/A</v>
      </c>
      <c r="V30" s="774" t="s">
        <v>17</v>
      </c>
      <c r="W30" s="775" t="e">
        <f t="shared" si="14"/>
        <v>#N/A</v>
      </c>
      <c r="X30" s="1812"/>
      <c r="Y30" s="3197"/>
      <c r="Z30" s="1813" t="str">
        <f t="shared" si="15"/>
        <v>建筑面积</v>
      </c>
      <c r="AA30" s="1810" t="e">
        <f t="shared" si="3"/>
        <v>#N/A</v>
      </c>
      <c r="AB30" s="1810" t="e">
        <f t="shared" si="4"/>
        <v>#N/A</v>
      </c>
      <c r="AC30" s="1810"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7"/>
      <c r="Q31" s="1794"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7" t="s">
        <v>2569</v>
      </c>
      <c r="Q32" s="1809">
        <f t="shared" si="11"/>
        <v>111</v>
      </c>
      <c r="R32" s="774" t="s">
        <v>17</v>
      </c>
      <c r="S32" s="775">
        <f t="shared" si="12"/>
        <v>100</v>
      </c>
      <c r="T32" s="774" t="s">
        <v>17</v>
      </c>
      <c r="U32" s="775">
        <f t="shared" si="13"/>
        <v>100</v>
      </c>
      <c r="V32" s="774" t="s">
        <v>17</v>
      </c>
      <c r="W32" s="775">
        <f t="shared" si="14"/>
        <v>100</v>
      </c>
      <c r="X32" s="1812"/>
      <c r="Y32" s="3197" t="s">
        <v>2569</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7"/>
      <c r="Q33" s="1809">
        <f t="shared" si="11"/>
        <v>111</v>
      </c>
      <c r="R33" s="774" t="s">
        <v>17</v>
      </c>
      <c r="S33" s="775">
        <f t="shared" si="12"/>
        <v>100</v>
      </c>
      <c r="T33" s="774" t="s">
        <v>17</v>
      </c>
      <c r="U33" s="775">
        <f t="shared" si="13"/>
        <v>100</v>
      </c>
      <c r="V33" s="774" t="s">
        <v>17</v>
      </c>
      <c r="W33" s="775">
        <f t="shared" si="14"/>
        <v>100</v>
      </c>
      <c r="X33" s="1812"/>
      <c r="Y33" s="3197"/>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197"/>
      <c r="Q34" s="1809">
        <f t="shared" si="11"/>
        <v>111</v>
      </c>
      <c r="R34" s="774" t="s">
        <v>17</v>
      </c>
      <c r="S34" s="775">
        <f t="shared" si="12"/>
        <v>100</v>
      </c>
      <c r="T34" s="774" t="s">
        <v>17</v>
      </c>
      <c r="U34" s="775">
        <f t="shared" si="13"/>
        <v>100</v>
      </c>
      <c r="V34" s="774" t="s">
        <v>17</v>
      </c>
      <c r="W34" s="775">
        <f t="shared" si="14"/>
        <v>100</v>
      </c>
      <c r="X34" s="1812"/>
      <c r="Y34" s="3197"/>
      <c r="Z34" s="1813">
        <f t="shared" si="15"/>
        <v>111</v>
      </c>
      <c r="AA34" s="1810">
        <f t="shared" si="3"/>
        <v>1</v>
      </c>
      <c r="AB34" s="1810">
        <f t="shared" si="4"/>
        <v>1</v>
      </c>
      <c r="AC34" s="1810">
        <f t="shared" si="5"/>
        <v>1</v>
      </c>
    </row>
    <row r="35" spans="1:29" ht="15">
      <c r="A35" s="479" t="s">
        <v>2581</v>
      </c>
      <c r="B35" s="480"/>
      <c r="C35" s="1405" t="s">
        <v>1</v>
      </c>
      <c r="D35" s="1406"/>
      <c r="E35" s="1407"/>
      <c r="F35" s="1408"/>
      <c r="G35" s="1409"/>
      <c r="H35" s="1410"/>
      <c r="I35" s="1407"/>
      <c r="J35" s="1410"/>
      <c r="K35" s="783"/>
      <c r="L35" s="1141"/>
      <c r="M35" s="1142"/>
      <c r="N35" s="1129"/>
      <c r="O35" s="1142"/>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2673</v>
      </c>
      <c r="B36" s="487"/>
      <c r="C36" s="1411" t="e">
        <f>R37</f>
        <v>#DIV/0!</v>
      </c>
      <c r="D36" s="1412"/>
      <c r="E36" s="1413" t="e">
        <f>R36</f>
        <v>#DIV/0!</v>
      </c>
      <c r="F36" s="1413"/>
      <c r="G36" s="1411" t="e">
        <f>T36</f>
        <v>#DIV/0!</v>
      </c>
      <c r="H36" s="1412"/>
      <c r="I36" s="1413" t="e">
        <f>V36</f>
        <v>#DIV/0!</v>
      </c>
      <c r="J36" s="1412"/>
      <c r="K36" s="784"/>
      <c r="L36" s="1141"/>
      <c r="M36" s="1142"/>
      <c r="N36" s="1129"/>
      <c r="O36" s="1142"/>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2674</v>
      </c>
      <c r="B37" s="493"/>
      <c r="C37" s="1415" t="e">
        <f>R37</f>
        <v>#DIV/0!</v>
      </c>
      <c r="D37" s="1415"/>
      <c r="E37" s="1415"/>
      <c r="F37" s="1415"/>
      <c r="G37" s="1415"/>
      <c r="H37" s="1415"/>
      <c r="I37" s="1415"/>
      <c r="J37" s="1415"/>
      <c r="K37" s="785"/>
      <c r="L37" s="1141"/>
      <c r="M37" s="1142"/>
      <c r="N37" s="1142"/>
      <c r="O37" s="1142"/>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2592</v>
      </c>
      <c r="B51" s="528" t="s">
        <v>2558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2567</v>
      </c>
      <c r="B77" s="528" t="s">
        <v>2620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0"/>
      <c r="B4" s="3000" t="s">
        <v>1632</v>
      </c>
      <c r="C4" s="3000"/>
      <c r="D4" s="3000"/>
      <c r="E4" s="1960"/>
    </row>
    <row r="5" spans="1:5" ht="16.5" thickTop="1">
      <c r="A5" s="1958"/>
      <c r="B5" s="2998" t="s">
        <v>1624</v>
      </c>
      <c r="C5" s="1961" t="s">
        <v>1625</v>
      </c>
      <c r="D5" s="1038">
        <f ca="1">结果表!H101</f>
        <v>42677</v>
      </c>
      <c r="E5" s="1958"/>
    </row>
    <row r="6" spans="1:5" ht="15.75">
      <c r="A6" s="1958"/>
      <c r="B6" s="2998"/>
      <c r="C6" s="1961" t="s">
        <v>1626</v>
      </c>
      <c r="D6" s="1038" t="str">
        <f ca="1">NUMBERSTRING(INT(D5*10000),2)&amp;"元整"</f>
        <v>肆亿贰仟陆佰柒拾柒万元整</v>
      </c>
      <c r="E6" s="1958"/>
    </row>
    <row r="7" spans="1:5" ht="15.75">
      <c r="A7" s="1958"/>
      <c r="B7" s="3003"/>
      <c r="C7" s="1962" t="s">
        <v>1627</v>
      </c>
      <c r="D7" s="1039">
        <f ca="1">结果表!H102</f>
        <v>8463</v>
      </c>
      <c r="E7" s="1958"/>
    </row>
    <row r="8" spans="1:5" ht="15.75">
      <c r="A8" s="1958"/>
      <c r="B8" s="3004" t="str">
        <f>结果表!E103</f>
        <v>2.估价师知悉的法定优先受偿款</v>
      </c>
      <c r="C8" s="1963" t="s">
        <v>1628</v>
      </c>
      <c r="D8" s="1039">
        <f>结果表!H103</f>
        <v>0</v>
      </c>
      <c r="E8" s="1958"/>
    </row>
    <row r="9" spans="1:5" ht="15.75">
      <c r="A9" s="1958"/>
      <c r="B9" s="3006"/>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97" t="str">
        <f>结果表!E107</f>
        <v>3.房地产抵押价值</v>
      </c>
      <c r="C13" s="1966" t="s">
        <v>1625</v>
      </c>
      <c r="D13" s="1041">
        <f ca="1">结果表!H107</f>
        <v>42677</v>
      </c>
      <c r="E13" s="1958"/>
    </row>
    <row r="14" spans="1:5" ht="15.75">
      <c r="A14" s="1958"/>
      <c r="B14" s="2998"/>
      <c r="C14" s="1961" t="s">
        <v>1626</v>
      </c>
      <c r="D14" s="1038" t="str">
        <f ca="1">NUMBERSTRING(INT(D13*10000),2)&amp;"元整"</f>
        <v>肆亿贰仟陆佰柒拾柒万元整</v>
      </c>
      <c r="E14" s="1958"/>
    </row>
    <row r="15" spans="1:5" ht="15">
      <c r="A15" s="1958"/>
      <c r="B15" s="3003"/>
      <c r="C15" s="1962" t="s">
        <v>1636</v>
      </c>
      <c r="D15" s="1050">
        <f ca="1">结果表!H108</f>
        <v>8463</v>
      </c>
      <c r="E15" s="1958"/>
    </row>
    <row r="16" spans="1:5" ht="15">
      <c r="A16" s="1958"/>
      <c r="B16" s="3004" t="str">
        <f>结果表!E109</f>
        <v>——</v>
      </c>
      <c r="C16" s="1966" t="s">
        <v>1637</v>
      </c>
      <c r="D16" s="1967" t="str">
        <f>结果表!H109</f>
        <v>——</v>
      </c>
      <c r="E16" s="1958"/>
    </row>
    <row r="17" spans="1:5" ht="15.75">
      <c r="A17" s="1958"/>
      <c r="B17" s="3005"/>
      <c r="C17" s="1961" t="s">
        <v>1638</v>
      </c>
      <c r="D17" s="1038" t="e">
        <f>NUMBERSTRING(INT(D16*10000),2)&amp;"元整"</f>
        <v>#VALUE!</v>
      </c>
      <c r="E17" s="1958"/>
    </row>
    <row r="18" spans="1:5" ht="15">
      <c r="A18" s="1958"/>
      <c r="B18" s="3006"/>
      <c r="C18" s="1962" t="s">
        <v>1627</v>
      </c>
      <c r="D18" s="1050" t="str">
        <f>结果表!H110</f>
        <v>——</v>
      </c>
      <c r="E18" s="1958"/>
    </row>
    <row r="19" spans="1:5" ht="15.75">
      <c r="A19" s="1958"/>
      <c r="B19" s="2997" t="str">
        <f>结果表!E111</f>
        <v>——</v>
      </c>
      <c r="C19" s="1966" t="s">
        <v>1625</v>
      </c>
      <c r="D19" s="1039" t="str">
        <f>结果表!H111</f>
        <v>——</v>
      </c>
      <c r="E19" s="1958"/>
    </row>
    <row r="20" spans="1:5" ht="15.75">
      <c r="A20" s="1958"/>
      <c r="B20" s="2998"/>
      <c r="C20" s="1961" t="s">
        <v>1638</v>
      </c>
      <c r="D20" s="1038" t="e">
        <f>NUMBERSTRING(INT(D19*10000),2)&amp;"元整"</f>
        <v>#VALUE!</v>
      </c>
      <c r="E20" s="1958"/>
    </row>
    <row r="21" spans="1:5" ht="15.75" thickBot="1">
      <c r="A21" s="1958"/>
      <c r="B21" s="2999"/>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30"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30"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30" s="117" customFormat="1" ht="15.75" thickBot="1">
      <c r="A7" s="408" t="s">
        <v>2552</v>
      </c>
      <c r="B7" s="409"/>
      <c r="C7" s="410">
        <f>'数据-取费表'!B2</f>
        <v>43444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45" si="3">D8/F8</f>
        <v>#DIV/0!</v>
      </c>
      <c r="AB8" s="773" t="e">
        <f t="shared" ref="AB8:AB45" si="4">D8/H8</f>
        <v>#DIV/0!</v>
      </c>
      <c r="AC8" s="773" t="e">
        <f t="shared" ref="AC8:AC45" si="5">D8/J8</f>
        <v>#DIV/0!</v>
      </c>
    </row>
    <row r="9" spans="1:30" s="117" customFormat="1">
      <c r="A9" s="415" t="s">
        <v>2557</v>
      </c>
      <c r="B9" s="71" t="s">
        <v>2558</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190"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t="e">
        <f>ROUND(100/'数据-取费表'!G16,0)</f>
        <v>#DIV/0!</v>
      </c>
      <c r="G10" s="463"/>
      <c r="H10" s="136" t="e">
        <f>ROUND(100/'数据-取费表'!G16,0)</f>
        <v>#DIV/0!</v>
      </c>
      <c r="I10" s="463"/>
      <c r="J10" s="136" t="e">
        <f>ROUND(100/'数据-取费表'!G16,0)</f>
        <v>#DIV/0!</v>
      </c>
      <c r="K10" s="672"/>
      <c r="L10" s="1133"/>
      <c r="M10" s="1134"/>
      <c r="N10" s="1134"/>
      <c r="O10" s="1135"/>
      <c r="P10" s="3190"/>
      <c r="Q10" s="1794" t="str">
        <f t="shared" si="6"/>
        <v>土地使用年限（年）</v>
      </c>
      <c r="R10" s="770" t="s">
        <v>17</v>
      </c>
      <c r="S10" s="771" t="e">
        <f t="shared" si="0"/>
        <v>#DIV/0!</v>
      </c>
      <c r="T10" s="770" t="s">
        <v>17</v>
      </c>
      <c r="U10" s="771" t="e">
        <f t="shared" si="1"/>
        <v>#DIV/0!</v>
      </c>
      <c r="V10" s="770" t="s">
        <v>17</v>
      </c>
      <c r="W10" s="771" t="e">
        <f t="shared" si="2"/>
        <v>#DIV/0!</v>
      </c>
      <c r="X10" s="772"/>
      <c r="Y10" s="3040"/>
      <c r="Z10" s="55" t="str">
        <f t="shared" si="7"/>
        <v>土地使用年限（年）</v>
      </c>
      <c r="AA10" s="773" t="e">
        <f t="shared" si="3"/>
        <v>#DIV/0!</v>
      </c>
      <c r="AB10" s="773" t="e">
        <f t="shared" si="4"/>
        <v>#DIV/0!</v>
      </c>
      <c r="AC10" s="773" t="e">
        <f t="shared" si="5"/>
        <v>#DIV/0!</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90"/>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599" t="s">
        <v>2751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90"/>
      <c r="Q12" s="1794"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90"/>
      <c r="Q14" s="1794">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15">
      <c r="A15" s="440" t="s">
        <v>2563</v>
      </c>
      <c r="B15" s="69" t="s">
        <v>2091</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92" t="s">
        <v>2564</v>
      </c>
      <c r="Q15" s="1809" t="str">
        <f t="shared" si="6"/>
        <v>居住社区成熟度</v>
      </c>
      <c r="R15" s="774" t="s">
        <v>17</v>
      </c>
      <c r="S15" s="775">
        <f t="shared" si="0"/>
        <v>100</v>
      </c>
      <c r="T15" s="774" t="s">
        <v>17</v>
      </c>
      <c r="U15" s="775">
        <f t="shared" si="1"/>
        <v>100</v>
      </c>
      <c r="V15" s="774" t="s">
        <v>17</v>
      </c>
      <c r="W15" s="775">
        <f t="shared" si="2"/>
        <v>100</v>
      </c>
      <c r="X15" s="1812"/>
      <c r="Y15" s="3192" t="s">
        <v>2564</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8"/>
      <c r="M16" s="1129"/>
      <c r="N16" s="1129"/>
      <c r="O16" s="1137"/>
      <c r="P16" s="3193"/>
      <c r="Q16" s="1809"/>
      <c r="R16" s="774"/>
      <c r="S16" s="775"/>
      <c r="T16" s="774"/>
      <c r="U16" s="775"/>
      <c r="V16" s="774"/>
      <c r="W16" s="775"/>
      <c r="X16" s="1812"/>
      <c r="Y16" s="3193"/>
      <c r="Z16" s="1813"/>
      <c r="AA16" s="1810">
        <v>1</v>
      </c>
      <c r="AB16" s="1810">
        <v>1</v>
      </c>
      <c r="AC16" s="1810">
        <v>1</v>
      </c>
    </row>
    <row r="17" spans="1:29" ht="15">
      <c r="A17" s="428"/>
      <c r="B17" s="451" t="s">
        <v>2657</v>
      </c>
      <c r="C17" s="2663"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93"/>
      <c r="Q17" s="1809" t="str">
        <f>B17</f>
        <v>商业繁华度</v>
      </c>
      <c r="R17" s="774" t="s">
        <v>17</v>
      </c>
      <c r="S17" s="775">
        <f>F17</f>
        <v>100</v>
      </c>
      <c r="T17" s="774" t="s">
        <v>17</v>
      </c>
      <c r="U17" s="775">
        <f>H17</f>
        <v>100</v>
      </c>
      <c r="V17" s="774" t="s">
        <v>17</v>
      </c>
      <c r="W17" s="775">
        <f>J17</f>
        <v>100</v>
      </c>
      <c r="X17" s="1812"/>
      <c r="Y17" s="3193"/>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8"/>
      <c r="M18" s="1129"/>
      <c r="N18" s="1129"/>
      <c r="O18" s="1137"/>
      <c r="P18" s="3193"/>
      <c r="Q18" s="1809"/>
      <c r="R18" s="774"/>
      <c r="S18" s="775"/>
      <c r="T18" s="774"/>
      <c r="U18" s="775"/>
      <c r="V18" s="774"/>
      <c r="W18" s="775"/>
      <c r="X18" s="1812"/>
      <c r="Y18" s="3193"/>
      <c r="Z18" s="1813"/>
      <c r="AA18" s="1810">
        <v>1</v>
      </c>
      <c r="AB18" s="1810">
        <v>1</v>
      </c>
      <c r="AC18" s="1810">
        <v>1</v>
      </c>
    </row>
    <row r="19" spans="1:29" ht="15">
      <c r="A19" s="428"/>
      <c r="B19" s="451" t="s">
        <v>2691</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93"/>
      <c r="Q19" s="1809" t="str">
        <f>B19</f>
        <v>办公集聚程度</v>
      </c>
      <c r="R19" s="774" t="s">
        <v>17</v>
      </c>
      <c r="S19" s="775">
        <f>F19</f>
        <v>100</v>
      </c>
      <c r="T19" s="774" t="s">
        <v>17</v>
      </c>
      <c r="U19" s="775">
        <f>H19</f>
        <v>100</v>
      </c>
      <c r="V19" s="774" t="s">
        <v>17</v>
      </c>
      <c r="W19" s="775">
        <f>J19</f>
        <v>100</v>
      </c>
      <c r="X19" s="1812"/>
      <c r="Y19" s="3193"/>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8"/>
      <c r="M20" s="1129"/>
      <c r="N20" s="1129"/>
      <c r="O20" s="1137"/>
      <c r="P20" s="3193"/>
      <c r="Q20" s="1809"/>
      <c r="R20" s="774"/>
      <c r="S20" s="775"/>
      <c r="T20" s="774"/>
      <c r="U20" s="775"/>
      <c r="V20" s="774"/>
      <c r="W20" s="775"/>
      <c r="X20" s="1812"/>
      <c r="Y20" s="3193"/>
      <c r="Z20" s="1813"/>
      <c r="AA20" s="1810">
        <v>1</v>
      </c>
      <c r="AB20" s="1810">
        <v>1</v>
      </c>
      <c r="AC20" s="1810">
        <v>1</v>
      </c>
    </row>
    <row r="21" spans="1:29" ht="15">
      <c r="A21" s="428"/>
      <c r="B21" s="451" t="s">
        <v>2713</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93"/>
      <c r="Q21" s="1809" t="str">
        <f>B21</f>
        <v>交通便捷度</v>
      </c>
      <c r="R21" s="774" t="s">
        <v>17</v>
      </c>
      <c r="S21" s="775">
        <f>F21</f>
        <v>100</v>
      </c>
      <c r="T21" s="774" t="s">
        <v>17</v>
      </c>
      <c r="U21" s="775">
        <f>H21</f>
        <v>100</v>
      </c>
      <c r="V21" s="774" t="s">
        <v>17</v>
      </c>
      <c r="W21" s="775">
        <f>J21</f>
        <v>100</v>
      </c>
      <c r="X21" s="1812"/>
      <c r="Y21" s="3193"/>
      <c r="Z21" s="1813" t="str">
        <f>Q21</f>
        <v>交通便捷度</v>
      </c>
      <c r="AA21" s="1810">
        <f t="shared" si="3"/>
        <v>1</v>
      </c>
      <c r="AB21" s="1810">
        <f t="shared" si="4"/>
        <v>1</v>
      </c>
      <c r="AC21" s="1810">
        <f t="shared" si="5"/>
        <v>1</v>
      </c>
    </row>
    <row r="22" spans="1:29" ht="15">
      <c r="A22" s="428"/>
      <c r="B22" s="1382"/>
      <c r="C22" s="447"/>
      <c r="D22" s="450"/>
      <c r="E22" s="2604"/>
      <c r="F22" s="448"/>
      <c r="G22" s="2604"/>
      <c r="H22" s="448"/>
      <c r="I22" s="2603"/>
      <c r="J22" s="448"/>
      <c r="K22" s="672"/>
      <c r="L22" s="1138"/>
      <c r="M22" s="1129"/>
      <c r="N22" s="1129"/>
      <c r="O22" s="1137"/>
      <c r="P22" s="3193"/>
      <c r="Q22" s="1809"/>
      <c r="R22" s="774"/>
      <c r="S22" s="775"/>
      <c r="T22" s="774"/>
      <c r="U22" s="775"/>
      <c r="V22" s="774"/>
      <c r="W22" s="775"/>
      <c r="X22" s="1812"/>
      <c r="Y22" s="3193"/>
      <c r="Z22" s="1813"/>
      <c r="AA22" s="1810">
        <v>1</v>
      </c>
      <c r="AB22" s="1810">
        <v>1</v>
      </c>
      <c r="AC22" s="1810">
        <v>1</v>
      </c>
    </row>
    <row r="23" spans="1:29" ht="15">
      <c r="A23" s="404"/>
      <c r="B23" s="451" t="s">
        <v>2752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93"/>
      <c r="Q23" s="1809" t="str">
        <f t="shared" ref="Q23:Q37" si="8">B23</f>
        <v>区域土地利用方向</v>
      </c>
      <c r="R23" s="774" t="s">
        <v>17</v>
      </c>
      <c r="S23" s="775">
        <f>F23</f>
        <v>100</v>
      </c>
      <c r="T23" s="774" t="s">
        <v>17</v>
      </c>
      <c r="U23" s="775">
        <f>H23</f>
        <v>100</v>
      </c>
      <c r="V23" s="774" t="s">
        <v>17</v>
      </c>
      <c r="W23" s="775">
        <f>J23</f>
        <v>100</v>
      </c>
      <c r="X23" s="1812"/>
      <c r="Y23" s="3193"/>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7"/>
      <c r="L24" s="1138"/>
      <c r="M24" s="1129"/>
      <c r="N24" s="1129"/>
      <c r="O24" s="1137"/>
      <c r="P24" s="3193"/>
      <c r="Q24" s="1809"/>
      <c r="R24" s="774"/>
      <c r="S24" s="775"/>
      <c r="T24" s="774"/>
      <c r="U24" s="775"/>
      <c r="V24" s="774"/>
      <c r="W24" s="775"/>
      <c r="X24" s="1812"/>
      <c r="Y24" s="3193"/>
      <c r="Z24" s="1813"/>
      <c r="AA24" s="1810"/>
      <c r="AB24" s="1810"/>
      <c r="AC24" s="1810"/>
    </row>
    <row r="25" spans="1:29" ht="27">
      <c r="A25" s="404"/>
      <c r="B25" s="1382" t="s">
        <v>2753</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93"/>
      <c r="Q25" s="1809" t="str">
        <f t="shared" si="8"/>
        <v>自然及人文环境状况</v>
      </c>
      <c r="R25" s="774" t="s">
        <v>17</v>
      </c>
      <c r="S25" s="775">
        <f>F25</f>
        <v>100</v>
      </c>
      <c r="T25" s="774" t="s">
        <v>17</v>
      </c>
      <c r="U25" s="775">
        <f>H25</f>
        <v>100</v>
      </c>
      <c r="V25" s="774" t="s">
        <v>17</v>
      </c>
      <c r="W25" s="775">
        <f>J25</f>
        <v>100</v>
      </c>
      <c r="X25" s="1812"/>
      <c r="Y25" s="3193"/>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8"/>
      <c r="M26" s="1129"/>
      <c r="N26" s="1129"/>
      <c r="O26" s="1137"/>
      <c r="P26" s="3193"/>
      <c r="Q26" s="1809"/>
      <c r="R26" s="774"/>
      <c r="S26" s="775"/>
      <c r="T26" s="774"/>
      <c r="U26" s="775"/>
      <c r="V26" s="774"/>
      <c r="W26" s="775"/>
      <c r="X26" s="1812"/>
      <c r="Y26" s="3193"/>
      <c r="Z26" s="1813"/>
      <c r="AA26" s="1810">
        <v>1</v>
      </c>
      <c r="AB26" s="1810">
        <v>1</v>
      </c>
      <c r="AC26" s="1810">
        <v>1</v>
      </c>
    </row>
    <row r="27" spans="1:29" s="117" customFormat="1" ht="15">
      <c r="A27" s="649"/>
      <c r="B27" s="1382" t="s">
        <v>2658</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93"/>
      <c r="Q27" s="1794" t="str">
        <f t="shared" si="8"/>
        <v>公共配套设施</v>
      </c>
      <c r="R27" s="770" t="s">
        <v>17</v>
      </c>
      <c r="S27" s="771">
        <f>F27</f>
        <v>100</v>
      </c>
      <c r="T27" s="770" t="s">
        <v>17</v>
      </c>
      <c r="U27" s="771">
        <f>H27</f>
        <v>100</v>
      </c>
      <c r="V27" s="770" t="s">
        <v>17</v>
      </c>
      <c r="W27" s="771">
        <f>J27</f>
        <v>100</v>
      </c>
      <c r="X27" s="772"/>
      <c r="Y27" s="3193"/>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0"/>
      <c r="M28" s="1131"/>
      <c r="N28" s="1131"/>
      <c r="O28" s="1132"/>
      <c r="P28" s="3193"/>
      <c r="Q28" s="1794"/>
      <c r="R28" s="770"/>
      <c r="S28" s="771"/>
      <c r="T28" s="770"/>
      <c r="U28" s="771"/>
      <c r="V28" s="770"/>
      <c r="W28" s="771"/>
      <c r="X28" s="772"/>
      <c r="Y28" s="3193"/>
      <c r="Z28" s="55"/>
      <c r="AA28" s="1810">
        <v>1</v>
      </c>
      <c r="AB28" s="1810">
        <v>1</v>
      </c>
      <c r="AC28" s="1810">
        <v>1</v>
      </c>
    </row>
    <row r="29" spans="1:29" s="117" customFormat="1" ht="15">
      <c r="A29" s="649"/>
      <c r="B29" s="1382" t="s">
        <v>2659</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93"/>
      <c r="Q29" s="1794"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0"/>
      <c r="M30" s="1131"/>
      <c r="N30" s="1131"/>
      <c r="O30" s="1132"/>
      <c r="P30" s="3193"/>
      <c r="Q30" s="1794"/>
      <c r="R30" s="770"/>
      <c r="S30" s="771"/>
      <c r="T30" s="770"/>
      <c r="U30" s="771"/>
      <c r="V30" s="770"/>
      <c r="W30" s="771"/>
      <c r="X30" s="772"/>
      <c r="Y30" s="3193"/>
      <c r="Z30" s="55"/>
      <c r="AA30" s="1810">
        <v>1</v>
      </c>
      <c r="AB30" s="1810">
        <v>1</v>
      </c>
      <c r="AC30" s="1810">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9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3"/>
      <c r="Z31" s="1813" t="str">
        <f t="shared" ref="Z31:Z45" si="13">Q31</f>
        <v>临街状况</v>
      </c>
      <c r="AA31" s="1810">
        <f t="shared" si="3"/>
        <v>1</v>
      </c>
      <c r="AB31" s="1810">
        <f t="shared" si="4"/>
        <v>1</v>
      </c>
      <c r="AC31" s="1810">
        <f t="shared" si="5"/>
        <v>1</v>
      </c>
    </row>
    <row r="32" spans="1:29" ht="27">
      <c r="A32" s="428"/>
      <c r="B32" s="1382"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93"/>
      <c r="Q32" s="1809" t="str">
        <f t="shared" si="8"/>
        <v>毗邻道路的类型与等级</v>
      </c>
      <c r="R32" s="774" t="s">
        <v>17</v>
      </c>
      <c r="S32" s="775">
        <f t="shared" si="10"/>
        <v>100</v>
      </c>
      <c r="T32" s="774" t="s">
        <v>17</v>
      </c>
      <c r="U32" s="775">
        <f t="shared" si="11"/>
        <v>100</v>
      </c>
      <c r="V32" s="774" t="s">
        <v>17</v>
      </c>
      <c r="W32" s="775">
        <f t="shared" si="12"/>
        <v>100</v>
      </c>
      <c r="X32" s="1812"/>
      <c r="Y32" s="319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8"/>
      <c r="M33" s="1129"/>
      <c r="N33" s="1129"/>
      <c r="O33" s="1137"/>
      <c r="P33" s="3193"/>
      <c r="Q33" s="1809"/>
      <c r="R33" s="774"/>
      <c r="S33" s="775"/>
      <c r="T33" s="774"/>
      <c r="U33" s="775"/>
      <c r="V33" s="774"/>
      <c r="W33" s="775"/>
      <c r="X33" s="1812"/>
      <c r="Y33" s="3193"/>
      <c r="Z33" s="1813"/>
      <c r="AA33" s="1810">
        <v>1</v>
      </c>
      <c r="AB33" s="1810">
        <v>1</v>
      </c>
      <c r="AC33" s="1810">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93"/>
      <c r="Q34" s="1809" t="str">
        <f t="shared" si="8"/>
        <v>土地级别</v>
      </c>
      <c r="R34" s="774" t="s">
        <v>17</v>
      </c>
      <c r="S34" s="775">
        <f t="shared" si="10"/>
        <v>100</v>
      </c>
      <c r="T34" s="774" t="s">
        <v>17</v>
      </c>
      <c r="U34" s="775">
        <f t="shared" si="11"/>
        <v>100</v>
      </c>
      <c r="V34" s="774" t="s">
        <v>17</v>
      </c>
      <c r="W34" s="775">
        <f t="shared" si="12"/>
        <v>100</v>
      </c>
      <c r="X34" s="1812"/>
      <c r="Y34" s="3193"/>
      <c r="Z34" s="1813" t="str">
        <f t="shared" si="13"/>
        <v>土地级别</v>
      </c>
      <c r="AA34" s="1810">
        <f t="shared" si="3"/>
        <v>1</v>
      </c>
      <c r="AB34" s="1810">
        <f t="shared" si="4"/>
        <v>1</v>
      </c>
      <c r="AC34" s="1810">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93"/>
      <c r="Q35" s="1809">
        <f t="shared" si="8"/>
        <v>111</v>
      </c>
      <c r="R35" s="774" t="s">
        <v>17</v>
      </c>
      <c r="S35" s="775">
        <f t="shared" si="10"/>
        <v>100</v>
      </c>
      <c r="T35" s="774" t="s">
        <v>17</v>
      </c>
      <c r="U35" s="775">
        <f t="shared" si="11"/>
        <v>100</v>
      </c>
      <c r="V35" s="774" t="s">
        <v>17</v>
      </c>
      <c r="W35" s="775">
        <f t="shared" si="12"/>
        <v>100</v>
      </c>
      <c r="X35" s="1812"/>
      <c r="Y35" s="3193"/>
      <c r="Z35" s="1813">
        <f t="shared" si="13"/>
        <v>111</v>
      </c>
      <c r="AA35" s="1810">
        <f t="shared" si="3"/>
        <v>1</v>
      </c>
      <c r="AB35" s="1810">
        <f t="shared" si="4"/>
        <v>1</v>
      </c>
      <c r="AC35" s="1810">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78" t="s">
        <v>2569</v>
      </c>
      <c r="Q36" s="1809">
        <f t="shared" si="8"/>
        <v>111</v>
      </c>
      <c r="R36" s="774" t="s">
        <v>17</v>
      </c>
      <c r="S36" s="775">
        <f t="shared" si="10"/>
        <v>100</v>
      </c>
      <c r="T36" s="774" t="s">
        <v>17</v>
      </c>
      <c r="U36" s="775">
        <f t="shared" si="11"/>
        <v>100</v>
      </c>
      <c r="V36" s="774" t="s">
        <v>17</v>
      </c>
      <c r="W36" s="775">
        <f t="shared" si="12"/>
        <v>100</v>
      </c>
      <c r="X36" s="1812"/>
      <c r="Y36" s="3197" t="s">
        <v>2569</v>
      </c>
      <c r="Z36" s="1813">
        <f t="shared" si="13"/>
        <v>111</v>
      </c>
      <c r="AA36" s="1810">
        <f t="shared" si="3"/>
        <v>1</v>
      </c>
      <c r="AB36" s="1810">
        <f t="shared" si="4"/>
        <v>1</v>
      </c>
      <c r="AC36" s="1810">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7"/>
      <c r="Q37" s="1809">
        <f t="shared" si="8"/>
        <v>111</v>
      </c>
      <c r="R37" s="777" t="s">
        <v>17</v>
      </c>
      <c r="S37" s="778">
        <f t="shared" si="10"/>
        <v>100</v>
      </c>
      <c r="T37" s="777" t="s">
        <v>17</v>
      </c>
      <c r="U37" s="778">
        <f t="shared" si="11"/>
        <v>100</v>
      </c>
      <c r="V37" s="777" t="s">
        <v>17</v>
      </c>
      <c r="W37" s="778">
        <f t="shared" si="12"/>
        <v>100</v>
      </c>
      <c r="X37" s="779"/>
      <c r="Y37" s="3197"/>
      <c r="Z37" s="780">
        <f t="shared" si="13"/>
        <v>111</v>
      </c>
      <c r="AA37" s="1810">
        <f t="shared" si="3"/>
        <v>1</v>
      </c>
      <c r="AB37" s="1810">
        <f t="shared" si="4"/>
        <v>1</v>
      </c>
      <c r="AC37" s="1810">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7"/>
      <c r="Q38" s="1809" t="str">
        <f>B38</f>
        <v>宗地面积</v>
      </c>
      <c r="R38" s="774" t="s">
        <v>17</v>
      </c>
      <c r="S38" s="775" t="e">
        <f t="shared" si="10"/>
        <v>#N/A</v>
      </c>
      <c r="T38" s="774" t="s">
        <v>17</v>
      </c>
      <c r="U38" s="775" t="e">
        <f t="shared" si="11"/>
        <v>#N/A</v>
      </c>
      <c r="V38" s="774" t="s">
        <v>17</v>
      </c>
      <c r="W38" s="775" t="e">
        <f t="shared" si="12"/>
        <v>#N/A</v>
      </c>
      <c r="X38" s="1812"/>
      <c r="Y38" s="3197"/>
      <c r="Z38" s="1813" t="str">
        <f t="shared" si="13"/>
        <v>宗地面积</v>
      </c>
      <c r="AA38" s="1810" t="e">
        <f t="shared" si="3"/>
        <v>#N/A</v>
      </c>
      <c r="AB38" s="1810" t="e">
        <f t="shared" si="4"/>
        <v>#N/A</v>
      </c>
      <c r="AC38" s="1810" t="e">
        <f t="shared" si="5"/>
        <v>#N/A</v>
      </c>
    </row>
    <row r="39" spans="1:29" ht="15">
      <c r="A39" s="472"/>
      <c r="B39" s="422" t="s">
        <v>2756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197"/>
      <c r="Q39" s="1809" t="str">
        <f t="shared" ref="Q39:Q45" si="14">B39</f>
        <v>宗地形状</v>
      </c>
      <c r="R39" s="774" t="s">
        <v>17</v>
      </c>
      <c r="S39" s="775">
        <f t="shared" si="10"/>
        <v>100</v>
      </c>
      <c r="T39" s="774" t="s">
        <v>17</v>
      </c>
      <c r="U39" s="775">
        <f t="shared" si="11"/>
        <v>100</v>
      </c>
      <c r="V39" s="774" t="s">
        <v>17</v>
      </c>
      <c r="W39" s="775">
        <f t="shared" si="12"/>
        <v>100</v>
      </c>
      <c r="X39" s="1812"/>
      <c r="Y39" s="3197"/>
      <c r="Z39" s="1813" t="str">
        <f t="shared" si="13"/>
        <v>宗地形状</v>
      </c>
      <c r="AA39" s="1810">
        <f t="shared" si="3"/>
        <v>1</v>
      </c>
      <c r="AB39" s="1810">
        <f t="shared" si="4"/>
        <v>1</v>
      </c>
      <c r="AC39" s="1810">
        <f t="shared" si="5"/>
        <v>1</v>
      </c>
    </row>
    <row r="40" spans="1:29" ht="15">
      <c r="A40" s="472"/>
      <c r="B40" s="422" t="s">
        <v>2757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197"/>
      <c r="Q40" s="1809" t="str">
        <f t="shared" si="14"/>
        <v>临街宽度及深度</v>
      </c>
      <c r="R40" s="774" t="s">
        <v>17</v>
      </c>
      <c r="S40" s="775">
        <f t="shared" si="10"/>
        <v>100</v>
      </c>
      <c r="T40" s="774" t="s">
        <v>17</v>
      </c>
      <c r="U40" s="775">
        <f t="shared" si="11"/>
        <v>100</v>
      </c>
      <c r="V40" s="774" t="s">
        <v>17</v>
      </c>
      <c r="W40" s="775">
        <f t="shared" si="12"/>
        <v>100</v>
      </c>
      <c r="X40" s="1812"/>
      <c r="Y40" s="3197"/>
      <c r="Z40" s="1813" t="str">
        <f t="shared" si="13"/>
        <v>临街宽度及深度</v>
      </c>
      <c r="AA40" s="1810">
        <f t="shared" si="3"/>
        <v>1</v>
      </c>
      <c r="AB40" s="1810">
        <f t="shared" si="4"/>
        <v>1</v>
      </c>
      <c r="AC40" s="1810">
        <f t="shared" si="5"/>
        <v>1</v>
      </c>
    </row>
    <row r="41" spans="1:29" s="117" customFormat="1" ht="15">
      <c r="A41" s="473"/>
      <c r="B41" s="422" t="s">
        <v>2758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197"/>
      <c r="Q41" s="1809"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197" t="s">
        <v>2569</v>
      </c>
      <c r="Q42" s="1809" t="str">
        <f t="shared" si="14"/>
        <v>工程地质条件</v>
      </c>
      <c r="R42" s="774" t="s">
        <v>17</v>
      </c>
      <c r="S42" s="775">
        <f t="shared" si="10"/>
        <v>100</v>
      </c>
      <c r="T42" s="774" t="s">
        <v>17</v>
      </c>
      <c r="U42" s="775">
        <f t="shared" si="11"/>
        <v>100</v>
      </c>
      <c r="V42" s="774" t="s">
        <v>17</v>
      </c>
      <c r="W42" s="775">
        <f t="shared" si="12"/>
        <v>100</v>
      </c>
      <c r="X42" s="1812"/>
      <c r="Y42" s="3197" t="s">
        <v>2569</v>
      </c>
      <c r="Z42" s="1813" t="str">
        <f t="shared" si="13"/>
        <v>工程地质条件</v>
      </c>
      <c r="AA42" s="1810">
        <f t="shared" si="3"/>
        <v>1</v>
      </c>
      <c r="AB42" s="1810">
        <f t="shared" si="4"/>
        <v>1</v>
      </c>
      <c r="AC42" s="1810">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7"/>
      <c r="Q43" s="1809">
        <f t="shared" si="14"/>
        <v>111</v>
      </c>
      <c r="R43" s="774" t="s">
        <v>17</v>
      </c>
      <c r="S43" s="775">
        <f t="shared" si="10"/>
        <v>100</v>
      </c>
      <c r="T43" s="774" t="s">
        <v>17</v>
      </c>
      <c r="U43" s="775">
        <f t="shared" si="11"/>
        <v>100</v>
      </c>
      <c r="V43" s="774" t="s">
        <v>17</v>
      </c>
      <c r="W43" s="775">
        <f t="shared" si="12"/>
        <v>100</v>
      </c>
      <c r="X43" s="1812"/>
      <c r="Y43" s="3197"/>
      <c r="Z43" s="1813">
        <f t="shared" si="13"/>
        <v>111</v>
      </c>
      <c r="AA43" s="1810">
        <f t="shared" si="3"/>
        <v>1</v>
      </c>
      <c r="AB43" s="1810">
        <f t="shared" si="4"/>
        <v>1</v>
      </c>
      <c r="AC43" s="1810">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7"/>
      <c r="Q44" s="1809">
        <f t="shared" si="14"/>
        <v>111</v>
      </c>
      <c r="R44" s="774" t="s">
        <v>17</v>
      </c>
      <c r="S44" s="775">
        <f t="shared" si="10"/>
        <v>100</v>
      </c>
      <c r="T44" s="774" t="s">
        <v>17</v>
      </c>
      <c r="U44" s="775">
        <f t="shared" si="11"/>
        <v>100</v>
      </c>
      <c r="V44" s="774" t="s">
        <v>17</v>
      </c>
      <c r="W44" s="775">
        <f t="shared" si="12"/>
        <v>100</v>
      </c>
      <c r="X44" s="1812"/>
      <c r="Y44" s="3197"/>
      <c r="Z44" s="1813">
        <f t="shared" si="13"/>
        <v>111</v>
      </c>
      <c r="AA44" s="1810">
        <f t="shared" si="3"/>
        <v>1</v>
      </c>
      <c r="AB44" s="1810">
        <f t="shared" si="4"/>
        <v>1</v>
      </c>
      <c r="AC44" s="1810">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7"/>
      <c r="Q45" s="1809">
        <f t="shared" si="14"/>
        <v>111</v>
      </c>
      <c r="R45" s="777" t="s">
        <v>17</v>
      </c>
      <c r="S45" s="778">
        <f t="shared" si="10"/>
        <v>100</v>
      </c>
      <c r="T45" s="777" t="s">
        <v>17</v>
      </c>
      <c r="U45" s="778">
        <f t="shared" si="11"/>
        <v>100</v>
      </c>
      <c r="V45" s="777" t="s">
        <v>17</v>
      </c>
      <c r="W45" s="778">
        <f t="shared" si="12"/>
        <v>100</v>
      </c>
      <c r="X45" s="779"/>
      <c r="Y45" s="3197"/>
      <c r="Z45" s="780">
        <f t="shared" si="13"/>
        <v>111</v>
      </c>
      <c r="AA45" s="1810">
        <f t="shared" si="3"/>
        <v>1</v>
      </c>
      <c r="AB45" s="1810">
        <f t="shared" si="4"/>
        <v>1</v>
      </c>
      <c r="AC45" s="1810">
        <f t="shared" si="5"/>
        <v>1</v>
      </c>
    </row>
    <row r="46" spans="1:29" ht="15">
      <c r="A46" s="479" t="s">
        <v>2724</v>
      </c>
      <c r="B46" s="2703" t="s">
        <v>2760</v>
      </c>
      <c r="C46" s="682" t="s">
        <v>1</v>
      </c>
      <c r="D46" s="481"/>
      <c r="E46" s="482"/>
      <c r="F46" s="483"/>
      <c r="G46" s="484"/>
      <c r="H46" s="485"/>
      <c r="I46" s="482"/>
      <c r="J46" s="485"/>
      <c r="K46" s="783"/>
      <c r="L46" s="1141"/>
      <c r="M46" s="1142"/>
      <c r="N46" s="1129"/>
      <c r="O46" s="1142"/>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1"/>
      <c r="M47" s="1142"/>
      <c r="N47" s="1142"/>
      <c r="O47" s="1142"/>
      <c r="P47" s="3190" t="str">
        <f>A47</f>
        <v>比较价值（元/平方米）</v>
      </c>
      <c r="Q47" s="3190"/>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1"/>
      <c r="M48" s="1142"/>
      <c r="N48" s="1142"/>
      <c r="O48" s="1142"/>
      <c r="P48" s="3187" t="str">
        <f>A48</f>
        <v>估价对象XX用房的比较价值（楼面单价，元/平方米）</v>
      </c>
      <c r="Q48" s="3188"/>
      <c r="R48" s="3280" t="e">
        <f>ROUND(AVERAGE(R47:V47),0)</f>
        <v>#DIV/0!</v>
      </c>
      <c r="S48" s="3280"/>
      <c r="T48" s="3280"/>
      <c r="U48" s="3280"/>
      <c r="V48" s="3280"/>
      <c r="W48" s="3280"/>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2762</v>
      </c>
      <c r="B55" s="685" t="s">
        <v>2763</v>
      </c>
      <c r="C55" s="2704" t="s">
        <v>2764</v>
      </c>
      <c r="D55" s="2705" t="s">
        <v>2765</v>
      </c>
      <c r="E55" s="686" t="s">
        <v>2766</v>
      </c>
      <c r="F55" s="1105" t="s">
        <v>2767</v>
      </c>
      <c r="G55" s="3205" t="s">
        <v>2768</v>
      </c>
      <c r="H55" s="3281"/>
      <c r="I55" s="144" t="s">
        <v>2769</v>
      </c>
      <c r="J55" s="2706">
        <f>项目基本情况!F35</f>
        <v>0</v>
      </c>
      <c r="K55" s="2707" t="s">
        <v>2770</v>
      </c>
      <c r="L55" s="1104"/>
      <c r="M55" s="1142"/>
      <c r="N55" s="1142"/>
      <c r="O55" s="1142"/>
    </row>
    <row r="56" spans="1:15" s="692" customFormat="1">
      <c r="A56" s="688" t="s">
        <v>2771</v>
      </c>
      <c r="B56" s="689" t="e">
        <f>C48</f>
        <v>#DIV/0!</v>
      </c>
      <c r="C56" s="690">
        <v>1</v>
      </c>
      <c r="D56" s="1161">
        <v>1</v>
      </c>
      <c r="E56" s="690">
        <f>'数据-汇总表'!E8+'数据-汇总表'!E9</f>
        <v>39349.9</v>
      </c>
      <c r="F56" s="1101" t="e">
        <f t="shared" ref="F56:F65" si="15">ROUND(B56*E56/10000,0)</f>
        <v>#DIV/0!</v>
      </c>
      <c r="G56" s="3201"/>
      <c r="H56" s="3190"/>
      <c r="I56" s="1106">
        <v>1</v>
      </c>
      <c r="J56" s="1109">
        <v>1</v>
      </c>
      <c r="K56" s="1143"/>
      <c r="L56" s="939"/>
      <c r="M56" s="939"/>
      <c r="N56" s="939"/>
      <c r="O56" s="939"/>
    </row>
    <row r="57" spans="1:15" s="692" customFormat="1">
      <c r="A57" s="693" t="s">
        <v>2772</v>
      </c>
      <c r="B57" s="262" t="e">
        <f>ROUND($C$48*C57*D57,0)</f>
        <v>#DIV/0!</v>
      </c>
      <c r="C57" s="200">
        <f t="shared" ref="C57:C65" si="16">IF($C$55="北京市系数",I57,J57)</f>
        <v>0</v>
      </c>
      <c r="D57" s="1162">
        <v>0.25</v>
      </c>
      <c r="E57" s="694"/>
      <c r="F57" s="1101" t="e">
        <f t="shared" si="15"/>
        <v>#DIV/0!</v>
      </c>
      <c r="G57" s="3282" t="s">
        <v>2773</v>
      </c>
      <c r="H57" s="1102">
        <f>项目基本情况!B37</f>
        <v>0</v>
      </c>
      <c r="I57" s="1106">
        <f>SUMIF(修正!A45:A56,H57,修正!B45:B56)</f>
        <v>0</v>
      </c>
      <c r="J57" s="1110"/>
      <c r="K57" s="1142"/>
      <c r="L57" s="939"/>
      <c r="M57" s="939"/>
      <c r="N57" s="939"/>
      <c r="O57" s="939"/>
    </row>
    <row r="58" spans="1:15" s="692" customFormat="1">
      <c r="A58" s="693" t="s">
        <v>2774</v>
      </c>
      <c r="B58" s="262" t="e">
        <f t="shared" ref="B58:B65" si="17">ROUND($C$48*C58*D58,0)</f>
        <v>#DIV/0!</v>
      </c>
      <c r="C58" s="200">
        <f t="shared" si="16"/>
        <v>0</v>
      </c>
      <c r="D58" s="1162">
        <v>0.25</v>
      </c>
      <c r="E58" s="694"/>
      <c r="F58" s="1101" t="e">
        <f t="shared" si="15"/>
        <v>#DIV/0!</v>
      </c>
      <c r="G58" s="3282"/>
      <c r="H58" s="1102">
        <f>项目基本情况!B37</f>
        <v>0</v>
      </c>
      <c r="I58" s="1106">
        <f>SUMIF(修正!A45:A56,H58,修正!C45:C56)</f>
        <v>0</v>
      </c>
      <c r="J58" s="1110"/>
      <c r="K58" s="1143"/>
      <c r="L58" s="939"/>
      <c r="M58" s="939"/>
      <c r="N58" s="939"/>
      <c r="O58" s="939"/>
    </row>
    <row r="59" spans="1:15" s="692" customFormat="1">
      <c r="A59" s="693" t="s">
        <v>2775</v>
      </c>
      <c r="B59" s="262" t="e">
        <f t="shared" si="17"/>
        <v>#DIV/0!</v>
      </c>
      <c r="C59" s="200">
        <f t="shared" si="16"/>
        <v>0</v>
      </c>
      <c r="D59" s="1162">
        <v>0.25</v>
      </c>
      <c r="E59" s="694"/>
      <c r="F59" s="1101" t="e">
        <f t="shared" si="15"/>
        <v>#DIV/0!</v>
      </c>
      <c r="G59" s="3282"/>
      <c r="H59" s="1102">
        <f>项目基本情况!B37</f>
        <v>0</v>
      </c>
      <c r="I59" s="1106">
        <f>SUMIF(修正!A45:A56,H59,修正!D45:D56)</f>
        <v>0</v>
      </c>
      <c r="J59" s="1110"/>
      <c r="K59" s="1142"/>
      <c r="L59" s="939"/>
      <c r="M59" s="939"/>
      <c r="N59" s="939"/>
      <c r="O59" s="939"/>
    </row>
    <row r="60" spans="1:15" s="692" customFormat="1">
      <c r="A60" s="693" t="s">
        <v>2776</v>
      </c>
      <c r="B60" s="262" t="e">
        <f t="shared" si="17"/>
        <v>#DIV/0!</v>
      </c>
      <c r="C60" s="200">
        <f t="shared" si="16"/>
        <v>0</v>
      </c>
      <c r="D60" s="1162">
        <v>0.25</v>
      </c>
      <c r="E60" s="694"/>
      <c r="F60" s="1101" t="e">
        <f t="shared" si="15"/>
        <v>#DIV/0!</v>
      </c>
      <c r="G60" s="3282"/>
      <c r="H60" s="1102">
        <f>项目基本情况!B37</f>
        <v>0</v>
      </c>
      <c r="I60" s="1106">
        <f>SUMIF(修正!A45:A56,H60,修正!E45:E56)</f>
        <v>0</v>
      </c>
      <c r="J60" s="1110"/>
      <c r="K60" s="1143"/>
      <c r="L60" s="939"/>
      <c r="M60" s="939"/>
      <c r="N60" s="939"/>
      <c r="O60" s="939"/>
    </row>
    <row r="61" spans="1:15" s="692" customFormat="1">
      <c r="A61" s="693" t="s">
        <v>2777</v>
      </c>
      <c r="B61" s="262" t="e">
        <f t="shared" si="17"/>
        <v>#DIV/0!</v>
      </c>
      <c r="C61" s="200">
        <f t="shared" si="16"/>
        <v>0</v>
      </c>
      <c r="D61" s="1162">
        <v>0.25</v>
      </c>
      <c r="E61" s="261">
        <f>'数据-汇总表'!E11</f>
        <v>0</v>
      </c>
      <c r="F61" s="1101" t="e">
        <f t="shared" si="15"/>
        <v>#DIV/0!</v>
      </c>
      <c r="G61" s="2708" t="s">
        <v>2778</v>
      </c>
      <c r="H61" s="1102">
        <f>项目基本情况!C37</f>
        <v>0</v>
      </c>
      <c r="I61" s="1106">
        <f>SUMIF(修正!A45:A56,H61,修正!F45:F56)</f>
        <v>0</v>
      </c>
      <c r="J61" s="1110"/>
      <c r="K61" s="1142"/>
      <c r="L61" s="939"/>
      <c r="M61" s="939"/>
      <c r="N61" s="939"/>
      <c r="O61" s="939"/>
    </row>
    <row r="62" spans="1:15" s="692" customFormat="1">
      <c r="A62" s="693" t="s">
        <v>2779</v>
      </c>
      <c r="B62" s="262" t="e">
        <f t="shared" si="17"/>
        <v>#DIV/0!</v>
      </c>
      <c r="C62" s="200">
        <f t="shared" si="16"/>
        <v>0</v>
      </c>
      <c r="D62" s="1162">
        <v>0.25</v>
      </c>
      <c r="E62" s="261">
        <f>'数据-汇总表'!E12</f>
        <v>0</v>
      </c>
      <c r="F62" s="1101" t="e">
        <f t="shared" si="15"/>
        <v>#DIV/0!</v>
      </c>
      <c r="G62" s="1107" t="s">
        <v>2780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2781</v>
      </c>
      <c r="B63" s="262" t="e">
        <f t="shared" si="17"/>
        <v>#DIV/0!</v>
      </c>
      <c r="C63" s="200">
        <f t="shared" si="16"/>
        <v>0</v>
      </c>
      <c r="D63" s="1162">
        <v>0.25</v>
      </c>
      <c r="E63" s="261">
        <f>'数据-汇总表'!E13</f>
        <v>0</v>
      </c>
      <c r="F63" s="1101" t="e">
        <f t="shared" si="15"/>
        <v>#DIV/0!</v>
      </c>
      <c r="G63" s="1107" t="s">
        <v>2782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2783</v>
      </c>
      <c r="B64" s="262" t="e">
        <f t="shared" si="17"/>
        <v>#DIV/0!</v>
      </c>
      <c r="C64" s="200">
        <f t="shared" si="16"/>
        <v>0</v>
      </c>
      <c r="D64" s="1162">
        <v>0.25</v>
      </c>
      <c r="E64" s="261">
        <f>'数据-汇总表'!E14</f>
        <v>7609.71</v>
      </c>
      <c r="F64" s="1101" t="e">
        <f t="shared" si="15"/>
        <v>#DIV/0!</v>
      </c>
      <c r="G64" s="2708" t="s">
        <v>2773</v>
      </c>
      <c r="H64" s="1102">
        <f>项目基本情况!B37</f>
        <v>0</v>
      </c>
      <c r="I64" s="1106">
        <f>SUMIF(修正!A45:A56,H64,修正!H45:H56)</f>
        <v>0</v>
      </c>
      <c r="J64" s="1110"/>
      <c r="K64" s="1143"/>
      <c r="L64" s="939"/>
      <c r="M64" s="939"/>
      <c r="N64" s="939"/>
      <c r="O64" s="939"/>
    </row>
    <row r="65" spans="1:17" s="692" customFormat="1" ht="15" thickBot="1">
      <c r="A65" s="693" t="s">
        <v>2784</v>
      </c>
      <c r="B65" s="262" t="e">
        <f t="shared" si="17"/>
        <v>#DIV/0!</v>
      </c>
      <c r="C65" s="200">
        <f t="shared" si="16"/>
        <v>0</v>
      </c>
      <c r="D65" s="1162">
        <v>0.25</v>
      </c>
      <c r="E65" s="261">
        <f>'数据-汇总表'!E15</f>
        <v>0</v>
      </c>
      <c r="F65" s="1101" t="e">
        <f t="shared" si="15"/>
        <v>#DIV/0!</v>
      </c>
      <c r="G65" s="2709" t="s">
        <v>2778</v>
      </c>
      <c r="H65" s="1112">
        <f>项目基本情况!C37</f>
        <v>0</v>
      </c>
      <c r="I65" s="1108">
        <f>SUMIF(修正!A45:A56,H65,修正!H45:H56)</f>
        <v>0</v>
      </c>
      <c r="J65" s="1111"/>
      <c r="K65" s="1142"/>
      <c r="L65" s="939"/>
      <c r="M65" s="939"/>
      <c r="N65" s="939"/>
      <c r="O65" s="939"/>
    </row>
    <row r="66" spans="1:17" s="692" customFormat="1" ht="13.5" thickBot="1">
      <c r="A66" s="695" t="s">
        <v>2785</v>
      </c>
      <c r="B66" s="696" t="s">
        <v>28</v>
      </c>
      <c r="C66" s="696" t="s">
        <v>29</v>
      </c>
      <c r="D66" s="696" t="s">
        <v>1029</v>
      </c>
      <c r="E66" s="696">
        <f>IF(B46="楼面地价",SUM(E56:E65),'数据-汇总表'!D3)</f>
        <v>46959.61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2678</v>
      </c>
      <c r="B69" s="759"/>
      <c r="C69" s="764"/>
      <c r="D69" s="764"/>
      <c r="E69" s="764"/>
      <c r="F69" s="765"/>
      <c r="G69" s="765"/>
      <c r="H69" s="764"/>
      <c r="I69" s="764"/>
      <c r="J69" s="1157"/>
      <c r="K69" s="1158"/>
      <c r="L69" s="1159"/>
      <c r="M69" s="1157"/>
      <c r="N69" s="1157"/>
      <c r="O69" s="1157"/>
      <c r="P69" s="503"/>
      <c r="Q69" s="504"/>
    </row>
    <row r="70" spans="1:17" s="508" customFormat="1" ht="15">
      <c r="A70" s="2710" t="s">
        <v>2786</v>
      </c>
      <c r="B70" s="1357"/>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1" t="s">
        <v>2787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2589</v>
      </c>
      <c r="B72" s="516"/>
      <c r="C72" s="517"/>
      <c r="D72" s="518"/>
      <c r="E72" s="518"/>
      <c r="F72" s="518"/>
      <c r="G72" s="518"/>
      <c r="H72" s="518"/>
      <c r="I72" s="518"/>
      <c r="J72" s="518"/>
      <c r="K72" s="518"/>
      <c r="L72" s="518"/>
      <c r="M72" s="519"/>
      <c r="N72" s="518"/>
      <c r="O72" s="1160"/>
      <c r="P72" s="504"/>
      <c r="Q72" s="504"/>
    </row>
    <row r="73" spans="1:17" s="117" customFormat="1" ht="15">
      <c r="A73" s="521" t="s">
        <v>2554</v>
      </c>
      <c r="B73" s="510"/>
      <c r="C73" s="522" t="s">
        <v>2656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2592</v>
      </c>
      <c r="B75" s="528" t="s">
        <v>2558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83" t="s">
        <v>2801</v>
      </c>
      <c r="D6" s="3284"/>
      <c r="E6" s="3285" t="s">
        <v>2801</v>
      </c>
      <c r="F6" s="3286"/>
      <c r="G6" s="3283" t="s">
        <v>2801</v>
      </c>
      <c r="H6" s="3284"/>
      <c r="I6" s="3283" t="s">
        <v>2801</v>
      </c>
      <c r="J6" s="3284"/>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43444</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40" si="3">D8/F8</f>
        <v>#DIV/0!</v>
      </c>
      <c r="AB8" s="773" t="e">
        <f t="shared" ref="AB8:AB40" si="4">D8/H8</f>
        <v>#DIV/0!</v>
      </c>
      <c r="AC8" s="773" t="e">
        <f t="shared" ref="AC8:AC40" si="5">D8/J8</f>
        <v>#DIV/0!</v>
      </c>
    </row>
    <row r="9" spans="1:29" s="117" customFormat="1">
      <c r="A9" s="415" t="s">
        <v>2557</v>
      </c>
      <c r="B9" s="71" t="s">
        <v>2558</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190"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t="e">
        <f>ROUND(100/'数据-取费表'!G16,0)</f>
        <v>#DIV/0!</v>
      </c>
      <c r="G10" s="432"/>
      <c r="H10" s="136" t="e">
        <f>ROUND(100/'数据-取费表'!G16,0)</f>
        <v>#DIV/0!</v>
      </c>
      <c r="I10" s="432"/>
      <c r="J10" s="136" t="e">
        <f>ROUND(100/'数据-取费表'!G16,0)</f>
        <v>#DIV/0!</v>
      </c>
      <c r="K10" s="672"/>
      <c r="L10" s="1133"/>
      <c r="M10" s="1134"/>
      <c r="N10" s="1134"/>
      <c r="O10" s="1135"/>
      <c r="P10" s="3190"/>
      <c r="Q10" s="1794" t="str">
        <f t="shared" si="6"/>
        <v>土地使用年限（年）</v>
      </c>
      <c r="R10" s="770" t="s">
        <v>17</v>
      </c>
      <c r="S10" s="771" t="e">
        <f t="shared" si="0"/>
        <v>#DIV/0!</v>
      </c>
      <c r="T10" s="770" t="s">
        <v>17</v>
      </c>
      <c r="U10" s="771" t="e">
        <f t="shared" si="1"/>
        <v>#DIV/0!</v>
      </c>
      <c r="V10" s="770" t="s">
        <v>17</v>
      </c>
      <c r="W10" s="771" t="e">
        <f t="shared" si="2"/>
        <v>#DIV/0!</v>
      </c>
      <c r="X10" s="772"/>
      <c r="Y10" s="3040"/>
      <c r="Z10" s="55" t="str">
        <f t="shared" si="7"/>
        <v>土地使用年限（年）</v>
      </c>
      <c r="AA10" s="773" t="e">
        <f t="shared" si="3"/>
        <v>#DIV/0!</v>
      </c>
      <c r="AB10" s="773" t="e">
        <f t="shared" si="4"/>
        <v>#DIV/0!</v>
      </c>
      <c r="AC10" s="773" t="e">
        <f t="shared" si="5"/>
        <v>#DIV/0!</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90"/>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90"/>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2563</v>
      </c>
      <c r="B15" s="629" t="s">
        <v>2802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92" t="s">
        <v>2564</v>
      </c>
      <c r="Q15" s="1809" t="str">
        <f t="shared" si="6"/>
        <v>产业集聚程度</v>
      </c>
      <c r="R15" s="774" t="s">
        <v>17</v>
      </c>
      <c r="S15" s="775">
        <f t="shared" si="0"/>
        <v>100</v>
      </c>
      <c r="T15" s="774" t="s">
        <v>17</v>
      </c>
      <c r="U15" s="775">
        <f t="shared" si="1"/>
        <v>100</v>
      </c>
      <c r="V15" s="774" t="s">
        <v>17</v>
      </c>
      <c r="W15" s="775">
        <f t="shared" si="2"/>
        <v>100</v>
      </c>
      <c r="X15" s="1812"/>
      <c r="Y15" s="3192" t="s">
        <v>2564</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8"/>
      <c r="M16" s="1129"/>
      <c r="N16" s="1129"/>
      <c r="O16" s="1137"/>
      <c r="P16" s="3193"/>
      <c r="Q16" s="1809"/>
      <c r="R16" s="774"/>
      <c r="S16" s="775"/>
      <c r="T16" s="774"/>
      <c r="U16" s="775"/>
      <c r="V16" s="774"/>
      <c r="W16" s="775"/>
      <c r="X16" s="1812"/>
      <c r="Y16" s="3193"/>
      <c r="Z16" s="1813"/>
      <c r="AA16" s="1810">
        <v>1</v>
      </c>
      <c r="AB16" s="1810">
        <v>1</v>
      </c>
      <c r="AC16" s="1810">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8"/>
      <c r="M18" s="1129"/>
      <c r="N18" s="1129"/>
      <c r="O18" s="1137"/>
      <c r="P18" s="3193"/>
      <c r="Q18" s="1809"/>
      <c r="R18" s="774"/>
      <c r="S18" s="775"/>
      <c r="T18" s="774"/>
      <c r="U18" s="775"/>
      <c r="V18" s="774"/>
      <c r="W18" s="775"/>
      <c r="X18" s="1812"/>
      <c r="Y18" s="3193"/>
      <c r="Z18" s="1813"/>
      <c r="AA18" s="1810">
        <v>1</v>
      </c>
      <c r="AB18" s="1810">
        <v>1</v>
      </c>
      <c r="AC18" s="1810">
        <v>1</v>
      </c>
    </row>
    <row r="19" spans="1:29" ht="15">
      <c r="A19" s="428"/>
      <c r="B19" s="631" t="s">
        <v>2752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93"/>
      <c r="Q19" s="1809" t="str">
        <f t="shared" ref="Q19:Q33" si="8">B19</f>
        <v>区域土地利用方向</v>
      </c>
      <c r="R19" s="774" t="s">
        <v>17</v>
      </c>
      <c r="S19" s="775">
        <f>F19</f>
        <v>100</v>
      </c>
      <c r="T19" s="774" t="s">
        <v>17</v>
      </c>
      <c r="U19" s="775">
        <f>H19</f>
        <v>100</v>
      </c>
      <c r="V19" s="774" t="s">
        <v>17</v>
      </c>
      <c r="W19" s="775">
        <f>J19</f>
        <v>100</v>
      </c>
      <c r="X19" s="1812"/>
      <c r="Y19" s="319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7"/>
      <c r="L20" s="1138"/>
      <c r="M20" s="1129"/>
      <c r="N20" s="1129"/>
      <c r="O20" s="1137"/>
      <c r="P20" s="3193"/>
      <c r="Q20" s="1809"/>
      <c r="R20" s="774"/>
      <c r="S20" s="775"/>
      <c r="T20" s="774"/>
      <c r="U20" s="775"/>
      <c r="V20" s="774"/>
      <c r="W20" s="775"/>
      <c r="X20" s="1812"/>
      <c r="Y20" s="3193"/>
      <c r="Z20" s="1813"/>
      <c r="AA20" s="1810"/>
      <c r="AB20" s="1810"/>
      <c r="AC20" s="1810"/>
    </row>
    <row r="21" spans="1:29" ht="71.25">
      <c r="A21" s="404"/>
      <c r="B21" s="631" t="s">
        <v>2803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93"/>
      <c r="Q21" s="1809" t="str">
        <f t="shared" si="8"/>
        <v>环境状况</v>
      </c>
      <c r="R21" s="774" t="s">
        <v>17</v>
      </c>
      <c r="S21" s="775">
        <f>F21</f>
        <v>100</v>
      </c>
      <c r="T21" s="774" t="s">
        <v>17</v>
      </c>
      <c r="U21" s="775">
        <f>H21</f>
        <v>100</v>
      </c>
      <c r="V21" s="774" t="s">
        <v>17</v>
      </c>
      <c r="W21" s="775">
        <f>J21</f>
        <v>100</v>
      </c>
      <c r="X21" s="1812"/>
      <c r="Y21" s="319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8"/>
      <c r="M22" s="1129"/>
      <c r="N22" s="1129"/>
      <c r="O22" s="1137"/>
      <c r="P22" s="3193"/>
      <c r="Q22" s="1809"/>
      <c r="R22" s="774"/>
      <c r="S22" s="775"/>
      <c r="T22" s="774"/>
      <c r="U22" s="775"/>
      <c r="V22" s="774"/>
      <c r="W22" s="775"/>
      <c r="X22" s="1812"/>
      <c r="Y22" s="3193"/>
      <c r="Z22" s="1813"/>
      <c r="AA22" s="1810">
        <v>1</v>
      </c>
      <c r="AB22" s="1810">
        <v>1</v>
      </c>
      <c r="AC22" s="1810">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93"/>
      <c r="Q23" s="1794" t="str">
        <f t="shared" si="8"/>
        <v>公共配套设施</v>
      </c>
      <c r="R23" s="770" t="s">
        <v>17</v>
      </c>
      <c r="S23" s="771">
        <f>F23</f>
        <v>100</v>
      </c>
      <c r="T23" s="770" t="s">
        <v>17</v>
      </c>
      <c r="U23" s="771">
        <f>H23</f>
        <v>100</v>
      </c>
      <c r="V23" s="770" t="s">
        <v>17</v>
      </c>
      <c r="W23" s="771">
        <f>J23</f>
        <v>100</v>
      </c>
      <c r="X23" s="772"/>
      <c r="Y23" s="3193"/>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0"/>
      <c r="M24" s="1131"/>
      <c r="N24" s="1131"/>
      <c r="O24" s="1132"/>
      <c r="P24" s="3193"/>
      <c r="Q24" s="1794"/>
      <c r="R24" s="770"/>
      <c r="S24" s="771"/>
      <c r="T24" s="770"/>
      <c r="U24" s="771"/>
      <c r="V24" s="770"/>
      <c r="W24" s="771"/>
      <c r="X24" s="772"/>
      <c r="Y24" s="3193"/>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93"/>
      <c r="Q25" s="1794"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0"/>
      <c r="M26" s="1131"/>
      <c r="N26" s="1131"/>
      <c r="O26" s="1132"/>
      <c r="P26" s="3193"/>
      <c r="Q26" s="1794"/>
      <c r="R26" s="770"/>
      <c r="S26" s="771"/>
      <c r="T26" s="770"/>
      <c r="U26" s="771"/>
      <c r="V26" s="770"/>
      <c r="W26" s="771"/>
      <c r="X26" s="772"/>
      <c r="Y26" s="3193"/>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9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3"/>
      <c r="Z27" s="1813" t="str">
        <f t="shared" ref="Z27:Z40" si="13">Q27</f>
        <v>临街状况</v>
      </c>
      <c r="AA27" s="1810">
        <f t="shared" si="3"/>
        <v>1</v>
      </c>
      <c r="AB27" s="1810">
        <f t="shared" si="4"/>
        <v>1</v>
      </c>
      <c r="AC27" s="1810">
        <f t="shared" si="5"/>
        <v>1</v>
      </c>
    </row>
    <row r="28" spans="1:29" ht="27">
      <c r="A28" s="428"/>
      <c r="B28" s="633" t="s">
        <v>2695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93"/>
      <c r="Q28" s="1809" t="str">
        <f t="shared" si="8"/>
        <v>毗邻道路的类型与等级</v>
      </c>
      <c r="R28" s="774" t="s">
        <v>17</v>
      </c>
      <c r="S28" s="775">
        <f t="shared" si="10"/>
        <v>100</v>
      </c>
      <c r="T28" s="774" t="s">
        <v>17</v>
      </c>
      <c r="U28" s="775">
        <f t="shared" si="11"/>
        <v>100</v>
      </c>
      <c r="V28" s="774" t="s">
        <v>17</v>
      </c>
      <c r="W28" s="775">
        <f t="shared" si="12"/>
        <v>100</v>
      </c>
      <c r="X28" s="1812"/>
      <c r="Y28" s="319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8"/>
      <c r="M29" s="1129"/>
      <c r="N29" s="1129"/>
      <c r="O29" s="1137"/>
      <c r="P29" s="3193"/>
      <c r="Q29" s="1809"/>
      <c r="R29" s="774"/>
      <c r="S29" s="775"/>
      <c r="T29" s="774"/>
      <c r="U29" s="775"/>
      <c r="V29" s="774"/>
      <c r="W29" s="775"/>
      <c r="X29" s="1812"/>
      <c r="Y29" s="3193"/>
      <c r="Z29" s="1813"/>
      <c r="AA29" s="1810">
        <v>1</v>
      </c>
      <c r="AB29" s="1810">
        <v>1</v>
      </c>
      <c r="AC29" s="1810">
        <v>1</v>
      </c>
    </row>
    <row r="30" spans="1:29" ht="15">
      <c r="A30" s="428"/>
      <c r="B30" s="654" t="s">
        <v>2754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93"/>
      <c r="Q30" s="1809" t="str">
        <f t="shared" si="8"/>
        <v>土地级别</v>
      </c>
      <c r="R30" s="774" t="s">
        <v>17</v>
      </c>
      <c r="S30" s="775">
        <f t="shared" si="10"/>
        <v>100</v>
      </c>
      <c r="T30" s="774" t="s">
        <v>17</v>
      </c>
      <c r="U30" s="775">
        <f t="shared" si="11"/>
        <v>100</v>
      </c>
      <c r="V30" s="774" t="s">
        <v>17</v>
      </c>
      <c r="W30" s="775">
        <f t="shared" si="12"/>
        <v>100</v>
      </c>
      <c r="X30" s="1812"/>
      <c r="Y30" s="3193"/>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3"/>
      <c r="Q31" s="1809">
        <f t="shared" si="8"/>
        <v>111</v>
      </c>
      <c r="R31" s="774" t="s">
        <v>17</v>
      </c>
      <c r="S31" s="775">
        <f t="shared" si="10"/>
        <v>100</v>
      </c>
      <c r="T31" s="774" t="s">
        <v>17</v>
      </c>
      <c r="U31" s="775">
        <f t="shared" si="11"/>
        <v>100</v>
      </c>
      <c r="V31" s="774" t="s">
        <v>17</v>
      </c>
      <c r="W31" s="775">
        <f t="shared" si="12"/>
        <v>100</v>
      </c>
      <c r="X31" s="1812"/>
      <c r="Y31" s="3193"/>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78" t="s">
        <v>2569</v>
      </c>
      <c r="Q32" s="1809">
        <f t="shared" si="8"/>
        <v>111</v>
      </c>
      <c r="R32" s="774" t="s">
        <v>17</v>
      </c>
      <c r="S32" s="775">
        <f t="shared" si="10"/>
        <v>100</v>
      </c>
      <c r="T32" s="774" t="s">
        <v>17</v>
      </c>
      <c r="U32" s="775">
        <f t="shared" si="11"/>
        <v>100</v>
      </c>
      <c r="V32" s="774" t="s">
        <v>17</v>
      </c>
      <c r="W32" s="775">
        <f t="shared" si="12"/>
        <v>100</v>
      </c>
      <c r="X32" s="1812"/>
      <c r="Y32" s="3197" t="s">
        <v>2569</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7"/>
      <c r="Q33" s="1809">
        <f t="shared" si="8"/>
        <v>111</v>
      </c>
      <c r="R33" s="777" t="s">
        <v>17</v>
      </c>
      <c r="S33" s="778">
        <f t="shared" si="10"/>
        <v>100</v>
      </c>
      <c r="T33" s="777" t="s">
        <v>17</v>
      </c>
      <c r="U33" s="778">
        <f t="shared" si="11"/>
        <v>100</v>
      </c>
      <c r="V33" s="777" t="s">
        <v>17</v>
      </c>
      <c r="W33" s="778">
        <f t="shared" si="12"/>
        <v>100</v>
      </c>
      <c r="X33" s="779"/>
      <c r="Y33" s="3197"/>
      <c r="Z33" s="780">
        <f t="shared" si="13"/>
        <v>111</v>
      </c>
      <c r="AA33" s="1810">
        <f t="shared" si="3"/>
        <v>1</v>
      </c>
      <c r="AB33" s="1810">
        <f t="shared" si="4"/>
        <v>1</v>
      </c>
      <c r="AC33" s="1810">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7"/>
      <c r="Q34" s="1809" t="str">
        <f>B34</f>
        <v>宗地面积</v>
      </c>
      <c r="R34" s="774" t="s">
        <v>17</v>
      </c>
      <c r="S34" s="775" t="e">
        <f t="shared" si="10"/>
        <v>#N/A</v>
      </c>
      <c r="T34" s="774" t="s">
        <v>17</v>
      </c>
      <c r="U34" s="775" t="e">
        <f t="shared" si="11"/>
        <v>#N/A</v>
      </c>
      <c r="V34" s="774" t="s">
        <v>17</v>
      </c>
      <c r="W34" s="775" t="e">
        <f t="shared" si="12"/>
        <v>#N/A</v>
      </c>
      <c r="X34" s="1812"/>
      <c r="Y34" s="3197"/>
      <c r="Z34" s="1813" t="str">
        <f t="shared" si="13"/>
        <v>宗地面积</v>
      </c>
      <c r="AA34" s="1810" t="e">
        <f t="shared" si="3"/>
        <v>#N/A</v>
      </c>
      <c r="AB34" s="1810" t="e">
        <f t="shared" si="4"/>
        <v>#N/A</v>
      </c>
      <c r="AC34" s="1810" t="e">
        <f t="shared" si="5"/>
        <v>#N/A</v>
      </c>
    </row>
    <row r="35" spans="1:29" ht="15">
      <c r="A35" s="472"/>
      <c r="B35" s="422" t="s">
        <v>2756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197"/>
      <c r="Q35" s="1809" t="str">
        <f t="shared" ref="Q35:Q40" si="14">B35</f>
        <v>宗地形状</v>
      </c>
      <c r="R35" s="774" t="s">
        <v>17</v>
      </c>
      <c r="S35" s="775">
        <f t="shared" si="10"/>
        <v>100</v>
      </c>
      <c r="T35" s="774" t="s">
        <v>17</v>
      </c>
      <c r="U35" s="775">
        <f t="shared" si="11"/>
        <v>100</v>
      </c>
      <c r="V35" s="774" t="s">
        <v>17</v>
      </c>
      <c r="W35" s="775">
        <f t="shared" si="12"/>
        <v>100</v>
      </c>
      <c r="X35" s="1812"/>
      <c r="Y35" s="3197"/>
      <c r="Z35" s="1813" t="str">
        <f t="shared" si="13"/>
        <v>宗地形状</v>
      </c>
      <c r="AA35" s="1810">
        <f t="shared" si="3"/>
        <v>1</v>
      </c>
      <c r="AB35" s="1810">
        <f t="shared" si="4"/>
        <v>1</v>
      </c>
      <c r="AC35" s="1810">
        <f t="shared" si="5"/>
        <v>1</v>
      </c>
    </row>
    <row r="36" spans="1:29" s="117" customFormat="1" ht="15">
      <c r="A36" s="473"/>
      <c r="B36" s="422" t="s">
        <v>2758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197"/>
      <c r="Q36" s="1809"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197" t="s">
        <v>2569</v>
      </c>
      <c r="Q37" s="1809" t="str">
        <f t="shared" si="14"/>
        <v>工程地质条件</v>
      </c>
      <c r="R37" s="774" t="s">
        <v>17</v>
      </c>
      <c r="S37" s="775">
        <f t="shared" si="10"/>
        <v>100</v>
      </c>
      <c r="T37" s="774" t="s">
        <v>17</v>
      </c>
      <c r="U37" s="775">
        <f t="shared" si="11"/>
        <v>100</v>
      </c>
      <c r="V37" s="774" t="s">
        <v>17</v>
      </c>
      <c r="W37" s="775">
        <f t="shared" si="12"/>
        <v>100</v>
      </c>
      <c r="X37" s="1812"/>
      <c r="Y37" s="3197" t="s">
        <v>2569</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7"/>
      <c r="Q38" s="1809">
        <f t="shared" si="14"/>
        <v>111</v>
      </c>
      <c r="R38" s="774" t="s">
        <v>17</v>
      </c>
      <c r="S38" s="775">
        <f t="shared" si="10"/>
        <v>100</v>
      </c>
      <c r="T38" s="774" t="s">
        <v>17</v>
      </c>
      <c r="U38" s="775">
        <f t="shared" si="11"/>
        <v>100</v>
      </c>
      <c r="V38" s="774" t="s">
        <v>17</v>
      </c>
      <c r="W38" s="775">
        <f t="shared" si="12"/>
        <v>100</v>
      </c>
      <c r="X38" s="1812"/>
      <c r="Y38" s="3197"/>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7"/>
      <c r="Q39" s="1809">
        <f t="shared" si="14"/>
        <v>111</v>
      </c>
      <c r="R39" s="774" t="s">
        <v>17</v>
      </c>
      <c r="S39" s="775">
        <f t="shared" si="10"/>
        <v>100</v>
      </c>
      <c r="T39" s="774" t="s">
        <v>17</v>
      </c>
      <c r="U39" s="775">
        <f t="shared" si="11"/>
        <v>100</v>
      </c>
      <c r="V39" s="774" t="s">
        <v>17</v>
      </c>
      <c r="W39" s="775">
        <f t="shared" si="12"/>
        <v>100</v>
      </c>
      <c r="X39" s="1812"/>
      <c r="Y39" s="3197"/>
      <c r="Z39" s="1813">
        <f t="shared" si="13"/>
        <v>111</v>
      </c>
      <c r="AA39" s="1810">
        <f t="shared" si="3"/>
        <v>1</v>
      </c>
      <c r="AB39" s="1810">
        <f t="shared" si="4"/>
        <v>1</v>
      </c>
      <c r="AC39" s="1810">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7"/>
      <c r="Q40" s="1809">
        <f t="shared" si="14"/>
        <v>111</v>
      </c>
      <c r="R40" s="777" t="s">
        <v>17</v>
      </c>
      <c r="S40" s="778">
        <f t="shared" si="10"/>
        <v>100</v>
      </c>
      <c r="T40" s="777" t="s">
        <v>17</v>
      </c>
      <c r="U40" s="778">
        <f t="shared" si="11"/>
        <v>100</v>
      </c>
      <c r="V40" s="777" t="s">
        <v>17</v>
      </c>
      <c r="W40" s="778">
        <f t="shared" si="12"/>
        <v>100</v>
      </c>
      <c r="X40" s="779"/>
      <c r="Y40" s="3197"/>
      <c r="Z40" s="780">
        <f t="shared" si="13"/>
        <v>111</v>
      </c>
      <c r="AA40" s="1810">
        <f t="shared" si="3"/>
        <v>1</v>
      </c>
      <c r="AB40" s="1810">
        <f t="shared" si="4"/>
        <v>1</v>
      </c>
      <c r="AC40" s="1810">
        <f t="shared" si="5"/>
        <v>1</v>
      </c>
    </row>
    <row r="41" spans="1:29" ht="15">
      <c r="A41" s="479" t="s">
        <v>2724</v>
      </c>
      <c r="B41" s="2703" t="s">
        <v>2804</v>
      </c>
      <c r="C41" s="682" t="s">
        <v>1</v>
      </c>
      <c r="D41" s="481"/>
      <c r="E41" s="482"/>
      <c r="F41" s="483"/>
      <c r="G41" s="484"/>
      <c r="H41" s="485"/>
      <c r="I41" s="482"/>
      <c r="J41" s="485"/>
      <c r="K41" s="783"/>
      <c r="L41" s="1141"/>
      <c r="M41" s="1129"/>
      <c r="N41" s="1129"/>
      <c r="O41" s="1142"/>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1"/>
      <c r="M42" s="1129"/>
      <c r="N42" s="1129"/>
      <c r="O42" s="1142"/>
      <c r="P42" s="3190" t="str">
        <f>A42</f>
        <v>比较价值（元/平方米）</v>
      </c>
      <c r="Q42" s="3190"/>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1"/>
      <c r="M43" s="1129"/>
      <c r="N43" s="1129"/>
      <c r="O43" s="1142"/>
      <c r="P43" s="3187" t="str">
        <f>A43</f>
        <v>估价对象XX用房的比较价值（楼面单价，元/平方米）</v>
      </c>
      <c r="Q43" s="3188"/>
      <c r="R43" s="3280" t="e">
        <f>ROUND(AVERAGE(R42:V42),0)</f>
        <v>#DIV/0!</v>
      </c>
      <c r="S43" s="3280"/>
      <c r="T43" s="3280"/>
      <c r="U43" s="3280"/>
      <c r="V43" s="3280"/>
      <c r="W43" s="3280"/>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2762</v>
      </c>
      <c r="B50" s="685" t="s">
        <v>2763</v>
      </c>
      <c r="C50" s="2704" t="s">
        <v>2764</v>
      </c>
      <c r="D50" s="2705" t="s">
        <v>2765</v>
      </c>
      <c r="E50" s="686" t="s">
        <v>2766</v>
      </c>
      <c r="F50" s="687" t="s">
        <v>2767</v>
      </c>
      <c r="G50" s="3205" t="s">
        <v>2768</v>
      </c>
      <c r="H50" s="3281"/>
      <c r="I50" s="1813" t="s">
        <v>2805</v>
      </c>
      <c r="J50" s="1813">
        <f>项目基本情况!F35</f>
        <v>0</v>
      </c>
      <c r="K50" s="2707" t="s">
        <v>2770</v>
      </c>
      <c r="L50" s="1104"/>
      <c r="M50" s="1142"/>
      <c r="N50" s="1142"/>
      <c r="O50" s="1142"/>
    </row>
    <row r="51" spans="1:17" s="692" customFormat="1">
      <c r="A51" s="688" t="s">
        <v>2771</v>
      </c>
      <c r="B51" s="689" t="e">
        <f>C43</f>
        <v>#DIV/0!</v>
      </c>
      <c r="C51" s="690">
        <v>1</v>
      </c>
      <c r="D51" s="1161">
        <v>1</v>
      </c>
      <c r="E51" s="690">
        <f>'数据-汇总表'!E8+'数据-汇总表'!E9</f>
        <v>39349.9</v>
      </c>
      <c r="F51" s="691" t="e">
        <f t="shared" ref="F51:F60" si="15">ROUND(B51*E51/10000,0)</f>
        <v>#DIV/0!</v>
      </c>
      <c r="G51" s="3201"/>
      <c r="H51" s="3190"/>
      <c r="I51" s="940">
        <v>1</v>
      </c>
      <c r="J51" s="940">
        <v>1</v>
      </c>
      <c r="K51" s="1143"/>
      <c r="L51" s="939"/>
      <c r="M51" s="939"/>
      <c r="N51" s="939"/>
      <c r="O51" s="939"/>
    </row>
    <row r="52" spans="1:17" s="692" customFormat="1">
      <c r="A52" s="693" t="s">
        <v>2772</v>
      </c>
      <c r="B52" s="262" t="e">
        <f>ROUND($C$43*C52*D52,0)</f>
        <v>#DIV/0!</v>
      </c>
      <c r="C52" s="200">
        <f t="shared" ref="C52:C60" si="16">IF($C$50="北京市系数",I52,J52)</f>
        <v>0</v>
      </c>
      <c r="D52" s="1162">
        <v>0.25</v>
      </c>
      <c r="E52" s="694"/>
      <c r="F52" s="691" t="e">
        <f t="shared" si="15"/>
        <v>#DIV/0!</v>
      </c>
      <c r="G52" s="3282" t="s">
        <v>2773</v>
      </c>
      <c r="H52" s="1102">
        <f>项目基本情况!B37</f>
        <v>0</v>
      </c>
      <c r="I52" s="940">
        <f>SUMIF(修正!A45:A56,H52,修正!B45:B56)</f>
        <v>0</v>
      </c>
      <c r="J52" s="941"/>
      <c r="K52" s="1142"/>
      <c r="L52" s="939"/>
      <c r="M52" s="939"/>
      <c r="N52" s="939"/>
      <c r="O52" s="939"/>
    </row>
    <row r="53" spans="1:17" s="692" customFormat="1">
      <c r="A53" s="693" t="s">
        <v>2774</v>
      </c>
      <c r="B53" s="262" t="e">
        <f t="shared" ref="B53:B60" si="17">ROUND($C$43*C53*D53,0)</f>
        <v>#DIV/0!</v>
      </c>
      <c r="C53" s="200">
        <f t="shared" si="16"/>
        <v>0</v>
      </c>
      <c r="D53" s="1162">
        <v>0.25</v>
      </c>
      <c r="E53" s="694"/>
      <c r="F53" s="691" t="e">
        <f t="shared" si="15"/>
        <v>#DIV/0!</v>
      </c>
      <c r="G53" s="3282"/>
      <c r="H53" s="1102">
        <f>项目基本情况!B37</f>
        <v>0</v>
      </c>
      <c r="I53" s="940">
        <f>SUMIF(修正!A45:A56,H53,修正!C45:C56)</f>
        <v>0</v>
      </c>
      <c r="J53" s="941"/>
      <c r="K53" s="1143"/>
      <c r="L53" s="939"/>
      <c r="M53" s="939"/>
      <c r="N53" s="939"/>
      <c r="O53" s="939"/>
    </row>
    <row r="54" spans="1:17" s="692" customFormat="1">
      <c r="A54" s="693" t="s">
        <v>2775</v>
      </c>
      <c r="B54" s="262" t="e">
        <f t="shared" si="17"/>
        <v>#DIV/0!</v>
      </c>
      <c r="C54" s="200">
        <f t="shared" si="16"/>
        <v>0</v>
      </c>
      <c r="D54" s="1162">
        <v>0.25</v>
      </c>
      <c r="E54" s="694"/>
      <c r="F54" s="691" t="e">
        <f t="shared" si="15"/>
        <v>#DIV/0!</v>
      </c>
      <c r="G54" s="3282"/>
      <c r="H54" s="1102">
        <f>项目基本情况!B37</f>
        <v>0</v>
      </c>
      <c r="I54" s="940">
        <f>SUMIF(修正!A45:A56,H54,修正!D45:D56)</f>
        <v>0</v>
      </c>
      <c r="J54" s="941"/>
      <c r="K54" s="1142"/>
      <c r="L54" s="939"/>
      <c r="M54" s="939"/>
      <c r="N54" s="939"/>
      <c r="O54" s="939"/>
    </row>
    <row r="55" spans="1:17" s="692" customFormat="1">
      <c r="A55" s="693" t="s">
        <v>2776</v>
      </c>
      <c r="B55" s="262" t="e">
        <f t="shared" si="17"/>
        <v>#DIV/0!</v>
      </c>
      <c r="C55" s="200">
        <f t="shared" si="16"/>
        <v>0</v>
      </c>
      <c r="D55" s="1162">
        <v>0.25</v>
      </c>
      <c r="E55" s="694"/>
      <c r="F55" s="691" t="e">
        <f t="shared" si="15"/>
        <v>#DIV/0!</v>
      </c>
      <c r="G55" s="3282"/>
      <c r="H55" s="1102">
        <f>项目基本情况!B37</f>
        <v>0</v>
      </c>
      <c r="I55" s="940">
        <f>SUMIF(修正!A45:A56,H55,修正!E45:E56)</f>
        <v>0</v>
      </c>
      <c r="J55" s="941"/>
      <c r="K55" s="1143"/>
      <c r="L55" s="939"/>
      <c r="M55" s="939"/>
      <c r="N55" s="939"/>
      <c r="O55" s="939"/>
    </row>
    <row r="56" spans="1:17" s="692" customFormat="1">
      <c r="A56" s="693" t="s">
        <v>2777</v>
      </c>
      <c r="B56" s="262" t="e">
        <f t="shared" si="17"/>
        <v>#DIV/0!</v>
      </c>
      <c r="C56" s="200">
        <f t="shared" si="16"/>
        <v>0</v>
      </c>
      <c r="D56" s="1162">
        <v>0.25</v>
      </c>
      <c r="E56" s="261">
        <f>'数据-汇总表'!E11</f>
        <v>0</v>
      </c>
      <c r="F56" s="691" t="e">
        <f t="shared" si="15"/>
        <v>#DIV/0!</v>
      </c>
      <c r="G56" s="2708" t="s">
        <v>2778</v>
      </c>
      <c r="H56" s="1102">
        <f>项目基本情况!C37</f>
        <v>0</v>
      </c>
      <c r="I56" s="940">
        <f>SUMIF(修正!A45:A56,H56,修正!F45:F56)</f>
        <v>0</v>
      </c>
      <c r="J56" s="941"/>
      <c r="K56" s="1142"/>
      <c r="L56" s="939"/>
      <c r="M56" s="939"/>
      <c r="N56" s="939"/>
      <c r="O56" s="939"/>
    </row>
    <row r="57" spans="1:17" s="692" customFormat="1">
      <c r="A57" s="693" t="s">
        <v>2779</v>
      </c>
      <c r="B57" s="262" t="e">
        <f t="shared" si="17"/>
        <v>#DIV/0!</v>
      </c>
      <c r="C57" s="200">
        <f t="shared" si="16"/>
        <v>0</v>
      </c>
      <c r="D57" s="1162">
        <v>0.25</v>
      </c>
      <c r="E57" s="261">
        <f>'数据-汇总表'!E12</f>
        <v>0</v>
      </c>
      <c r="F57" s="691" t="e">
        <f t="shared" si="15"/>
        <v>#DIV/0!</v>
      </c>
      <c r="G57" s="1107" t="s">
        <v>2780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2781</v>
      </c>
      <c r="B58" s="262" t="e">
        <f t="shared" si="17"/>
        <v>#DIV/0!</v>
      </c>
      <c r="C58" s="200">
        <f t="shared" si="16"/>
        <v>0</v>
      </c>
      <c r="D58" s="1162">
        <v>0.25</v>
      </c>
      <c r="E58" s="261">
        <f>'数据-汇总表'!E13</f>
        <v>0</v>
      </c>
      <c r="F58" s="691" t="e">
        <f t="shared" si="15"/>
        <v>#DIV/0!</v>
      </c>
      <c r="G58" s="1107" t="s">
        <v>2782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2783</v>
      </c>
      <c r="B59" s="262" t="e">
        <f t="shared" si="17"/>
        <v>#DIV/0!</v>
      </c>
      <c r="C59" s="200">
        <f t="shared" si="16"/>
        <v>0</v>
      </c>
      <c r="D59" s="1162">
        <v>0.25</v>
      </c>
      <c r="E59" s="261">
        <f>'数据-汇总表'!E14</f>
        <v>7609.71</v>
      </c>
      <c r="F59" s="691" t="e">
        <f t="shared" si="15"/>
        <v>#DIV/0!</v>
      </c>
      <c r="G59" s="2708" t="s">
        <v>2773</v>
      </c>
      <c r="H59" s="1102">
        <f>项目基本情况!B37</f>
        <v>0</v>
      </c>
      <c r="I59" s="940">
        <f>SUMIF(修正!A45:A56,H59,修正!H45:H56)</f>
        <v>0</v>
      </c>
      <c r="J59" s="941"/>
      <c r="K59" s="1143"/>
      <c r="L59" s="939"/>
      <c r="M59" s="939"/>
      <c r="N59" s="939"/>
      <c r="O59" s="939"/>
    </row>
    <row r="60" spans="1:17" s="692" customFormat="1" ht="15" thickBot="1">
      <c r="A60" s="693" t="s">
        <v>2784</v>
      </c>
      <c r="B60" s="262" t="e">
        <f t="shared" si="17"/>
        <v>#DIV/0!</v>
      </c>
      <c r="C60" s="200">
        <f t="shared" si="16"/>
        <v>0</v>
      </c>
      <c r="D60" s="1162">
        <v>0.25</v>
      </c>
      <c r="E60" s="261">
        <f>'数据-汇总表'!E15</f>
        <v>0</v>
      </c>
      <c r="F60" s="691" t="e">
        <f t="shared" si="15"/>
        <v>#DIV/0!</v>
      </c>
      <c r="G60" s="2709" t="s">
        <v>2778</v>
      </c>
      <c r="H60" s="1112">
        <f>项目基本情况!C37</f>
        <v>0</v>
      </c>
      <c r="I60" s="940">
        <f>SUMIF(修正!A45:A56,H60,修正!H45:H56)</f>
        <v>0</v>
      </c>
      <c r="J60" s="941"/>
      <c r="K60" s="1142"/>
      <c r="L60" s="939"/>
      <c r="M60" s="939"/>
      <c r="N60" s="939"/>
      <c r="O60" s="939"/>
    </row>
    <row r="61" spans="1:17" s="692" customFormat="1" ht="15" thickBot="1">
      <c r="A61" s="695" t="s">
        <v>2785</v>
      </c>
      <c r="B61" s="696" t="s">
        <v>28</v>
      </c>
      <c r="C61" s="696" t="s">
        <v>29</v>
      </c>
      <c r="D61" s="696" t="s">
        <v>1029</v>
      </c>
      <c r="E61" s="696">
        <f>IF(B41="楼面地价",SUM(E51:E60),'数据-汇总表'!D3)</f>
        <v>11435.33</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2678</v>
      </c>
      <c r="B64" s="759"/>
      <c r="C64" s="764"/>
      <c r="D64" s="764"/>
      <c r="E64" s="764"/>
      <c r="F64" s="765"/>
      <c r="G64" s="765"/>
      <c r="H64" s="764"/>
      <c r="I64" s="764"/>
      <c r="J64" s="764"/>
      <c r="K64" s="766"/>
      <c r="L64" s="767"/>
      <c r="M64" s="764"/>
      <c r="N64" s="764"/>
      <c r="O64" s="1157"/>
      <c r="P64" s="503"/>
      <c r="Q64" s="504"/>
    </row>
    <row r="65" spans="1:17" s="508" customFormat="1" ht="15">
      <c r="A65" s="2710" t="s">
        <v>2786</v>
      </c>
      <c r="B65" s="1357"/>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5" t="s">
        <v>2806</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2592</v>
      </c>
      <c r="B70" s="528" t="s">
        <v>2558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2808</v>
      </c>
      <c r="B1" s="241"/>
      <c r="C1" s="245" t="s">
        <v>2809</v>
      </c>
      <c r="D1" s="388">
        <f>SUM(D29:D30,D33:D39)</f>
        <v>0</v>
      </c>
      <c r="E1" s="2716"/>
      <c r="F1" s="2716"/>
      <c r="G1" s="2716"/>
      <c r="H1" s="2716"/>
      <c r="I1" s="2716"/>
      <c r="J1" s="2716"/>
      <c r="K1" s="1368"/>
      <c r="L1" s="2717" t="s">
        <v>2810</v>
      </c>
      <c r="M1" s="1078">
        <f>SUMPRODUCT((区片价!B5:B9=I2)*(区片价!C3:F3=E2)*(区片价!C5:F9))</f>
        <v>0</v>
      </c>
      <c r="N1" s="1081">
        <f>SUMPRODUCT((因素修正幅度!B5:B9=I2)*(因素修正幅度!C3:F3=E2)*(因素修正幅度!C5:F9))</f>
        <v>0</v>
      </c>
      <c r="O1" s="2718"/>
      <c r="P1" s="2718"/>
      <c r="Q1" s="1368"/>
      <c r="R1" s="1601" t="s">
        <v>2811</v>
      </c>
      <c r="S1" s="1601" t="s">
        <v>2812</v>
      </c>
      <c r="T1" s="1601" t="s">
        <v>2813</v>
      </c>
      <c r="U1" s="1601" t="s">
        <v>2814</v>
      </c>
      <c r="V1" s="1601" t="s">
        <v>2815</v>
      </c>
      <c r="W1" s="1605"/>
      <c r="X1" s="1605"/>
      <c r="Y1" s="1605"/>
      <c r="Z1" s="1605"/>
      <c r="AA1" s="1605"/>
      <c r="AB1" s="1605"/>
      <c r="AC1" s="1606"/>
      <c r="AD1" s="1607"/>
      <c r="AE1" s="1607"/>
      <c r="AF1" s="1607"/>
      <c r="AG1" s="1607"/>
      <c r="AH1" s="1607"/>
      <c r="AI1" s="1607"/>
      <c r="AJ1" s="1608"/>
    </row>
    <row r="2" spans="1:36" ht="15.75">
      <c r="A2" s="245" t="s">
        <v>2816</v>
      </c>
      <c r="B2" s="248" t="e">
        <f>C26</f>
        <v>#DIV/0!</v>
      </c>
      <c r="C2" s="2720" t="s">
        <v>2817</v>
      </c>
      <c r="D2" s="2721" t="s">
        <v>2818</v>
      </c>
      <c r="E2" s="2722"/>
      <c r="F2" s="2721" t="s">
        <v>2819</v>
      </c>
      <c r="G2" s="2723">
        <f>IF(E2="商业",项目基本情况!B37,IF(E2="办公",项目基本情况!C37,IF(E2="住宅",项目基本情况!D37,项目基本情况!E37)))</f>
        <v>0</v>
      </c>
      <c r="H2" s="2721" t="s">
        <v>2820</v>
      </c>
      <c r="I2" s="2723">
        <f>IF(E2="商业",项目基本情况!B38,IF(E2="办公",项目基本情况!C38,IF(E2="住宅",项目基本情况!D38,项目基本情况!E38)))</f>
        <v>0</v>
      </c>
      <c r="J2" s="2724"/>
      <c r="K2" s="1368"/>
      <c r="L2" s="2725" t="s">
        <v>2821</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2822</v>
      </c>
      <c r="B3" s="248" t="e">
        <f>ROUND(B2*10000/D1,0)</f>
        <v>#DIV/0!</v>
      </c>
      <c r="C3" s="2720" t="s">
        <v>2823</v>
      </c>
      <c r="D3" s="2721" t="s">
        <v>2824</v>
      </c>
      <c r="E3" s="2726"/>
      <c r="F3" s="2727" t="s">
        <v>2825</v>
      </c>
      <c r="G3" s="911">
        <f>IF(F3="宗地容积率",'数据-汇总表'!I4,IF(F3="估价对象容积率",'数据-汇总表'!I6,'数据-汇总表'!I7))</f>
        <v>3.55</v>
      </c>
      <c r="H3" s="198" t="s">
        <v>2826</v>
      </c>
      <c r="I3" s="942"/>
      <c r="J3" s="2724" t="s">
        <v>2827</v>
      </c>
      <c r="K3" s="1368"/>
      <c r="L3" s="2725" t="s">
        <v>2828</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68"/>
      <c r="L4" s="2725" t="s">
        <v>2829</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2830</v>
      </c>
      <c r="C5" s="912" t="e">
        <f>ROUND(IF(E2="商业",IF(F16="增加",C6*C7+C16,C6*C7-C16),IF(E2="住宅",IF(F16="增加",C6*C12+C16,C6*C12-C16),IF(F16="增加",C6+C16,C6-C16))),0)</f>
        <v>#DIV/0!</v>
      </c>
      <c r="D5" s="1786">
        <f>ROUND(IF(E2="商业",IF(F16="增加",C6+C16,C6-C16)),0)</f>
        <v>0</v>
      </c>
      <c r="E5" s="2730"/>
      <c r="F5" s="2730"/>
      <c r="G5" s="2731"/>
      <c r="H5" s="2731"/>
      <c r="I5" s="2731"/>
      <c r="J5" s="2732"/>
      <c r="K5" s="2733"/>
      <c r="L5" s="2725" t="s">
        <v>2831</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2832</v>
      </c>
      <c r="B6" s="2739" t="s">
        <v>2833</v>
      </c>
      <c r="C6" s="913">
        <f>SUMIF(L1:L12,G2,M1:M12)</f>
        <v>0</v>
      </c>
      <c r="D6" s="2740" t="s">
        <v>2834</v>
      </c>
      <c r="E6" s="2741"/>
      <c r="F6" s="2741"/>
      <c r="G6" s="2742"/>
      <c r="H6" s="2742"/>
      <c r="I6" s="2742"/>
      <c r="J6" s="2743"/>
      <c r="K6" s="1841"/>
      <c r="L6" s="2725" t="s">
        <v>2835</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94" t="str">
        <f>IF(E2="商业",IF(C8="不临58条商业街","",2),"")</f>
        <v/>
      </c>
      <c r="B7" s="2744" t="s">
        <v>2836</v>
      </c>
      <c r="C7" s="914" t="e">
        <f>IF(C8="不临58条商业街",1,ROUND(1+(1.6*E8+1.2*E9+0.8*E10+0.4*E11)*C9,4))</f>
        <v>#DIV/0!</v>
      </c>
      <c r="D7" s="2745" t="s">
        <v>2837</v>
      </c>
      <c r="E7" s="943"/>
      <c r="F7" s="2746"/>
      <c r="G7" s="2747"/>
      <c r="H7" s="2747"/>
      <c r="I7" s="2747"/>
      <c r="J7" s="2748"/>
      <c r="K7" s="1841"/>
      <c r="L7" s="2725" t="s">
        <v>2838</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2839</v>
      </c>
      <c r="X7" s="1603">
        <f>G2</f>
        <v>0</v>
      </c>
      <c r="Y7" s="1603" t="s">
        <v>2840</v>
      </c>
      <c r="Z7" s="1604">
        <f>G3</f>
        <v>3.55</v>
      </c>
      <c r="AA7" s="1605"/>
      <c r="AB7" s="1605"/>
      <c r="AC7" s="1606"/>
      <c r="AD7" s="1607"/>
      <c r="AE7" s="1607"/>
      <c r="AF7" s="1607"/>
      <c r="AG7" s="1607"/>
      <c r="AH7" s="1607"/>
      <c r="AI7" s="1607"/>
      <c r="AJ7" s="1608"/>
    </row>
    <row r="8" spans="1:36" ht="15">
      <c r="A8" s="3295"/>
      <c r="B8" s="198" t="s">
        <v>2841</v>
      </c>
      <c r="C8" s="2749"/>
      <c r="D8" s="915" t="s">
        <v>139</v>
      </c>
      <c r="E8" s="916" t="e">
        <f>ROUND(C11/E7,4)</f>
        <v>#DIV/0!</v>
      </c>
      <c r="F8" s="2750" t="s">
        <v>2842</v>
      </c>
      <c r="G8" s="2751"/>
      <c r="H8" s="2751"/>
      <c r="I8" s="2751"/>
      <c r="J8" s="2752"/>
      <c r="K8" s="1368"/>
      <c r="L8" s="2725" t="s">
        <v>2843</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87" t="s">
        <v>2844</v>
      </c>
      <c r="X8" s="3288"/>
      <c r="Y8" s="1609" t="s">
        <v>2845</v>
      </c>
      <c r="Z8" s="1609" t="s">
        <v>2846</v>
      </c>
      <c r="AA8" s="1609" t="s">
        <v>2847</v>
      </c>
      <c r="AB8" s="1609" t="s">
        <v>2848</v>
      </c>
      <c r="AC8" s="1609" t="s">
        <v>2849</v>
      </c>
      <c r="AD8" s="1609" t="s">
        <v>2850</v>
      </c>
      <c r="AE8" s="1609" t="s">
        <v>2851</v>
      </c>
      <c r="AF8" s="1609" t="s">
        <v>2852</v>
      </c>
      <c r="AG8" s="1609" t="s">
        <v>2853</v>
      </c>
      <c r="AH8" s="1609" t="s">
        <v>2854</v>
      </c>
      <c r="AI8" s="1609" t="s">
        <v>2855</v>
      </c>
      <c r="AJ8" s="1609" t="s">
        <v>2856</v>
      </c>
    </row>
    <row r="9" spans="1:36" ht="15">
      <c r="A9" s="3295"/>
      <c r="B9" s="198" t="s">
        <v>2857</v>
      </c>
      <c r="C9" s="917">
        <f>SUMIF(修正!C59:C119,C8,修正!E59:E119)</f>
        <v>0</v>
      </c>
      <c r="D9" s="200" t="s">
        <v>140</v>
      </c>
      <c r="E9" s="200" t="e">
        <f>ROUND(C11/E7,4)</f>
        <v>#DIV/0!</v>
      </c>
      <c r="F9" s="2750" t="s">
        <v>2858</v>
      </c>
      <c r="G9" s="2751"/>
      <c r="H9" s="2751"/>
      <c r="I9" s="2751"/>
      <c r="J9" s="2752"/>
      <c r="K9" s="1368"/>
      <c r="L9" s="2725" t="s">
        <v>2859</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89" t="s">
        <v>2860</v>
      </c>
      <c r="X9" s="1610" t="s">
        <v>2861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5"/>
      <c r="B10" s="198" t="s">
        <v>2862</v>
      </c>
      <c r="C10" s="200">
        <f>SUMIF(修正!C59:C119,C8,修正!F59:F119)</f>
        <v>0</v>
      </c>
      <c r="D10" s="200" t="s">
        <v>141</v>
      </c>
      <c r="E10" s="200" t="e">
        <f>ROUND(C11/E7,4)</f>
        <v>#DIV/0!</v>
      </c>
      <c r="F10" s="2750" t="s">
        <v>2863</v>
      </c>
      <c r="G10" s="2751"/>
      <c r="H10" s="2751"/>
      <c r="I10" s="2751"/>
      <c r="J10" s="2752"/>
      <c r="K10" s="1368"/>
      <c r="L10" s="2725" t="s">
        <v>2864</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5"/>
      <c r="B11" s="2753" t="s">
        <v>2865</v>
      </c>
      <c r="C11" s="918">
        <f>C10/4</f>
        <v>0</v>
      </c>
      <c r="D11" s="918" t="s">
        <v>142</v>
      </c>
      <c r="E11" s="918" t="e">
        <f>ROUND(C11/E7,4)</f>
        <v>#DIV/0!</v>
      </c>
      <c r="F11" s="2754" t="s">
        <v>2866</v>
      </c>
      <c r="G11" s="2755"/>
      <c r="H11" s="2755"/>
      <c r="I11" s="2755"/>
      <c r="J11" s="2756"/>
      <c r="K11" s="1368"/>
      <c r="L11" s="2725" t="s">
        <v>2867</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89" t="s">
        <v>2868</v>
      </c>
      <c r="X11" s="1613" t="s">
        <v>2869</v>
      </c>
      <c r="Y11" s="1614">
        <f>$G$3</f>
        <v>3.55</v>
      </c>
      <c r="Z11" s="1614">
        <f t="shared" ref="Z11:AJ11" si="3">$G$3</f>
        <v>3.55</v>
      </c>
      <c r="AA11" s="1614">
        <f t="shared" si="3"/>
        <v>3.55</v>
      </c>
      <c r="AB11" s="1614">
        <f t="shared" si="3"/>
        <v>3.55</v>
      </c>
      <c r="AC11" s="1614">
        <f t="shared" si="3"/>
        <v>3.55</v>
      </c>
      <c r="AD11" s="1614">
        <f t="shared" si="3"/>
        <v>3.55</v>
      </c>
      <c r="AE11" s="1614">
        <f t="shared" si="3"/>
        <v>3.55</v>
      </c>
      <c r="AF11" s="1614">
        <f t="shared" si="3"/>
        <v>3.55</v>
      </c>
      <c r="AG11" s="1614">
        <f t="shared" si="3"/>
        <v>3.55</v>
      </c>
      <c r="AH11" s="1614">
        <f t="shared" si="3"/>
        <v>3.55</v>
      </c>
      <c r="AI11" s="1614">
        <f t="shared" si="3"/>
        <v>3.55</v>
      </c>
      <c r="AJ11" s="1614">
        <f t="shared" si="3"/>
        <v>3.55</v>
      </c>
    </row>
    <row r="12" spans="1:36" ht="25.5" thickBot="1">
      <c r="A12" s="3294" t="s">
        <v>2870</v>
      </c>
      <c r="B12" s="2757" t="s">
        <v>2871</v>
      </c>
      <c r="C12" s="914">
        <f>ROUND(C15*D15*E15*F15*G15*H15*I15*J15,4)</f>
        <v>1</v>
      </c>
      <c r="D12" s="2758" t="s">
        <v>2872</v>
      </c>
      <c r="E12" s="2759"/>
      <c r="F12" s="2759"/>
      <c r="G12" s="2760"/>
      <c r="H12" s="2760"/>
      <c r="I12" s="2760"/>
      <c r="J12" s="2761"/>
      <c r="K12" s="1368"/>
      <c r="L12" s="2762" t="s">
        <v>2873</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89"/>
      <c r="X12" s="1615" t="s">
        <v>2874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6"/>
      <c r="B13" s="2763" t="s">
        <v>2875</v>
      </c>
      <c r="C13" s="2764" t="s">
        <v>2876</v>
      </c>
      <c r="D13" s="1807" t="s">
        <v>2877</v>
      </c>
      <c r="E13" s="1807" t="s">
        <v>2878</v>
      </c>
      <c r="F13" s="30" t="s">
        <v>2879</v>
      </c>
      <c r="G13" s="2765" t="s">
        <v>2880</v>
      </c>
      <c r="H13" s="2765" t="s">
        <v>2880</v>
      </c>
      <c r="I13" s="2765" t="s">
        <v>2880</v>
      </c>
      <c r="J13" s="2766" t="s">
        <v>2880</v>
      </c>
      <c r="K13" s="1368"/>
      <c r="L13" s="1368"/>
      <c r="M13" s="1368"/>
      <c r="N13" s="1368"/>
      <c r="O13" s="1368"/>
      <c r="P13" s="1368"/>
      <c r="Q13" s="1368"/>
      <c r="R13" s="1601">
        <v>12</v>
      </c>
      <c r="S13" s="1602"/>
      <c r="T13" s="1601" t="e">
        <f t="shared" si="0"/>
        <v>#DIV/0!</v>
      </c>
      <c r="U13" s="1602"/>
      <c r="V13" s="1601" t="e">
        <f t="shared" si="1"/>
        <v>#DIV/0!</v>
      </c>
      <c r="W13" s="3289"/>
      <c r="X13" s="1615"/>
      <c r="Y13" s="1612">
        <f>(-0.163*(Y12^2)-0.59*Y12+7617)*(10^(-4))/Y11</f>
        <v>0.21456338028169017</v>
      </c>
      <c r="Z13" s="1612">
        <f t="shared" ref="Z13:AJ13" si="5">(-0.163*(Z12^2)-0.59*Z12+7617)*(10^(-4))/Z11</f>
        <v>0.21456338028169017</v>
      </c>
      <c r="AA13" s="1612">
        <f t="shared" si="5"/>
        <v>0.21456338028169017</v>
      </c>
      <c r="AB13" s="1612">
        <f t="shared" si="5"/>
        <v>0.21456338028169017</v>
      </c>
      <c r="AC13" s="1612">
        <f t="shared" si="5"/>
        <v>0.21456338028169017</v>
      </c>
      <c r="AD13" s="1612">
        <f t="shared" si="5"/>
        <v>0.21456338028169017</v>
      </c>
      <c r="AE13" s="1612">
        <f t="shared" si="5"/>
        <v>0.21456338028169017</v>
      </c>
      <c r="AF13" s="1612">
        <f t="shared" si="5"/>
        <v>0.21456338028169017</v>
      </c>
      <c r="AG13" s="1612">
        <f t="shared" si="5"/>
        <v>0.21456338028169017</v>
      </c>
      <c r="AH13" s="1612">
        <f t="shared" si="5"/>
        <v>0.21456338028169017</v>
      </c>
      <c r="AI13" s="1612">
        <f t="shared" si="5"/>
        <v>0.21456338028169017</v>
      </c>
      <c r="AJ13" s="1612">
        <f t="shared" si="5"/>
        <v>0.21456338028169017</v>
      </c>
    </row>
    <row r="14" spans="1:36" ht="15">
      <c r="A14" s="3296"/>
      <c r="B14" s="2767"/>
      <c r="C14" s="2768"/>
      <c r="D14" s="2769"/>
      <c r="E14" s="2769"/>
      <c r="F14" s="2770"/>
      <c r="G14" s="2771" t="s">
        <v>2881</v>
      </c>
      <c r="H14" s="2772"/>
      <c r="I14" s="2773"/>
      <c r="J14" s="2774"/>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7"/>
      <c r="B15" s="2775" t="s">
        <v>2882</v>
      </c>
      <c r="C15" s="229">
        <f>IF(C14="有",1.1,1)</f>
        <v>1</v>
      </c>
      <c r="D15" s="229">
        <f>IF(D14="有",1.1,1)</f>
        <v>1</v>
      </c>
      <c r="E15" s="229">
        <f>IF(E14="有",1.1,1)</f>
        <v>1</v>
      </c>
      <c r="F15" s="229">
        <f>IF(F14="500米范围内",1.2,IF(F14="500-1000米",1.1,1))</f>
        <v>1</v>
      </c>
      <c r="G15" s="944">
        <v>1</v>
      </c>
      <c r="H15" s="944">
        <v>1</v>
      </c>
      <c r="I15" s="944">
        <v>1</v>
      </c>
      <c r="J15" s="945">
        <v>1</v>
      </c>
      <c r="K15" s="1368"/>
      <c r="L15" s="2776" t="s">
        <v>2818</v>
      </c>
      <c r="M15" s="915" t="s">
        <v>2883</v>
      </c>
      <c r="N15" s="915" t="s">
        <v>2884</v>
      </c>
      <c r="O15" s="915" t="s">
        <v>2885</v>
      </c>
      <c r="P15" s="2777" t="s">
        <v>2886</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4" t="s">
        <v>2887</v>
      </c>
      <c r="B16" s="2744" t="s">
        <v>2888</v>
      </c>
      <c r="C16" s="1800" t="e">
        <f>ROUND(SUM(G17:J17)/C17,0)</f>
        <v>#DIV/0!</v>
      </c>
      <c r="D16" s="2778" t="s">
        <v>2889</v>
      </c>
      <c r="E16" s="2779"/>
      <c r="F16" s="2780"/>
      <c r="G16" s="2781"/>
      <c r="H16" s="2781"/>
      <c r="I16" s="2781"/>
      <c r="J16" s="2782"/>
      <c r="K16" s="1368"/>
      <c r="L16" s="2783" t="s">
        <v>2890</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784" t="s">
        <v>2891</v>
      </c>
      <c r="C17" s="919">
        <f>SUMPRODUCT((修正!A2:A5=E2)*(修正!B1:M1=G2)*(修正!B2:M5))</f>
        <v>0</v>
      </c>
      <c r="D17" s="2785" t="s">
        <v>2892</v>
      </c>
      <c r="E17" s="918" t="str">
        <f>IF(OR(G2="八级",G2="九级",G2="十级",G2="十一级",G2="十二级"),"五通一平","七通一平")</f>
        <v>七通一平</v>
      </c>
      <c r="F17" s="919" t="s">
        <v>2893</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2894</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2895</v>
      </c>
      <c r="C18" s="921">
        <f>SUMIF(修正!C18:C39,E3,修正!E18:E39)</f>
        <v>0</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7.75" thickBot="1">
      <c r="A19" s="2788" t="s">
        <v>809</v>
      </c>
      <c r="B19" s="2789" t="s">
        <v>2896</v>
      </c>
      <c r="C19" s="922" t="e">
        <f>ROUND(IF(H19="按公示增长率计算",SUMPRODUCT((地价!A3:A20=YEAR(G19)&amp;"-"&amp;ROUNDUP(MONTH(G19)/3,0))*(地价!X2:AB2=E2)*(地价!X3:AB20)),IF(H19="地价指数",M20/M19,(1+I19)^O19)),4)</f>
        <v>#DIV/0!</v>
      </c>
      <c r="D19" s="2796" t="s">
        <v>2897</v>
      </c>
      <c r="E19" s="923">
        <v>41640</v>
      </c>
      <c r="F19" s="2796" t="s">
        <v>2898</v>
      </c>
      <c r="G19" s="924">
        <f>'数据-取费表'!B2</f>
        <v>43444</v>
      </c>
      <c r="H19" s="2797" t="s">
        <v>2899</v>
      </c>
      <c r="I19" s="925" t="str">
        <f>IF(H19="季度增幅（自定义）",SUMIF(N21:N24,E2,O21:O24),"")</f>
        <v/>
      </c>
      <c r="J19" s="2794"/>
      <c r="K19" s="1375"/>
      <c r="L19" s="2798" t="s">
        <v>2900</v>
      </c>
      <c r="M19" s="1733">
        <f>ROUND(SUMIF(地价!B2:F2,E2,地价!B20:F20),0)</f>
        <v>0</v>
      </c>
      <c r="N19" s="2799" t="s">
        <v>2901</v>
      </c>
      <c r="O19" s="926">
        <f>ROUNDDOWN(DATEDIF(E19,G19,"M")/3,0)</f>
        <v>19</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2902</v>
      </c>
      <c r="C20" s="927" t="e">
        <f>ROUND(POWER(1+G20,J20-I20)*(POWER(1+G20,I20)-1)/(POWER(1+G20,J20)-1),4)</f>
        <v>#DIV/0!</v>
      </c>
      <c r="D20" s="2805" t="s">
        <v>2903</v>
      </c>
      <c r="E20" s="1767">
        <f ca="1">存贷款利率!D4/100</f>
        <v>4.3499999999999997E-2</v>
      </c>
      <c r="F20" s="2805" t="s">
        <v>2894</v>
      </c>
      <c r="G20" s="932">
        <f>SUMIF(M15:P15,E2,M17:P17)</f>
        <v>0</v>
      </c>
      <c r="H20" s="2805" t="s">
        <v>2904</v>
      </c>
      <c r="I20" s="933" t="e">
        <f>SUMIF('数据-取费表'!C6:C15,E2,'数据-取费表'!F6:F15)/COUNTIF('数据-取费表'!C6:C15,E2)</f>
        <v>#DIV/0!</v>
      </c>
      <c r="J20" s="934">
        <f>IF(E2="住宅",70,IF(E2="商业",40,50))</f>
        <v>50</v>
      </c>
      <c r="K20" s="1375"/>
      <c r="L20" s="2806" t="s">
        <v>2905</v>
      </c>
      <c r="M20" s="1734">
        <f>ROUND(SUMPRODUCT((地价!A5:A20=YEAR(G19)&amp;"-"&amp;ROUNDUP(MONTH(G19)/3,0))*(地价!B2:F2=E2)*(地价!B5:F20)),0)</f>
        <v>0</v>
      </c>
      <c r="N20" s="2807" t="s">
        <v>2906</v>
      </c>
      <c r="O20" s="2808" t="s">
        <v>2907</v>
      </c>
      <c r="P20" s="2809" t="s">
        <v>2908</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2909</v>
      </c>
      <c r="C21" s="935">
        <f>IF(B21="容积率修正",IF(G3&lt;=10,D22,J22),C23)</f>
        <v>0</v>
      </c>
      <c r="D21" s="2812"/>
      <c r="E21" s="2812"/>
      <c r="F21" s="2812"/>
      <c r="G21" s="2812"/>
      <c r="H21" s="2812"/>
      <c r="I21" s="2812"/>
      <c r="J21" s="2813"/>
      <c r="K21" s="1375"/>
      <c r="N21" s="2814" t="s">
        <v>2910</v>
      </c>
      <c r="O21" s="1560"/>
      <c r="P21" s="1561">
        <f>SUMPRODUCT((地价!A3:A20=YEAR(G19)&amp;"-"&amp;ROUNDUP(MONTH(G19)/3,0))*(地价!AD2:AH2=N21)*(地价!AD3:AH20))</f>
        <v>0</v>
      </c>
      <c r="R21" s="1374"/>
      <c r="S21" s="1374"/>
      <c r="T21" s="1369"/>
      <c r="U21" s="1369"/>
      <c r="V21" s="1369"/>
      <c r="W21" s="1368"/>
      <c r="X21" s="1368"/>
      <c r="Y21" s="1368"/>
      <c r="Z21" s="1375"/>
      <c r="AA21" s="1376"/>
      <c r="AB21" s="1376"/>
      <c r="AC21" s="1376"/>
      <c r="AD21" s="1376"/>
      <c r="AE21" s="1376"/>
      <c r="AF21" s="1376"/>
    </row>
    <row r="22" spans="1:37" s="2737" customFormat="1" ht="14.25">
      <c r="A22" s="2663" t="s">
        <v>2911</v>
      </c>
      <c r="B22" s="2815" t="s">
        <v>2912</v>
      </c>
      <c r="C22" s="1809" t="s">
        <v>2913</v>
      </c>
      <c r="D22" s="1809">
        <f>IF(E22=G22,F22,IF(G3&lt;=10,ROUND(F22+(H22-F22)*(G3-E22)/(G22-E22),4),"——"))</f>
        <v>0</v>
      </c>
      <c r="E22" s="911">
        <f>ROUNDDOWN(G3,1)</f>
        <v>3.5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6" t="str">
        <f>IF(G3&gt;10,D113,"——")</f>
        <v>——</v>
      </c>
      <c r="K22" s="1375"/>
      <c r="N22" s="2814" t="s">
        <v>2914</v>
      </c>
      <c r="O22" s="1560"/>
      <c r="P22" s="1561">
        <f>SUMPRODUCT((地价!A3:A20=YEAR(G19)&amp;"-"&amp;ROUNDUP(MONTH(G19)/3,0))*(地价!AD2:AH2=N22)*(地价!AD3:AH20))</f>
        <v>0</v>
      </c>
      <c r="R22" s="1374"/>
      <c r="S22" s="1374"/>
      <c r="T22" s="1369"/>
      <c r="U22" s="1369"/>
      <c r="V22" s="1369"/>
      <c r="W22" s="1368"/>
      <c r="X22" s="1368"/>
      <c r="Y22" s="1368"/>
      <c r="Z22" s="1375"/>
      <c r="AA22" s="1376"/>
      <c r="AB22" s="1376"/>
      <c r="AC22" s="1376"/>
      <c r="AD22" s="1376"/>
      <c r="AE22" s="1376"/>
      <c r="AF22" s="1376"/>
    </row>
    <row r="23" spans="1:37" ht="27.75" thickBot="1">
      <c r="A23" s="2663" t="s">
        <v>2915</v>
      </c>
      <c r="B23" s="2816" t="s">
        <v>2916</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2917</v>
      </c>
      <c r="O23" s="1560"/>
      <c r="P23" s="1561">
        <f>SUMPRODUCT((地价!A3:A20=YEAR(G19)&amp;"-"&amp;ROUNDUP(MONTH(G19)/3,0))*(地价!AD2:AH2=N23)*(地价!AD3:AH20))</f>
        <v>0</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2918</v>
      </c>
      <c r="C24" s="922">
        <f>SUMIF(A45:A88,E2,B45:B88)</f>
        <v>0</v>
      </c>
      <c r="D24" s="2792"/>
      <c r="E24" s="2822"/>
      <c r="F24" s="2822"/>
      <c r="G24" s="2822"/>
      <c r="H24" s="2822"/>
      <c r="I24" s="2822"/>
      <c r="J24" s="2823"/>
      <c r="K24" s="1375"/>
      <c r="N24" s="2824" t="s">
        <v>2919</v>
      </c>
      <c r="O24" s="1562"/>
      <c r="P24" s="1563">
        <f>SUMPRODUCT((地价!A3:A20=YEAR(G19)&amp;"-"&amp;ROUNDUP(MONTH(G19)/3,0))*(地价!AD2:AH2=N24)*(地价!AD3:AH20))</f>
        <v>0</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2920</v>
      </c>
      <c r="C25" s="928"/>
      <c r="D25" s="2747"/>
      <c r="E25" s="2747"/>
      <c r="F25" s="2826"/>
      <c r="G25" s="2747"/>
      <c r="H25" s="2747"/>
      <c r="I25" s="2747"/>
      <c r="J25" s="2748"/>
      <c r="K25" s="1368"/>
      <c r="N25" s="2827" t="s">
        <v>2921</v>
      </c>
      <c r="O25" s="1564"/>
      <c r="P25" s="1563">
        <f>SUMPRODUCT((地价!A3:A20=YEAR(G19)&amp;"-"&amp;ROUNDUP(MONTH(G19)/3,0))*(地价!AD2:AH2=N25)*(地价!AD3:AH20))</f>
        <v>0</v>
      </c>
      <c r="R25" s="1374"/>
      <c r="S25" s="1374"/>
      <c r="T25" s="1369"/>
      <c r="U25" s="1369"/>
      <c r="V25" s="1369"/>
      <c r="W25" s="1368"/>
      <c r="X25" s="1368"/>
      <c r="Y25" s="1368"/>
      <c r="Z25" s="1375"/>
      <c r="AA25" s="1376"/>
      <c r="AB25" s="1376"/>
      <c r="AC25" s="1376"/>
      <c r="AD25" s="1376"/>
    </row>
    <row r="26" spans="1:37" ht="15">
      <c r="A26" s="2828"/>
      <c r="B26" s="2815" t="s">
        <v>2922</v>
      </c>
      <c r="C26" s="206" t="e">
        <f>E29+SUM(E33:E39)</f>
        <v>#DIV/0!</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2923</v>
      </c>
      <c r="C27" s="929" t="e">
        <f>E30+SUM(I33:I39)</f>
        <v>#DIV/0!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2924</v>
      </c>
      <c r="C28" s="2839" t="s">
        <v>2925</v>
      </c>
      <c r="D28" s="2839" t="s">
        <v>2926</v>
      </c>
      <c r="E28" s="2840" t="s">
        <v>2927</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2928</v>
      </c>
      <c r="C29" s="206" t="e">
        <f>ROUND(C5*C18*C19*C20*C21*C24,0)</f>
        <v>#DIV/0!</v>
      </c>
      <c r="D29" s="2844"/>
      <c r="E29" s="940" t="e">
        <f>ROUND(C29*D29/10000,0)</f>
        <v>#DIV/0!</v>
      </c>
      <c r="F29" s="2845" t="s">
        <v>2929</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2930</v>
      </c>
      <c r="C30" s="229" t="e">
        <f>ROUND(IF(E2="工业",C29*M39,C29*M38),0)</f>
        <v>#DIV/0!</v>
      </c>
      <c r="D30" s="2850"/>
      <c r="E30" s="940" t="e">
        <f>ROUND(C30*D30/10000,0)</f>
        <v>#DIV/0!</v>
      </c>
      <c r="F30" s="2851" t="s">
        <v>2931</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2932</v>
      </c>
      <c r="C31" s="2856" t="s">
        <v>2933</v>
      </c>
      <c r="D31" s="2760"/>
      <c r="E31" s="2856"/>
      <c r="F31" s="2856"/>
      <c r="G31" s="2758" t="s">
        <v>2934</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2925</v>
      </c>
      <c r="D32" s="498" t="s">
        <v>2926</v>
      </c>
      <c r="E32" s="498" t="s">
        <v>2927</v>
      </c>
      <c r="F32" s="388" t="s">
        <v>2935</v>
      </c>
      <c r="G32" s="2859" t="s">
        <v>2925</v>
      </c>
      <c r="H32" s="2859" t="s">
        <v>2926</v>
      </c>
      <c r="I32" s="2859" t="s">
        <v>2927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304" t="s">
        <v>2936</v>
      </c>
      <c r="B33" s="2860" t="s">
        <v>2937</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64" t="s">
        <v>2938</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64" t="s">
        <v>2939</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68"/>
      <c r="L35" s="1368"/>
      <c r="M35" s="1368"/>
      <c r="N35" s="1368"/>
      <c r="O35" s="1368"/>
      <c r="P35" s="1368"/>
      <c r="Q35" s="1368"/>
      <c r="R35" s="1368"/>
      <c r="S35" s="1368"/>
      <c r="T35" s="1368"/>
      <c r="U35" s="1368"/>
      <c r="V35" s="1368"/>
      <c r="W35" s="1368"/>
      <c r="X35" s="1368"/>
      <c r="Y35" s="1368"/>
      <c r="Z35" s="1369"/>
    </row>
    <row r="36" spans="1:37" ht="13.5" thickBot="1">
      <c r="A36" s="3306"/>
      <c r="B36" s="2764" t="s">
        <v>2940</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2941</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68"/>
      <c r="L37" s="2863" t="s">
        <v>2942</v>
      </c>
      <c r="M37" s="2864"/>
      <c r="N37" s="1368"/>
      <c r="O37" s="1368"/>
      <c r="P37" s="1368"/>
      <c r="Q37" s="1368"/>
      <c r="R37" s="1368"/>
      <c r="S37" s="1368"/>
      <c r="T37" s="1368"/>
      <c r="U37" s="1368"/>
      <c r="V37" s="1368"/>
      <c r="W37" s="1368"/>
      <c r="X37" s="1368"/>
      <c r="Y37" s="1368"/>
      <c r="Z37" s="1369"/>
    </row>
    <row r="38" spans="1:37">
      <c r="A38" s="2862"/>
      <c r="B38" s="2764" t="s">
        <v>2943</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68"/>
      <c r="L38" s="1886" t="s">
        <v>2944</v>
      </c>
      <c r="M38" s="2865">
        <v>0.25</v>
      </c>
      <c r="N38" s="1368"/>
      <c r="O38" s="1368"/>
      <c r="P38" s="1368"/>
      <c r="Q38" s="1368"/>
      <c r="R38" s="1368"/>
      <c r="S38" s="1368"/>
      <c r="T38" s="1368"/>
      <c r="U38" s="1368"/>
      <c r="V38" s="1368"/>
      <c r="W38" s="1368"/>
      <c r="X38" s="1368"/>
      <c r="Y38" s="1368"/>
      <c r="Z38" s="1369"/>
    </row>
    <row r="39" spans="1:37" ht="13.5" thickBot="1">
      <c r="A39" s="2848"/>
      <c r="B39" s="2866" t="s">
        <v>2945</v>
      </c>
      <c r="C39" s="229" t="e">
        <f>ROUND(C5*C19*C20*C24*F39,0)</f>
        <v>#DIV/0!</v>
      </c>
      <c r="D39" s="2850"/>
      <c r="E39" s="229" t="e">
        <f t="shared" si="7"/>
        <v>#DIV/0!</v>
      </c>
      <c r="F39" s="930">
        <f>SUMIF(修正!A45:A56,G2,修正!H45:H56)</f>
        <v>0</v>
      </c>
      <c r="G39" s="229" t="e">
        <f t="shared" si="6"/>
        <v>#DIV/0!</v>
      </c>
      <c r="H39" s="229">
        <f t="shared" si="8"/>
        <v>0</v>
      </c>
      <c r="I39" s="229" t="e">
        <f t="shared" si="9"/>
        <v>#DIV/0!</v>
      </c>
      <c r="J39" s="2867"/>
      <c r="K39" s="1368"/>
      <c r="L39" s="2868" t="s">
        <v>2886</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2946</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2947</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2948</v>
      </c>
      <c r="B47" s="1808" t="s">
        <v>2949</v>
      </c>
      <c r="C47" s="1808" t="s">
        <v>2950</v>
      </c>
      <c r="D47" s="1808" t="s">
        <v>2951</v>
      </c>
      <c r="E47" s="814" t="s">
        <v>2952</v>
      </c>
      <c r="F47" s="2878" t="s">
        <v>2953</v>
      </c>
      <c r="G47" s="1808" t="s">
        <v>754</v>
      </c>
      <c r="H47" s="2879" t="s">
        <v>2954</v>
      </c>
      <c r="I47" s="1808" t="s">
        <v>2955</v>
      </c>
      <c r="J47" s="603" t="s">
        <v>2601</v>
      </c>
      <c r="K47" s="603" t="s">
        <v>2602</v>
      </c>
      <c r="L47" s="603" t="s">
        <v>2603</v>
      </c>
      <c r="M47" s="603" t="s">
        <v>2604</v>
      </c>
      <c r="N47" s="603" t="s">
        <v>2605</v>
      </c>
      <c r="AA47" s="1369"/>
      <c r="AB47" s="1369"/>
      <c r="AC47" s="1369"/>
      <c r="AD47" s="1369"/>
      <c r="AE47" s="1369"/>
      <c r="AF47" s="1369"/>
      <c r="AG47" s="1369"/>
      <c r="AH47" s="1369"/>
      <c r="AI47" s="1369"/>
      <c r="AJ47" s="1369"/>
      <c r="AK47" s="1369"/>
    </row>
    <row r="48" spans="1:37" s="1368" customFormat="1" ht="24.75">
      <c r="A48" s="2877" t="s">
        <v>2956</v>
      </c>
      <c r="B48" s="2880" t="str">
        <f>估价对象房地状况!C4</f>
        <v>一般</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7" t="s">
        <v>2957</v>
      </c>
      <c r="B49" s="2881" t="str">
        <f>估价对象房地状况!C18</f>
        <v>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2958</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2959</v>
      </c>
      <c r="B51" s="2882" t="s">
        <v>2960</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2961</v>
      </c>
      <c r="B52" s="2881" t="str">
        <f>估价对象房地状况!C24</f>
        <v>快速路</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2962</v>
      </c>
      <c r="B53" s="2883" t="s">
        <v>2963</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4" t="s">
        <v>2964</v>
      </c>
      <c r="B54" s="1724" t="str">
        <f>估价对象房地状况!C21</f>
        <v>较好</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4" t="s">
        <v>2965</v>
      </c>
      <c r="B55" s="2881" t="str">
        <f>估价对象房地状况!C22</f>
        <v>七通</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5" t="s">
        <v>2966</v>
      </c>
      <c r="B56" s="2886" t="str">
        <f>估价对象房地状况!C20</f>
        <v>一般</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2967</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2948</v>
      </c>
      <c r="B58" s="1808"/>
      <c r="C58" s="1808" t="s">
        <v>2950</v>
      </c>
      <c r="D58" s="1808" t="s">
        <v>2951</v>
      </c>
      <c r="E58" s="814" t="s">
        <v>2952</v>
      </c>
      <c r="F58" s="2878" t="s">
        <v>2968</v>
      </c>
      <c r="G58" s="1808" t="s">
        <v>754</v>
      </c>
      <c r="H58" s="2879" t="s">
        <v>2954</v>
      </c>
      <c r="I58" s="1808" t="s">
        <v>2955</v>
      </c>
      <c r="J58" s="603" t="s">
        <v>2601</v>
      </c>
      <c r="K58" s="603" t="s">
        <v>2602</v>
      </c>
      <c r="L58" s="603" t="s">
        <v>2603</v>
      </c>
      <c r="M58" s="603" t="s">
        <v>2604</v>
      </c>
      <c r="N58" s="603" t="s">
        <v>2605</v>
      </c>
      <c r="AA58" s="1369"/>
      <c r="AB58" s="1369"/>
      <c r="AC58" s="1369"/>
      <c r="AD58" s="1369"/>
      <c r="AE58" s="1369"/>
      <c r="AF58" s="1369"/>
      <c r="AG58" s="1369"/>
      <c r="AH58" s="1369"/>
      <c r="AI58" s="1369"/>
      <c r="AJ58" s="1369"/>
      <c r="AK58" s="1369"/>
    </row>
    <row r="59" spans="1:37" s="1368" customFormat="1" ht="24">
      <c r="A59" s="2877" t="s">
        <v>2969</v>
      </c>
      <c r="B59" s="2880" t="str">
        <f>估价对象房地状况!C17</f>
        <v>一般</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7" t="s">
        <v>2957</v>
      </c>
      <c r="B60" s="2881" t="str">
        <f>估价对象房地状况!C18</f>
        <v>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2958</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2959</v>
      </c>
      <c r="B62" s="2882" t="s">
        <v>2960</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2961</v>
      </c>
      <c r="B63" s="2881" t="str">
        <f>估价对象房地状况!C24</f>
        <v>快速路</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2962</v>
      </c>
      <c r="B64" s="2883" t="s">
        <v>2963</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7" t="s">
        <v>2964</v>
      </c>
      <c r="B65" s="1724" t="str">
        <f>估价对象房地状况!C21</f>
        <v>较好</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7" t="s">
        <v>2965</v>
      </c>
      <c r="B66" s="1724" t="str">
        <f>估价对象房地状况!C22</f>
        <v>七通</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5" t="s">
        <v>2966</v>
      </c>
      <c r="B67" s="2887" t="str">
        <f>估价对象房地状况!C20</f>
        <v>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2970</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2948</v>
      </c>
      <c r="B69" s="1808"/>
      <c r="C69" s="1808" t="s">
        <v>2950</v>
      </c>
      <c r="D69" s="1808" t="s">
        <v>2951</v>
      </c>
      <c r="E69" s="814" t="s">
        <v>2952</v>
      </c>
      <c r="F69" s="2878" t="s">
        <v>2968</v>
      </c>
      <c r="G69" s="1808" t="s">
        <v>754</v>
      </c>
      <c r="H69" s="2879" t="s">
        <v>2954</v>
      </c>
      <c r="I69" s="1808" t="s">
        <v>2955</v>
      </c>
      <c r="J69" s="603" t="s">
        <v>2601</v>
      </c>
      <c r="K69" s="603" t="s">
        <v>2602</v>
      </c>
      <c r="L69" s="603" t="s">
        <v>2603</v>
      </c>
      <c r="M69" s="603" t="s">
        <v>2604</v>
      </c>
      <c r="N69" s="603" t="s">
        <v>2605</v>
      </c>
      <c r="AA69" s="1369"/>
      <c r="AB69" s="1369"/>
      <c r="AC69" s="1369"/>
      <c r="AD69" s="1369"/>
      <c r="AE69" s="1369"/>
      <c r="AF69" s="1369"/>
      <c r="AG69" s="1369"/>
      <c r="AH69" s="1369"/>
      <c r="AI69" s="1369"/>
      <c r="AJ69" s="1369"/>
      <c r="AK69" s="1369"/>
    </row>
    <row r="70" spans="1:37" s="1368" customFormat="1" ht="24">
      <c r="A70" s="2877" t="s">
        <v>2971</v>
      </c>
      <c r="B70" s="2880">
        <f>估价对象房地状况!C15</f>
        <v>0</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7" t="s">
        <v>2957</v>
      </c>
      <c r="B71" s="2881" t="str">
        <f>估价对象房地状况!C18</f>
        <v>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2958</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2972</v>
      </c>
      <c r="B73" s="2881" t="str">
        <f>估价对象房地状况!C24</f>
        <v>快速路</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7" t="s">
        <v>2964</v>
      </c>
      <c r="B74" s="1724" t="str">
        <f>估价对象房地状况!C21</f>
        <v>较好</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7" t="s">
        <v>2965</v>
      </c>
      <c r="B75" s="1724" t="str">
        <f>估价对象房地状况!C22</f>
        <v>七通</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2962</v>
      </c>
      <c r="B76" s="2883" t="s">
        <v>2963</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24">
      <c r="A77" s="2877" t="s">
        <v>2966</v>
      </c>
      <c r="B77" s="2880" t="str">
        <f>估价对象房地状况!C20</f>
        <v>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2973</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2974</v>
      </c>
      <c r="B79" s="2874">
        <f>1+E81</f>
        <v>1</v>
      </c>
      <c r="C79" s="809"/>
      <c r="D79" s="809"/>
      <c r="E79" s="810"/>
      <c r="F79" s="2876"/>
      <c r="G79" s="6"/>
      <c r="H79" s="6"/>
      <c r="I79" s="6"/>
      <c r="J79" s="7"/>
      <c r="K79" s="7"/>
      <c r="L79" s="7"/>
      <c r="M79" s="7"/>
      <c r="N79" s="7"/>
      <c r="Z79" s="2719"/>
      <c r="AA79" s="2795"/>
      <c r="AG79" s="1370"/>
      <c r="AK79" s="2795"/>
    </row>
    <row r="80" spans="1:37" ht="24.75">
      <c r="A80" s="2877" t="s">
        <v>2948</v>
      </c>
      <c r="B80" s="1808"/>
      <c r="C80" s="1808" t="s">
        <v>2950</v>
      </c>
      <c r="D80" s="1808" t="s">
        <v>2951</v>
      </c>
      <c r="E80" s="814" t="s">
        <v>2952</v>
      </c>
      <c r="F80" s="2878" t="s">
        <v>2968</v>
      </c>
      <c r="G80" s="1808" t="s">
        <v>754</v>
      </c>
      <c r="H80" s="2879" t="s">
        <v>2954</v>
      </c>
      <c r="I80" s="1808" t="s">
        <v>2955</v>
      </c>
      <c r="J80" s="603" t="s">
        <v>2601</v>
      </c>
      <c r="K80" s="603" t="s">
        <v>2602</v>
      </c>
      <c r="L80" s="603" t="s">
        <v>2603</v>
      </c>
      <c r="M80" s="603" t="s">
        <v>2604</v>
      </c>
      <c r="N80" s="603" t="s">
        <v>2605</v>
      </c>
      <c r="Z80" s="2719"/>
      <c r="AA80" s="2795"/>
      <c r="AG80" s="1370"/>
      <c r="AK80" s="2795"/>
    </row>
    <row r="81" spans="1:37" ht="38.25">
      <c r="A81" s="2877" t="s">
        <v>2975</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2957</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2958</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2972</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2964</v>
      </c>
      <c r="B85" s="1724"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2965</v>
      </c>
      <c r="B86" s="1724"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2962</v>
      </c>
      <c r="B87" s="2883" t="s">
        <v>2976</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2977</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98" t="s">
        <v>2978</v>
      </c>
      <c r="B90" s="3298"/>
      <c r="C90" s="3298"/>
      <c r="D90" s="3298"/>
      <c r="E90" s="3298"/>
      <c r="F90" s="3298"/>
      <c r="G90" s="3298"/>
      <c r="H90" s="3298"/>
      <c r="I90" s="3298"/>
      <c r="J90" s="3298"/>
      <c r="K90" s="2891"/>
      <c r="L90" s="2891"/>
      <c r="M90" s="2891"/>
      <c r="N90" s="2891"/>
    </row>
    <row r="91" spans="1:37">
      <c r="A91" s="3300" t="s">
        <v>2979</v>
      </c>
      <c r="B91" s="3300" t="s">
        <v>2980</v>
      </c>
      <c r="C91" s="2845" t="s">
        <v>2981</v>
      </c>
      <c r="D91" s="2846"/>
      <c r="E91" s="2846"/>
      <c r="F91" s="2846"/>
      <c r="G91" s="2846"/>
      <c r="H91" s="2846"/>
      <c r="I91" s="2846"/>
      <c r="J91" s="2892"/>
      <c r="K91" s="2893"/>
      <c r="L91" s="2893"/>
      <c r="M91" s="2893"/>
      <c r="N91" s="2893"/>
    </row>
    <row r="92" spans="1:37">
      <c r="A92" s="3300"/>
      <c r="B92" s="3300"/>
      <c r="C92" s="940" t="s">
        <v>2845</v>
      </c>
      <c r="D92" s="940" t="s">
        <v>2846</v>
      </c>
      <c r="E92" s="940" t="s">
        <v>2847</v>
      </c>
      <c r="F92" s="940" t="s">
        <v>2848</v>
      </c>
      <c r="G92" s="940" t="s">
        <v>2849</v>
      </c>
      <c r="H92" s="940" t="s">
        <v>2850</v>
      </c>
      <c r="I92" s="940" t="s">
        <v>2851</v>
      </c>
      <c r="J92" s="940" t="s">
        <v>2852</v>
      </c>
      <c r="K92" s="940" t="s">
        <v>2853</v>
      </c>
      <c r="L92" s="940" t="s">
        <v>2854</v>
      </c>
      <c r="M92" s="940" t="s">
        <v>2855</v>
      </c>
      <c r="N92" s="940" t="s">
        <v>2856</v>
      </c>
    </row>
    <row r="93" spans="1:37">
      <c r="A93" s="3301" t="s">
        <v>2982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0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0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0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0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0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02"/>
      <c r="B99" s="2894" t="s">
        <v>2861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01" t="s">
        <v>2983</v>
      </c>
      <c r="B101" s="2898" t="s">
        <v>2984</v>
      </c>
      <c r="C101" s="2899">
        <f>$G$3</f>
        <v>3.55</v>
      </c>
      <c r="D101" s="2899">
        <f t="shared" ref="D101:N101" si="31">$G$3</f>
        <v>3.55</v>
      </c>
      <c r="E101" s="2899">
        <f t="shared" si="31"/>
        <v>3.55</v>
      </c>
      <c r="F101" s="2899">
        <f t="shared" si="31"/>
        <v>3.55</v>
      </c>
      <c r="G101" s="2899">
        <f t="shared" si="31"/>
        <v>3.55</v>
      </c>
      <c r="H101" s="2899">
        <f t="shared" si="31"/>
        <v>3.55</v>
      </c>
      <c r="I101" s="2899">
        <f t="shared" si="31"/>
        <v>3.55</v>
      </c>
      <c r="J101" s="2899">
        <f t="shared" si="31"/>
        <v>3.55</v>
      </c>
      <c r="K101" s="2899">
        <f t="shared" si="31"/>
        <v>3.55</v>
      </c>
      <c r="L101" s="2899">
        <f t="shared" si="31"/>
        <v>3.55</v>
      </c>
      <c r="M101" s="2899">
        <f t="shared" si="31"/>
        <v>3.55</v>
      </c>
      <c r="N101" s="2899">
        <f t="shared" si="31"/>
        <v>3.55</v>
      </c>
    </row>
    <row r="102" spans="1:14">
      <c r="A102" s="3302"/>
      <c r="B102" s="2894">
        <v>1</v>
      </c>
      <c r="C102" s="2895">
        <f>1.9362/C101</f>
        <v>0.54540845070422539</v>
      </c>
      <c r="D102" s="2895">
        <f>1.9362/D101</f>
        <v>0.54540845070422539</v>
      </c>
      <c r="E102" s="2895">
        <f>1.8629/E101</f>
        <v>0.52476056338028176</v>
      </c>
      <c r="F102" s="2895">
        <f>1.8629/F101</f>
        <v>0.52476056338028176</v>
      </c>
      <c r="G102" s="2895">
        <f>1.8629/G101</f>
        <v>0.52476056338028176</v>
      </c>
      <c r="H102" s="2895">
        <f>1.8629/H101</f>
        <v>0.52476056338028176</v>
      </c>
      <c r="I102" s="2895">
        <f>1.8629/I101</f>
        <v>0.52476056338028176</v>
      </c>
      <c r="J102" s="2895">
        <f>1.942/J101</f>
        <v>0.54704225352112679</v>
      </c>
      <c r="K102" s="2895">
        <f>1.942/K101</f>
        <v>0.54704225352112679</v>
      </c>
      <c r="L102" s="2895">
        <f>1.942/L101</f>
        <v>0.54704225352112679</v>
      </c>
      <c r="M102" s="2895">
        <f>1.942/M101</f>
        <v>0.54704225352112679</v>
      </c>
      <c r="N102" s="2895">
        <f>1.942/N101</f>
        <v>0.54704225352112679</v>
      </c>
    </row>
    <row r="103" spans="1:14">
      <c r="A103" s="3302"/>
      <c r="B103" s="2894">
        <v>2</v>
      </c>
      <c r="C103" s="2895">
        <f>1.4198/C101</f>
        <v>0.39994366197183101</v>
      </c>
      <c r="D103" s="2895">
        <f>1.4198/D101</f>
        <v>0.39994366197183101</v>
      </c>
      <c r="E103" s="2895">
        <f>1.3372/E101</f>
        <v>0.3766760563380282</v>
      </c>
      <c r="F103" s="2895">
        <f>1.3372/F101</f>
        <v>0.3766760563380282</v>
      </c>
      <c r="G103" s="2895">
        <f>1.3372/G101</f>
        <v>0.3766760563380282</v>
      </c>
      <c r="H103" s="2895">
        <f>1.3372/H101</f>
        <v>0.3766760563380282</v>
      </c>
      <c r="I103" s="2895">
        <f>1.3372/I101</f>
        <v>0.3766760563380282</v>
      </c>
      <c r="J103" s="2895">
        <f>1.2799/J101</f>
        <v>0.36053521126760568</v>
      </c>
      <c r="K103" s="2895">
        <f>1.2799/K101</f>
        <v>0.36053521126760568</v>
      </c>
      <c r="L103" s="2895">
        <f>1.2799/L101</f>
        <v>0.36053521126760568</v>
      </c>
      <c r="M103" s="2895">
        <f>1.2799/M101</f>
        <v>0.36053521126760568</v>
      </c>
      <c r="N103" s="2895">
        <f>1.2799/N101</f>
        <v>0.36053521126760568</v>
      </c>
    </row>
    <row r="104" spans="1:14">
      <c r="A104" s="3302"/>
      <c r="B104" s="2894">
        <v>3</v>
      </c>
      <c r="C104" s="2895">
        <f>1.1594/C101</f>
        <v>0.32659154929577466</v>
      </c>
      <c r="D104" s="2895">
        <f>1.1594/D101</f>
        <v>0.32659154929577466</v>
      </c>
      <c r="E104" s="2895">
        <f>1.0788/E101</f>
        <v>0.30388732394366197</v>
      </c>
      <c r="F104" s="2895">
        <f>1.0788/F101</f>
        <v>0.30388732394366197</v>
      </c>
      <c r="G104" s="2895">
        <f>1.0788/G101</f>
        <v>0.30388732394366197</v>
      </c>
      <c r="H104" s="2895">
        <f>1.0788/H101</f>
        <v>0.30388732394366197</v>
      </c>
      <c r="I104" s="2895">
        <f>1.0788/I101</f>
        <v>0.30388732394366197</v>
      </c>
      <c r="J104" s="2895">
        <f>1.0072/J101</f>
        <v>0.28371830985915497</v>
      </c>
      <c r="K104" s="2895">
        <f>1.0072/K101</f>
        <v>0.28371830985915497</v>
      </c>
      <c r="L104" s="2895">
        <f>1.0072/L101</f>
        <v>0.28371830985915497</v>
      </c>
      <c r="M104" s="2895">
        <f>1.0072/M101</f>
        <v>0.28371830985915497</v>
      </c>
      <c r="N104" s="2895">
        <f>1.0072/N101</f>
        <v>0.28371830985915497</v>
      </c>
    </row>
    <row r="105" spans="1:14">
      <c r="A105" s="3302"/>
      <c r="B105" s="2894">
        <v>4</v>
      </c>
      <c r="C105" s="2895">
        <f>0.9622/C101</f>
        <v>0.27104225352112676</v>
      </c>
      <c r="D105" s="2895">
        <f>0.9622/D101</f>
        <v>0.27104225352112676</v>
      </c>
      <c r="E105" s="2895">
        <f>0.8656/E101</f>
        <v>0.24383098591549299</v>
      </c>
      <c r="F105" s="2895">
        <f>0.8656/F101</f>
        <v>0.24383098591549299</v>
      </c>
      <c r="G105" s="2895">
        <f>0.8656/G101</f>
        <v>0.24383098591549299</v>
      </c>
      <c r="H105" s="2895">
        <f>0.8656/H101</f>
        <v>0.24383098591549299</v>
      </c>
      <c r="I105" s="2895">
        <f>0.8656/I101</f>
        <v>0.24383098591549299</v>
      </c>
      <c r="J105" s="2895">
        <f>0.7525/J101</f>
        <v>0.21197183098591549</v>
      </c>
      <c r="K105" s="2895">
        <f>0.7525/K101</f>
        <v>0.21197183098591549</v>
      </c>
      <c r="L105" s="2895">
        <f>0.7525/L101</f>
        <v>0.21197183098591549</v>
      </c>
      <c r="M105" s="2895">
        <f>0.7525/M101</f>
        <v>0.21197183098591549</v>
      </c>
      <c r="N105" s="2895">
        <f>0.7525/N101</f>
        <v>0.21197183098591549</v>
      </c>
    </row>
    <row r="106" spans="1:14">
      <c r="A106" s="3302"/>
      <c r="B106" s="2894">
        <v>5</v>
      </c>
      <c r="C106" s="2895">
        <f>0.8417/C101</f>
        <v>0.2370985915492958</v>
      </c>
      <c r="D106" s="2895">
        <f>0.8417/D101</f>
        <v>0.2370985915492958</v>
      </c>
      <c r="E106" s="2895">
        <f>0.7371/E101</f>
        <v>0.20763380281690141</v>
      </c>
      <c r="F106" s="2895">
        <f>0.7371/F101</f>
        <v>0.20763380281690141</v>
      </c>
      <c r="G106" s="2895">
        <f>0.7371/G101</f>
        <v>0.20763380281690141</v>
      </c>
      <c r="H106" s="2895">
        <f>0.7371/H101</f>
        <v>0.20763380281690141</v>
      </c>
      <c r="I106" s="2895">
        <f>0.7371/I101</f>
        <v>0.20763380281690141</v>
      </c>
      <c r="J106" s="2895">
        <f>0.5659/J101</f>
        <v>0.15940845070422535</v>
      </c>
      <c r="K106" s="2895">
        <f>0.5659/K101</f>
        <v>0.15940845070422535</v>
      </c>
      <c r="L106" s="2895">
        <f>0.5659/L101</f>
        <v>0.15940845070422535</v>
      </c>
      <c r="M106" s="2895">
        <f>0.5659/M101</f>
        <v>0.15940845070422535</v>
      </c>
      <c r="N106" s="2895">
        <f>0.5659/N101</f>
        <v>0.15940845070422535</v>
      </c>
    </row>
    <row r="107" spans="1:14">
      <c r="A107" s="3302"/>
      <c r="B107" s="2894">
        <v>6</v>
      </c>
      <c r="C107" s="2895">
        <f>0.7608/C101</f>
        <v>0.21430985915492959</v>
      </c>
      <c r="D107" s="2895">
        <f>0.7608/D101</f>
        <v>0.21430985915492959</v>
      </c>
      <c r="E107" s="2895">
        <f>0.6482/E101</f>
        <v>0.18259154929577465</v>
      </c>
      <c r="F107" s="2895">
        <f>0.6482/F101</f>
        <v>0.18259154929577465</v>
      </c>
      <c r="G107" s="2895">
        <f>0.6482/G101</f>
        <v>0.18259154929577465</v>
      </c>
      <c r="H107" s="2895">
        <f>0.6482/H101</f>
        <v>0.18259154929577465</v>
      </c>
      <c r="I107" s="2895">
        <f>0.6482/I101</f>
        <v>0.18259154929577465</v>
      </c>
      <c r="J107" s="2895">
        <f>0.4525/J101</f>
        <v>0.12746478873239436</v>
      </c>
      <c r="K107" s="2895">
        <f>0.4525/K101</f>
        <v>0.12746478873239436</v>
      </c>
      <c r="L107" s="2895">
        <f>0.4525/L101</f>
        <v>0.12746478873239436</v>
      </c>
      <c r="M107" s="2895">
        <f>0.4525/M101</f>
        <v>0.12746478873239436</v>
      </c>
      <c r="N107" s="2895">
        <f>0.4525/N101</f>
        <v>0.12746478873239436</v>
      </c>
    </row>
    <row r="108" spans="1:14">
      <c r="A108" s="3302"/>
      <c r="B108" s="3157" t="s">
        <v>2985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3"/>
      <c r="B109" s="3158"/>
      <c r="C109" s="2897">
        <f>(-0.163*(C108^2)-0.59*C108+7617)*(10^(-4))/C101</f>
        <v>0.21456338028169017</v>
      </c>
      <c r="D109" s="2897">
        <f>(-0.163*(D108^2)-0.59*D108+7617)*(10^(-4))/D101</f>
        <v>0.21456338028169017</v>
      </c>
      <c r="E109" s="2897">
        <f>(-0.161*(E108^2)-7.509*E108+6533)*(10^(-4))/E101</f>
        <v>0.1840281690140845</v>
      </c>
      <c r="F109" s="2897">
        <f>(-0.161*(F108^2)-7.509*F108+6533)*(10^(-4))/F101</f>
        <v>0.1840281690140845</v>
      </c>
      <c r="G109" s="2897">
        <f>(-0.161*(G108^2)-7.509*G108+6533)*(10^(-4))/G101</f>
        <v>0.1840281690140845</v>
      </c>
      <c r="H109" s="2897">
        <f>(-0.161*(H108^2)-7.509*H108+6533)*(10^(-4))/H101</f>
        <v>0.1840281690140845</v>
      </c>
      <c r="I109" s="2897">
        <f>(-0.161*(I108^2)-7.509*I108+6533)*(10^(-4))/I101</f>
        <v>0.1840281690140845</v>
      </c>
      <c r="J109" s="2897">
        <f>(-0.214*(J108^2)-21.991*J108+4665)*(10^(-4))/J101</f>
        <v>0.13140845070422535</v>
      </c>
      <c r="K109" s="2897">
        <f>(-0.214*(K108^2)-21.991*K108+4665)*(10^(-4))/K101</f>
        <v>0.13140845070422535</v>
      </c>
      <c r="L109" s="2897">
        <f>(-0.214*(L108^2)-21.991*L108+4665)*(10^(-4))/L101</f>
        <v>0.13140845070422535</v>
      </c>
      <c r="M109" s="2897">
        <f>(-0.214*(M108^2)-21.991*M108+4665)*(10^(-4))/M101</f>
        <v>0.13140845070422535</v>
      </c>
      <c r="N109" s="2897">
        <f>(-0.214*(N108^2)-21.991*N108+4665)*(10^(-4))/N101</f>
        <v>0.13140845070422535</v>
      </c>
    </row>
    <row r="110" spans="1:14">
      <c r="A110" s="3299" t="s">
        <v>2986</v>
      </c>
      <c r="B110" s="3299"/>
      <c r="C110" s="3299"/>
      <c r="D110" s="3299"/>
      <c r="E110" s="3299"/>
      <c r="F110" s="3299"/>
      <c r="G110" s="3299"/>
      <c r="H110" s="3299"/>
      <c r="I110" s="3299"/>
      <c r="J110" s="3299"/>
      <c r="K110" s="2900"/>
      <c r="L110" s="2900"/>
      <c r="M110" s="2900"/>
      <c r="N110" s="2900"/>
    </row>
    <row r="112" spans="1:14" ht="13.5" thickBot="1"/>
    <row r="113" spans="1:13" ht="25.5" thickBot="1">
      <c r="A113" s="898" t="s">
        <v>2987</v>
      </c>
      <c r="B113" s="1285">
        <f>G3</f>
        <v>3.55</v>
      </c>
      <c r="C113" s="899" t="s">
        <v>2988</v>
      </c>
      <c r="D113" s="900">
        <f>SUMPRODUCT((A115:A118=F113)*(B114:M114=H113)*B115:M118)</f>
        <v>0</v>
      </c>
      <c r="E113" s="2723" t="s">
        <v>2818</v>
      </c>
      <c r="F113" s="2902">
        <f>E2</f>
        <v>0</v>
      </c>
      <c r="G113" s="2723" t="s">
        <v>2819</v>
      </c>
      <c r="H113" s="2902">
        <f>G2</f>
        <v>0</v>
      </c>
      <c r="I113" s="2723"/>
      <c r="J113" s="2903"/>
      <c r="K113" s="2903"/>
      <c r="L113" s="2903"/>
      <c r="M113" s="2903"/>
    </row>
    <row r="114" spans="1:13">
      <c r="A114" s="903"/>
      <c r="B114" s="2904" t="s">
        <v>2989</v>
      </c>
      <c r="C114" s="2904" t="s">
        <v>2990</v>
      </c>
      <c r="D114" s="2904" t="s">
        <v>2991</v>
      </c>
      <c r="E114" s="2905" t="s">
        <v>2992</v>
      </c>
      <c r="F114" s="2905" t="s">
        <v>2993</v>
      </c>
      <c r="G114" s="2905" t="s">
        <v>2994</v>
      </c>
      <c r="H114" s="2906" t="s">
        <v>2995</v>
      </c>
      <c r="I114" s="2906" t="s">
        <v>2996</v>
      </c>
      <c r="J114" s="2907" t="s">
        <v>2997</v>
      </c>
      <c r="K114" s="2907" t="s">
        <v>2998</v>
      </c>
      <c r="L114" s="2907" t="s">
        <v>2999</v>
      </c>
      <c r="M114" s="2908" t="s">
        <v>3000</v>
      </c>
    </row>
    <row r="115" spans="1:13">
      <c r="A115" s="904" t="s">
        <v>2883</v>
      </c>
      <c r="B115" s="905">
        <f>ROUND(0.9335-0.0094*B113,4)</f>
        <v>0.90010000000000001</v>
      </c>
      <c r="C115" s="905">
        <f>B115</f>
        <v>0.90010000000000001</v>
      </c>
      <c r="D115" s="905">
        <f>ROUND(0.8331-0.0109*B113,4)</f>
        <v>0.7944</v>
      </c>
      <c r="E115" s="905">
        <f>D115</f>
        <v>0.7944</v>
      </c>
      <c r="F115" s="905">
        <f>E115</f>
        <v>0.7944</v>
      </c>
      <c r="G115" s="905">
        <f>F115</f>
        <v>0.7944</v>
      </c>
      <c r="H115" s="905">
        <f>G115</f>
        <v>0.7944</v>
      </c>
      <c r="I115" s="905">
        <f>ROUND(0.689-0.0155*B113,4)</f>
        <v>0.63400000000000001</v>
      </c>
      <c r="J115" s="905">
        <f t="shared" ref="J115:M118" si="33">I115</f>
        <v>0.63400000000000001</v>
      </c>
      <c r="K115" s="905">
        <f t="shared" si="33"/>
        <v>0.63400000000000001</v>
      </c>
      <c r="L115" s="905">
        <f t="shared" si="33"/>
        <v>0.63400000000000001</v>
      </c>
      <c r="M115" s="906">
        <f t="shared" si="33"/>
        <v>0.63400000000000001</v>
      </c>
    </row>
    <row r="116" spans="1:13">
      <c r="A116" s="904" t="s">
        <v>2884</v>
      </c>
      <c r="B116" s="905">
        <f>ROUND(0.949-0.012*B113,4)</f>
        <v>0.90639999999999998</v>
      </c>
      <c r="C116" s="905">
        <f>B116</f>
        <v>0.90639999999999998</v>
      </c>
      <c r="D116" s="905">
        <f>ROUND(0.8567-0.013*B113,4)</f>
        <v>0.81059999999999999</v>
      </c>
      <c r="E116" s="905">
        <f t="shared" ref="E116:H117" si="34">D116</f>
        <v>0.81059999999999999</v>
      </c>
      <c r="F116" s="905">
        <f t="shared" si="34"/>
        <v>0.81059999999999999</v>
      </c>
      <c r="G116" s="905">
        <f t="shared" si="34"/>
        <v>0.81059999999999999</v>
      </c>
      <c r="H116" s="905">
        <f t="shared" si="34"/>
        <v>0.81059999999999999</v>
      </c>
      <c r="I116" s="905">
        <f>ROUND(0.7694-0.014*B113,4)</f>
        <v>0.71970000000000001</v>
      </c>
      <c r="J116" s="905">
        <f t="shared" si="33"/>
        <v>0.71970000000000001</v>
      </c>
      <c r="K116" s="905">
        <f t="shared" si="33"/>
        <v>0.71970000000000001</v>
      </c>
      <c r="L116" s="905">
        <f t="shared" si="33"/>
        <v>0.71970000000000001</v>
      </c>
      <c r="M116" s="906">
        <f t="shared" si="33"/>
        <v>0.71970000000000001</v>
      </c>
    </row>
    <row r="117" spans="1:13">
      <c r="A117" s="904" t="s">
        <v>2885</v>
      </c>
      <c r="B117" s="905">
        <f>ROUND(0.8808-0.006*B113,4)</f>
        <v>0.85950000000000004</v>
      </c>
      <c r="C117" s="905">
        <f>B117</f>
        <v>0.85950000000000004</v>
      </c>
      <c r="D117" s="905">
        <f>ROUND(0.8748-0.008*B113,4)</f>
        <v>0.84640000000000004</v>
      </c>
      <c r="E117" s="905">
        <f t="shared" si="34"/>
        <v>0.84640000000000004</v>
      </c>
      <c r="F117" s="905">
        <f t="shared" si="34"/>
        <v>0.84640000000000004</v>
      </c>
      <c r="G117" s="905">
        <f t="shared" si="34"/>
        <v>0.84640000000000004</v>
      </c>
      <c r="H117" s="905">
        <f t="shared" si="34"/>
        <v>0.84640000000000004</v>
      </c>
      <c r="I117" s="905">
        <f>ROUND(0.7412-0.0095*B113,4)</f>
        <v>0.70750000000000002</v>
      </c>
      <c r="J117" s="905">
        <f t="shared" si="33"/>
        <v>0.70750000000000002</v>
      </c>
      <c r="K117" s="905">
        <f t="shared" si="33"/>
        <v>0.70750000000000002</v>
      </c>
      <c r="L117" s="905">
        <f t="shared" si="33"/>
        <v>0.70750000000000002</v>
      </c>
      <c r="M117" s="906">
        <f t="shared" si="33"/>
        <v>0.70750000000000002</v>
      </c>
    </row>
    <row r="118" spans="1:13" ht="13.5" thickBot="1">
      <c r="A118" s="714" t="s">
        <v>2886</v>
      </c>
      <c r="B118" s="907">
        <f>ROUND(0.7275-0.01*B113,4)</f>
        <v>0.69199999999999995</v>
      </c>
      <c r="C118" s="907">
        <f>B118</f>
        <v>0.69199999999999995</v>
      </c>
      <c r="D118" s="907">
        <f>ROUND(0.7043-0.012*B113,4)</f>
        <v>0.66169999999999995</v>
      </c>
      <c r="E118" s="907">
        <f>D118</f>
        <v>0.66169999999999995</v>
      </c>
      <c r="F118" s="907">
        <f>E118</f>
        <v>0.66169999999999995</v>
      </c>
      <c r="G118" s="907">
        <f>ROUND(0.6299-0.0122*B113,4)</f>
        <v>0.58660000000000001</v>
      </c>
      <c r="H118" s="907">
        <f>G118</f>
        <v>0.58660000000000001</v>
      </c>
      <c r="I118" s="907">
        <f>ROUND(0.5667-0.0136*B113,4)</f>
        <v>0.51839999999999997</v>
      </c>
      <c r="J118" s="907">
        <f t="shared" si="33"/>
        <v>0.51839999999999997</v>
      </c>
      <c r="K118" s="907">
        <f t="shared" si="33"/>
        <v>0.51839999999999997</v>
      </c>
      <c r="L118" s="907">
        <f t="shared" si="33"/>
        <v>0.51839999999999997</v>
      </c>
      <c r="M118" s="908">
        <f t="shared" si="33"/>
        <v>0.51839999999999997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7" t="s">
        <v>183</v>
      </c>
      <c r="B18" s="877" t="s">
        <v>560</v>
      </c>
      <c r="C18" s="878" t="s">
        <v>561</v>
      </c>
      <c r="D18" s="879"/>
      <c r="E18" s="877">
        <v>1</v>
      </c>
      <c r="F18" s="880" t="s">
        <v>562</v>
      </c>
      <c r="G18" s="881"/>
      <c r="H18" s="873"/>
      <c r="I18" s="873"/>
    </row>
    <row r="19" spans="1:9" s="882" customFormat="1" ht="19.5" customHeight="1">
      <c r="A19" s="3307"/>
      <c r="B19" s="3307" t="s">
        <v>563</v>
      </c>
      <c r="C19" s="878" t="s">
        <v>564</v>
      </c>
      <c r="D19" s="879"/>
      <c r="E19" s="877">
        <v>0.9</v>
      </c>
      <c r="F19" s="880" t="s">
        <v>565</v>
      </c>
      <c r="G19" s="881"/>
      <c r="H19" s="873"/>
      <c r="I19" s="873"/>
    </row>
    <row r="20" spans="1:9" s="882" customFormat="1" ht="19.5" customHeight="1">
      <c r="A20" s="3307"/>
      <c r="B20" s="3307"/>
      <c r="C20" s="878" t="s">
        <v>566</v>
      </c>
      <c r="D20" s="879"/>
      <c r="E20" s="877">
        <v>1.1000000000000001</v>
      </c>
      <c r="F20" s="880" t="s">
        <v>567</v>
      </c>
      <c r="G20" s="881"/>
      <c r="H20" s="873"/>
      <c r="I20" s="873"/>
    </row>
    <row r="21" spans="1:9" s="882" customFormat="1" ht="19.5" customHeight="1">
      <c r="A21" s="3307"/>
      <c r="B21" s="3307"/>
      <c r="C21" s="878" t="s">
        <v>568</v>
      </c>
      <c r="D21" s="879"/>
      <c r="E21" s="877">
        <v>0.8</v>
      </c>
      <c r="F21" s="880" t="s">
        <v>569</v>
      </c>
      <c r="G21" s="881"/>
      <c r="H21" s="873"/>
      <c r="I21" s="873"/>
    </row>
    <row r="22" spans="1:9" s="882" customFormat="1" ht="19.5" customHeight="1">
      <c r="A22" s="3307"/>
      <c r="B22" s="3307"/>
      <c r="C22" s="878" t="s">
        <v>570</v>
      </c>
      <c r="D22" s="879"/>
      <c r="E22" s="877">
        <v>0.5</v>
      </c>
      <c r="F22" s="880"/>
      <c r="G22" s="881"/>
      <c r="H22" s="873"/>
      <c r="I22" s="873"/>
    </row>
    <row r="23" spans="1:9" s="882" customFormat="1" ht="19.5" customHeight="1">
      <c r="A23" s="3307" t="s">
        <v>184</v>
      </c>
      <c r="B23" s="877" t="s">
        <v>560</v>
      </c>
      <c r="C23" s="878" t="s">
        <v>571</v>
      </c>
      <c r="D23" s="879"/>
      <c r="E23" s="877">
        <v>1</v>
      </c>
      <c r="F23" s="880" t="s">
        <v>572</v>
      </c>
      <c r="G23" s="881"/>
      <c r="H23" s="873"/>
      <c r="I23" s="873"/>
    </row>
    <row r="24" spans="1:9" s="882" customFormat="1" ht="19.5" customHeight="1">
      <c r="A24" s="3307"/>
      <c r="B24" s="3307" t="s">
        <v>563</v>
      </c>
      <c r="C24" s="878" t="s">
        <v>573</v>
      </c>
      <c r="D24" s="879"/>
      <c r="E24" s="877">
        <v>0.5</v>
      </c>
      <c r="F24" s="880"/>
      <c r="G24" s="881"/>
      <c r="H24" s="873"/>
      <c r="I24" s="873"/>
    </row>
    <row r="25" spans="1:9" s="882" customFormat="1" ht="19.5" customHeight="1">
      <c r="A25" s="3307"/>
      <c r="B25" s="3307"/>
      <c r="C25" s="878" t="s">
        <v>574</v>
      </c>
      <c r="D25" s="879"/>
      <c r="E25" s="877">
        <v>1.1000000000000001</v>
      </c>
      <c r="F25" s="880"/>
      <c r="G25" s="881"/>
      <c r="H25" s="873"/>
      <c r="I25" s="873"/>
    </row>
    <row r="26" spans="1:9" s="882" customFormat="1" ht="19.5" customHeight="1">
      <c r="A26" s="3307"/>
      <c r="B26" s="3307"/>
      <c r="C26" s="878" t="s">
        <v>575</v>
      </c>
      <c r="D26" s="879"/>
      <c r="E26" s="877">
        <v>1.1000000000000001</v>
      </c>
      <c r="F26" s="880"/>
      <c r="G26" s="881"/>
      <c r="H26" s="873"/>
      <c r="I26" s="873"/>
    </row>
    <row r="27" spans="1:9" s="882" customFormat="1" ht="19.5" customHeight="1">
      <c r="A27" s="3307"/>
      <c r="B27" s="3307"/>
      <c r="C27" s="878" t="s">
        <v>576</v>
      </c>
      <c r="D27" s="879"/>
      <c r="E27" s="877">
        <v>0.9</v>
      </c>
      <c r="F27" s="880" t="s">
        <v>577</v>
      </c>
      <c r="G27" s="881"/>
      <c r="H27" s="873"/>
      <c r="I27" s="873"/>
    </row>
    <row r="28" spans="1:9" s="882" customFormat="1" ht="19.5" customHeight="1">
      <c r="A28" s="3307"/>
      <c r="B28" s="3307"/>
      <c r="C28" s="878" t="s">
        <v>578</v>
      </c>
      <c r="D28" s="879"/>
      <c r="E28" s="877">
        <v>0.9</v>
      </c>
      <c r="F28" s="880" t="s">
        <v>579</v>
      </c>
      <c r="G28" s="881"/>
      <c r="H28" s="873"/>
      <c r="I28" s="873"/>
    </row>
    <row r="29" spans="1:9" s="882" customFormat="1" ht="19.5" customHeight="1">
      <c r="A29" s="3307"/>
      <c r="B29" s="3307"/>
      <c r="C29" s="878" t="s">
        <v>580</v>
      </c>
      <c r="D29" s="879"/>
      <c r="E29" s="877">
        <v>0.9</v>
      </c>
      <c r="F29" s="880" t="s">
        <v>581</v>
      </c>
      <c r="G29" s="881"/>
      <c r="H29" s="873"/>
      <c r="I29" s="873"/>
    </row>
    <row r="30" spans="1:9" s="882" customFormat="1" ht="19.5" customHeight="1">
      <c r="A30" s="3307"/>
      <c r="B30" s="3307"/>
      <c r="C30" s="878" t="s">
        <v>582</v>
      </c>
      <c r="D30" s="879"/>
      <c r="E30" s="877">
        <v>0.9</v>
      </c>
      <c r="F30" s="880" t="s">
        <v>583</v>
      </c>
      <c r="G30" s="881"/>
      <c r="H30" s="873"/>
      <c r="I30" s="873"/>
    </row>
    <row r="31" spans="1:9" s="882" customFormat="1" ht="19.5" customHeight="1">
      <c r="A31" s="3307"/>
      <c r="B31" s="3307"/>
      <c r="C31" s="878" t="s">
        <v>584</v>
      </c>
      <c r="D31" s="879"/>
      <c r="E31" s="877">
        <v>0.8</v>
      </c>
      <c r="F31" s="880" t="s">
        <v>585</v>
      </c>
      <c r="G31" s="881"/>
      <c r="H31" s="873"/>
      <c r="I31" s="873"/>
    </row>
    <row r="32" spans="1:9" s="882" customFormat="1" ht="19.5" customHeight="1">
      <c r="A32" s="3307"/>
      <c r="B32" s="3307"/>
      <c r="C32" s="878" t="s">
        <v>586</v>
      </c>
      <c r="D32" s="879"/>
      <c r="E32" s="877">
        <v>0.8</v>
      </c>
      <c r="F32" s="880" t="s">
        <v>587</v>
      </c>
      <c r="G32" s="881"/>
      <c r="H32" s="873"/>
      <c r="I32" s="873"/>
    </row>
    <row r="33" spans="1:9" s="882" customFormat="1" ht="19.5" customHeight="1">
      <c r="A33" s="3307" t="s">
        <v>185</v>
      </c>
      <c r="B33" s="877" t="s">
        <v>560</v>
      </c>
      <c r="C33" s="878" t="s">
        <v>588</v>
      </c>
      <c r="D33" s="879"/>
      <c r="E33" s="877">
        <v>1</v>
      </c>
      <c r="F33" s="880" t="s">
        <v>589</v>
      </c>
      <c r="G33" s="881"/>
      <c r="H33" s="873"/>
      <c r="I33" s="873"/>
    </row>
    <row r="34" spans="1:9" s="882" customFormat="1" ht="19.5" customHeight="1">
      <c r="A34" s="3307"/>
      <c r="B34" s="877" t="s">
        <v>563</v>
      </c>
      <c r="C34" s="878" t="s">
        <v>590</v>
      </c>
      <c r="D34" s="879"/>
      <c r="E34" s="877">
        <v>1.5</v>
      </c>
      <c r="F34" s="880" t="s">
        <v>591</v>
      </c>
      <c r="G34" s="881"/>
      <c r="H34" s="873"/>
      <c r="I34" s="873"/>
    </row>
    <row r="35" spans="1:9" s="882" customFormat="1" ht="19.5" customHeight="1">
      <c r="A35" s="3307" t="s">
        <v>186</v>
      </c>
      <c r="B35" s="877" t="s">
        <v>560</v>
      </c>
      <c r="C35" s="878" t="s">
        <v>592</v>
      </c>
      <c r="D35" s="879"/>
      <c r="E35" s="877">
        <v>1</v>
      </c>
      <c r="F35" s="880" t="s">
        <v>593</v>
      </c>
      <c r="G35" s="881"/>
      <c r="H35" s="873"/>
      <c r="I35" s="873"/>
    </row>
    <row r="36" spans="1:9" s="882" customFormat="1" ht="19.5" customHeight="1">
      <c r="A36" s="3307"/>
      <c r="B36" s="3307" t="s">
        <v>563</v>
      </c>
      <c r="C36" s="878" t="s">
        <v>594</v>
      </c>
      <c r="D36" s="879"/>
      <c r="E36" s="877">
        <v>1</v>
      </c>
      <c r="F36" s="880" t="s">
        <v>595</v>
      </c>
      <c r="G36" s="881"/>
      <c r="H36" s="873"/>
      <c r="I36" s="873"/>
    </row>
    <row r="37" spans="1:9" s="882" customFormat="1" ht="19.5" customHeight="1">
      <c r="A37" s="3307"/>
      <c r="B37" s="3307"/>
      <c r="C37" s="878" t="s">
        <v>596</v>
      </c>
      <c r="D37" s="879"/>
      <c r="E37" s="877">
        <v>1.5</v>
      </c>
      <c r="F37" s="880" t="s">
        <v>597</v>
      </c>
      <c r="G37" s="881"/>
      <c r="H37" s="873"/>
      <c r="I37" s="873"/>
    </row>
    <row r="38" spans="1:9" s="882" customFormat="1" ht="19.5" customHeight="1">
      <c r="A38" s="3307"/>
      <c r="B38" s="3307"/>
      <c r="C38" s="878" t="s">
        <v>598</v>
      </c>
      <c r="D38" s="879"/>
      <c r="E38" s="877">
        <v>1</v>
      </c>
      <c r="F38" s="880" t="s">
        <v>599</v>
      </c>
      <c r="G38" s="881"/>
      <c r="H38" s="873"/>
      <c r="I38" s="873"/>
    </row>
    <row r="39" spans="1:9" s="882" customFormat="1" ht="19.5" customHeight="1">
      <c r="A39" s="3307"/>
      <c r="B39" s="330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7" t="s">
        <v>614</v>
      </c>
      <c r="C61" s="813" t="s">
        <v>615</v>
      </c>
      <c r="D61" s="813" t="s">
        <v>616</v>
      </c>
      <c r="E61" s="890">
        <v>0.5</v>
      </c>
      <c r="F61" s="877">
        <v>80</v>
      </c>
    </row>
    <row r="62" spans="1:8" s="873" customFormat="1" ht="24">
      <c r="A62" s="877">
        <v>2</v>
      </c>
      <c r="B62" s="3307"/>
      <c r="C62" s="813" t="s">
        <v>617</v>
      </c>
      <c r="D62" s="813" t="s">
        <v>618</v>
      </c>
      <c r="E62" s="890">
        <v>0.5</v>
      </c>
      <c r="F62" s="877">
        <v>80</v>
      </c>
    </row>
    <row r="63" spans="1:8" s="873" customFormat="1" ht="36">
      <c r="A63" s="877">
        <v>3</v>
      </c>
      <c r="B63" s="3307"/>
      <c r="C63" s="813" t="s">
        <v>619</v>
      </c>
      <c r="D63" s="813" t="s">
        <v>620</v>
      </c>
      <c r="E63" s="890">
        <v>0.5</v>
      </c>
      <c r="F63" s="877">
        <v>80</v>
      </c>
    </row>
    <row r="64" spans="1:8" s="873" customFormat="1" ht="36">
      <c r="A64" s="877">
        <v>4</v>
      </c>
      <c r="B64" s="3307"/>
      <c r="C64" s="813" t="s">
        <v>621</v>
      </c>
      <c r="D64" s="813" t="s">
        <v>622</v>
      </c>
      <c r="E64" s="890">
        <v>0.4</v>
      </c>
      <c r="F64" s="877">
        <v>60</v>
      </c>
    </row>
    <row r="65" spans="1:6" s="873" customFormat="1" ht="36">
      <c r="A65" s="877">
        <v>5</v>
      </c>
      <c r="B65" s="3307"/>
      <c r="C65" s="813" t="s">
        <v>623</v>
      </c>
      <c r="D65" s="813" t="s">
        <v>624</v>
      </c>
      <c r="E65" s="890">
        <v>0.2</v>
      </c>
      <c r="F65" s="877">
        <v>30</v>
      </c>
    </row>
    <row r="66" spans="1:6" s="873" customFormat="1" ht="36">
      <c r="A66" s="877">
        <v>6</v>
      </c>
      <c r="B66" s="3307"/>
      <c r="C66" s="813" t="s">
        <v>625</v>
      </c>
      <c r="D66" s="813" t="s">
        <v>626</v>
      </c>
      <c r="E66" s="890">
        <v>0.3</v>
      </c>
      <c r="F66" s="877">
        <v>50</v>
      </c>
    </row>
    <row r="67" spans="1:6" s="873" customFormat="1" ht="36">
      <c r="A67" s="877">
        <v>7</v>
      </c>
      <c r="B67" s="3307"/>
      <c r="C67" s="813" t="s">
        <v>627</v>
      </c>
      <c r="D67" s="813" t="s">
        <v>628</v>
      </c>
      <c r="E67" s="890">
        <v>0.2</v>
      </c>
      <c r="F67" s="877">
        <v>30</v>
      </c>
    </row>
    <row r="68" spans="1:6" s="873" customFormat="1" ht="36">
      <c r="A68" s="877">
        <v>8</v>
      </c>
      <c r="B68" s="3307"/>
      <c r="C68" s="813" t="s">
        <v>629</v>
      </c>
      <c r="D68" s="813" t="s">
        <v>630</v>
      </c>
      <c r="E68" s="890">
        <v>0.2</v>
      </c>
      <c r="F68" s="877">
        <v>30</v>
      </c>
    </row>
    <row r="69" spans="1:6" s="873" customFormat="1" ht="36">
      <c r="A69" s="877">
        <v>9</v>
      </c>
      <c r="B69" s="3307"/>
      <c r="C69" s="813" t="s">
        <v>631</v>
      </c>
      <c r="D69" s="813" t="s">
        <v>632</v>
      </c>
      <c r="E69" s="890">
        <v>0.2</v>
      </c>
      <c r="F69" s="877">
        <v>30</v>
      </c>
    </row>
    <row r="70" spans="1:6" s="873" customFormat="1" ht="48">
      <c r="A70" s="877">
        <v>10</v>
      </c>
      <c r="B70" s="3307"/>
      <c r="C70" s="813" t="s">
        <v>633</v>
      </c>
      <c r="D70" s="813" t="s">
        <v>634</v>
      </c>
      <c r="E70" s="890">
        <v>0.2</v>
      </c>
      <c r="F70" s="877">
        <v>30</v>
      </c>
    </row>
    <row r="71" spans="1:6" s="873" customFormat="1" ht="48">
      <c r="A71" s="877">
        <v>11</v>
      </c>
      <c r="B71" s="3307"/>
      <c r="C71" s="813" t="s">
        <v>635</v>
      </c>
      <c r="D71" s="813" t="s">
        <v>636</v>
      </c>
      <c r="E71" s="890">
        <v>0.2</v>
      </c>
      <c r="F71" s="877">
        <v>30</v>
      </c>
    </row>
    <row r="72" spans="1:6" s="873" customFormat="1" ht="36">
      <c r="A72" s="877">
        <v>12</v>
      </c>
      <c r="B72" s="3307"/>
      <c r="C72" s="813" t="s">
        <v>637</v>
      </c>
      <c r="D72" s="813" t="s">
        <v>638</v>
      </c>
      <c r="E72" s="890">
        <v>0.5</v>
      </c>
      <c r="F72" s="877">
        <v>80</v>
      </c>
    </row>
    <row r="73" spans="1:6" s="873" customFormat="1" ht="24">
      <c r="A73" s="877">
        <v>13</v>
      </c>
      <c r="B73" s="3307"/>
      <c r="C73" s="813" t="s">
        <v>639</v>
      </c>
      <c r="D73" s="813" t="s">
        <v>640</v>
      </c>
      <c r="E73" s="890">
        <v>0.4</v>
      </c>
      <c r="F73" s="877">
        <v>60</v>
      </c>
    </row>
    <row r="74" spans="1:6" s="873" customFormat="1" ht="24">
      <c r="A74" s="877">
        <v>14</v>
      </c>
      <c r="B74" s="3307"/>
      <c r="C74" s="813" t="s">
        <v>641</v>
      </c>
      <c r="D74" s="813" t="s">
        <v>642</v>
      </c>
      <c r="E74" s="890">
        <v>0.2</v>
      </c>
      <c r="F74" s="877">
        <v>30</v>
      </c>
    </row>
    <row r="75" spans="1:6" s="873" customFormat="1" ht="24">
      <c r="A75" s="877">
        <v>15</v>
      </c>
      <c r="B75" s="3307"/>
      <c r="C75" s="813" t="s">
        <v>643</v>
      </c>
      <c r="D75" s="813" t="s">
        <v>644</v>
      </c>
      <c r="E75" s="890">
        <v>0.2</v>
      </c>
      <c r="F75" s="877">
        <v>30</v>
      </c>
    </row>
    <row r="76" spans="1:6" s="873" customFormat="1" ht="24">
      <c r="A76" s="877">
        <v>16</v>
      </c>
      <c r="B76" s="3307" t="s">
        <v>645</v>
      </c>
      <c r="C76" s="813" t="s">
        <v>646</v>
      </c>
      <c r="D76" s="813" t="s">
        <v>647</v>
      </c>
      <c r="E76" s="890">
        <v>0.5</v>
      </c>
      <c r="F76" s="877">
        <v>80</v>
      </c>
    </row>
    <row r="77" spans="1:6" s="873" customFormat="1" ht="24">
      <c r="A77" s="877">
        <v>17</v>
      </c>
      <c r="B77" s="3307"/>
      <c r="C77" s="813" t="s">
        <v>648</v>
      </c>
      <c r="D77" s="813" t="s">
        <v>649</v>
      </c>
      <c r="E77" s="890">
        <v>0.5</v>
      </c>
      <c r="F77" s="877">
        <v>80</v>
      </c>
    </row>
    <row r="78" spans="1:6" s="873" customFormat="1" ht="24">
      <c r="A78" s="877">
        <v>18</v>
      </c>
      <c r="B78" s="3307"/>
      <c r="C78" s="813" t="s">
        <v>650</v>
      </c>
      <c r="D78" s="813" t="s">
        <v>651</v>
      </c>
      <c r="E78" s="890">
        <v>0.2</v>
      </c>
      <c r="F78" s="877">
        <v>30</v>
      </c>
    </row>
    <row r="79" spans="1:6" s="873" customFormat="1" ht="24">
      <c r="A79" s="877">
        <v>19</v>
      </c>
      <c r="B79" s="3307"/>
      <c r="C79" s="813" t="s">
        <v>652</v>
      </c>
      <c r="D79" s="813" t="s">
        <v>653</v>
      </c>
      <c r="E79" s="890">
        <v>0.5</v>
      </c>
      <c r="F79" s="877">
        <v>80</v>
      </c>
    </row>
    <row r="80" spans="1:6" s="873" customFormat="1" ht="36">
      <c r="A80" s="877">
        <v>20</v>
      </c>
      <c r="B80" s="3307"/>
      <c r="C80" s="813" t="s">
        <v>654</v>
      </c>
      <c r="D80" s="813" t="s">
        <v>655</v>
      </c>
      <c r="E80" s="890">
        <v>0.2</v>
      </c>
      <c r="F80" s="877">
        <v>30</v>
      </c>
    </row>
    <row r="81" spans="1:6" s="873" customFormat="1" ht="36">
      <c r="A81" s="877">
        <v>21</v>
      </c>
      <c r="B81" s="3307"/>
      <c r="C81" s="813" t="s">
        <v>656</v>
      </c>
      <c r="D81" s="813" t="s">
        <v>657</v>
      </c>
      <c r="E81" s="890">
        <v>0.2</v>
      </c>
      <c r="F81" s="877">
        <v>30</v>
      </c>
    </row>
    <row r="82" spans="1:6" s="873" customFormat="1" ht="48">
      <c r="A82" s="877">
        <v>22</v>
      </c>
      <c r="B82" s="3307"/>
      <c r="C82" s="813" t="s">
        <v>658</v>
      </c>
      <c r="D82" s="813" t="s">
        <v>659</v>
      </c>
      <c r="E82" s="890">
        <v>0.2</v>
      </c>
      <c r="F82" s="877">
        <v>30</v>
      </c>
    </row>
    <row r="83" spans="1:6" s="873" customFormat="1" ht="48">
      <c r="A83" s="877">
        <v>23</v>
      </c>
      <c r="B83" s="3307"/>
      <c r="C83" s="813" t="s">
        <v>660</v>
      </c>
      <c r="D83" s="813" t="s">
        <v>661</v>
      </c>
      <c r="E83" s="890">
        <v>0.2</v>
      </c>
      <c r="F83" s="877">
        <v>30</v>
      </c>
    </row>
    <row r="84" spans="1:6" s="873" customFormat="1" ht="36">
      <c r="A84" s="877">
        <v>24</v>
      </c>
      <c r="B84" s="3307"/>
      <c r="C84" s="813" t="s">
        <v>662</v>
      </c>
      <c r="D84" s="813" t="s">
        <v>663</v>
      </c>
      <c r="E84" s="890">
        <v>0.2</v>
      </c>
      <c r="F84" s="877">
        <v>30</v>
      </c>
    </row>
    <row r="85" spans="1:6" s="873" customFormat="1" ht="36">
      <c r="A85" s="877">
        <v>25</v>
      </c>
      <c r="B85" s="3307"/>
      <c r="C85" s="813" t="s">
        <v>664</v>
      </c>
      <c r="D85" s="813" t="s">
        <v>665</v>
      </c>
      <c r="E85" s="890">
        <v>0.5</v>
      </c>
      <c r="F85" s="877">
        <v>80</v>
      </c>
    </row>
    <row r="86" spans="1:6" s="873" customFormat="1" ht="36">
      <c r="A86" s="877">
        <v>26</v>
      </c>
      <c r="B86" s="3307"/>
      <c r="C86" s="813" t="s">
        <v>666</v>
      </c>
      <c r="D86" s="813" t="s">
        <v>667</v>
      </c>
      <c r="E86" s="890">
        <v>0.2</v>
      </c>
      <c r="F86" s="877">
        <v>30</v>
      </c>
    </row>
    <row r="87" spans="1:6" s="873" customFormat="1" ht="36">
      <c r="A87" s="877">
        <v>27</v>
      </c>
      <c r="B87" s="3307"/>
      <c r="C87" s="813" t="s">
        <v>668</v>
      </c>
      <c r="D87" s="813" t="s">
        <v>669</v>
      </c>
      <c r="E87" s="890">
        <v>0.2</v>
      </c>
      <c r="F87" s="877">
        <v>30</v>
      </c>
    </row>
    <row r="88" spans="1:6" s="873" customFormat="1" ht="36">
      <c r="A88" s="877">
        <v>28</v>
      </c>
      <c r="B88" s="3307"/>
      <c r="C88" s="813" t="s">
        <v>670</v>
      </c>
      <c r="D88" s="813" t="s">
        <v>671</v>
      </c>
      <c r="E88" s="890">
        <v>0.2</v>
      </c>
      <c r="F88" s="877">
        <v>30</v>
      </c>
    </row>
    <row r="89" spans="1:6" s="873" customFormat="1" ht="24">
      <c r="A89" s="877">
        <v>29</v>
      </c>
      <c r="B89" s="3307"/>
      <c r="C89" s="813" t="s">
        <v>672</v>
      </c>
      <c r="D89" s="813" t="s">
        <v>673</v>
      </c>
      <c r="E89" s="890">
        <v>0.2</v>
      </c>
      <c r="F89" s="877">
        <v>30</v>
      </c>
    </row>
    <row r="90" spans="1:6" s="873" customFormat="1" ht="24">
      <c r="A90" s="877">
        <v>30</v>
      </c>
      <c r="B90" s="3307"/>
      <c r="C90" s="813" t="s">
        <v>674</v>
      </c>
      <c r="D90" s="813" t="s">
        <v>675</v>
      </c>
      <c r="E90" s="890">
        <v>0.2</v>
      </c>
      <c r="F90" s="877">
        <v>30</v>
      </c>
    </row>
    <row r="91" spans="1:6" s="873" customFormat="1" ht="36">
      <c r="A91" s="877">
        <v>31</v>
      </c>
      <c r="B91" s="3307"/>
      <c r="C91" s="813" t="s">
        <v>676</v>
      </c>
      <c r="D91" s="813" t="s">
        <v>677</v>
      </c>
      <c r="E91" s="890">
        <v>0.2</v>
      </c>
      <c r="F91" s="877">
        <v>30</v>
      </c>
    </row>
    <row r="92" spans="1:6" s="873" customFormat="1" ht="24">
      <c r="A92" s="877">
        <v>32</v>
      </c>
      <c r="B92" s="3307" t="s">
        <v>678</v>
      </c>
      <c r="C92" s="877" t="s">
        <v>679</v>
      </c>
      <c r="D92" s="813" t="s">
        <v>680</v>
      </c>
      <c r="E92" s="890">
        <v>0.2</v>
      </c>
      <c r="F92" s="877">
        <v>30</v>
      </c>
    </row>
    <row r="93" spans="1:6" s="873" customFormat="1" ht="36">
      <c r="A93" s="877">
        <v>33</v>
      </c>
      <c r="B93" s="3307"/>
      <c r="C93" s="877" t="s">
        <v>681</v>
      </c>
      <c r="D93" s="813" t="s">
        <v>682</v>
      </c>
      <c r="E93" s="890">
        <v>0.2</v>
      </c>
      <c r="F93" s="877">
        <v>30</v>
      </c>
    </row>
    <row r="94" spans="1:6" s="873" customFormat="1" ht="48">
      <c r="A94" s="877">
        <v>34</v>
      </c>
      <c r="B94" s="3307"/>
      <c r="C94" s="877" t="s">
        <v>683</v>
      </c>
      <c r="D94" s="813" t="s">
        <v>684</v>
      </c>
      <c r="E94" s="890">
        <v>0.2</v>
      </c>
      <c r="F94" s="877">
        <v>30</v>
      </c>
    </row>
    <row r="95" spans="1:6" s="873" customFormat="1" ht="36">
      <c r="A95" s="877">
        <v>35</v>
      </c>
      <c r="B95" s="3307"/>
      <c r="C95" s="877" t="s">
        <v>685</v>
      </c>
      <c r="D95" s="813" t="s">
        <v>686</v>
      </c>
      <c r="E95" s="890">
        <v>0.2</v>
      </c>
      <c r="F95" s="877">
        <v>30</v>
      </c>
    </row>
    <row r="96" spans="1:6" s="873" customFormat="1" ht="48">
      <c r="A96" s="877">
        <v>36</v>
      </c>
      <c r="B96" s="3307"/>
      <c r="C96" s="813" t="s">
        <v>687</v>
      </c>
      <c r="D96" s="813" t="s">
        <v>688</v>
      </c>
      <c r="E96" s="890">
        <v>0.2</v>
      </c>
      <c r="F96" s="877">
        <v>30</v>
      </c>
    </row>
    <row r="97" spans="1:6" s="873" customFormat="1" ht="36">
      <c r="A97" s="877">
        <v>37</v>
      </c>
      <c r="B97" s="3307"/>
      <c r="C97" s="877" t="s">
        <v>689</v>
      </c>
      <c r="D97" s="813" t="s">
        <v>690</v>
      </c>
      <c r="E97" s="890">
        <v>0.2</v>
      </c>
      <c r="F97" s="877">
        <v>30</v>
      </c>
    </row>
    <row r="98" spans="1:6" s="873" customFormat="1" ht="36">
      <c r="A98" s="877">
        <v>38</v>
      </c>
      <c r="B98" s="3307"/>
      <c r="C98" s="877" t="s">
        <v>691</v>
      </c>
      <c r="D98" s="813" t="s">
        <v>692</v>
      </c>
      <c r="E98" s="890">
        <v>0.2</v>
      </c>
      <c r="F98" s="877">
        <v>30</v>
      </c>
    </row>
    <row r="99" spans="1:6" s="873" customFormat="1" ht="36">
      <c r="A99" s="877">
        <v>39</v>
      </c>
      <c r="B99" s="3307" t="s">
        <v>693</v>
      </c>
      <c r="C99" s="877" t="s">
        <v>694</v>
      </c>
      <c r="D99" s="813" t="s">
        <v>695</v>
      </c>
      <c r="E99" s="890">
        <v>0.3</v>
      </c>
      <c r="F99" s="877">
        <v>50</v>
      </c>
    </row>
    <row r="100" spans="1:6" s="873" customFormat="1" ht="24">
      <c r="A100" s="877">
        <v>40</v>
      </c>
      <c r="B100" s="3307"/>
      <c r="C100" s="877" t="s">
        <v>696</v>
      </c>
      <c r="D100" s="813" t="s">
        <v>697</v>
      </c>
      <c r="E100" s="890">
        <v>0.2</v>
      </c>
      <c r="F100" s="877">
        <v>30</v>
      </c>
    </row>
    <row r="101" spans="1:6" s="873" customFormat="1" ht="36">
      <c r="A101" s="877">
        <v>41</v>
      </c>
      <c r="B101" s="330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7" t="s">
        <v>708</v>
      </c>
      <c r="C105" s="877" t="s">
        <v>709</v>
      </c>
      <c r="D105" s="813" t="s">
        <v>710</v>
      </c>
      <c r="E105" s="890">
        <v>0.2</v>
      </c>
      <c r="F105" s="877">
        <v>30</v>
      </c>
    </row>
    <row r="106" spans="1:6" s="873" customFormat="1" ht="36">
      <c r="A106" s="877">
        <v>46</v>
      </c>
      <c r="B106" s="3307"/>
      <c r="C106" s="877" t="s">
        <v>711</v>
      </c>
      <c r="D106" s="813" t="s">
        <v>712</v>
      </c>
      <c r="E106" s="890">
        <v>0.2</v>
      </c>
      <c r="F106" s="877">
        <v>30</v>
      </c>
    </row>
    <row r="107" spans="1:6" s="873" customFormat="1" ht="36">
      <c r="A107" s="877">
        <v>47</v>
      </c>
      <c r="B107" s="3307" t="s">
        <v>713</v>
      </c>
      <c r="C107" s="877" t="s">
        <v>714</v>
      </c>
      <c r="D107" s="813" t="s">
        <v>715</v>
      </c>
      <c r="E107" s="890">
        <v>0.3</v>
      </c>
      <c r="F107" s="877">
        <v>50</v>
      </c>
    </row>
    <row r="108" spans="1:6" s="873" customFormat="1" ht="36">
      <c r="A108" s="877">
        <v>48</v>
      </c>
      <c r="B108" s="330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7" t="s">
        <v>724</v>
      </c>
      <c r="C111" s="877" t="s">
        <v>725</v>
      </c>
      <c r="D111" s="813" t="s">
        <v>726</v>
      </c>
      <c r="E111" s="890">
        <v>0.2</v>
      </c>
      <c r="F111" s="877">
        <v>30</v>
      </c>
    </row>
    <row r="112" spans="1:6" s="873" customFormat="1" ht="24">
      <c r="A112" s="877">
        <v>52</v>
      </c>
      <c r="B112" s="3307"/>
      <c r="C112" s="877" t="s">
        <v>727</v>
      </c>
      <c r="D112" s="813" t="s">
        <v>728</v>
      </c>
      <c r="E112" s="890">
        <v>0.2</v>
      </c>
      <c r="F112" s="877">
        <v>30</v>
      </c>
    </row>
    <row r="113" spans="1:6" s="873" customFormat="1" ht="24">
      <c r="A113" s="877">
        <v>53</v>
      </c>
      <c r="B113" s="330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7" t="s">
        <v>737</v>
      </c>
      <c r="C116" s="877" t="s">
        <v>738</v>
      </c>
      <c r="D116" s="813" t="s">
        <v>739</v>
      </c>
      <c r="E116" s="890">
        <v>0.2</v>
      </c>
      <c r="F116" s="877">
        <v>30</v>
      </c>
    </row>
    <row r="117" spans="1:6" ht="36">
      <c r="A117" s="877">
        <v>57</v>
      </c>
      <c r="B117" s="330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3009</v>
      </c>
    </row>
    <row r="2" spans="1:5" ht="15.75">
      <c r="A2" s="2909" t="s">
        <v>3001</v>
      </c>
      <c r="B2" s="2910" t="e">
        <f ca="1">SUMIF(B6:B13,"&lt;&gt;#ref!",B6:B13)</f>
        <v>#DIV/0!</v>
      </c>
      <c r="C2" s="2909" t="s">
        <v>3002</v>
      </c>
      <c r="D2" s="2909" t="s">
        <v>3003</v>
      </c>
      <c r="E2" s="2910" t="e">
        <f ca="1">SUM(E6:E13)</f>
        <v>#REF!</v>
      </c>
    </row>
    <row r="3" spans="1:5" ht="15.75">
      <c r="A3" s="2909" t="s">
        <v>3004</v>
      </c>
      <c r="B3" s="2910" t="e">
        <f ca="1">ROUND(B2*10000/E2,0)</f>
        <v>#DIV/0!</v>
      </c>
      <c r="C3" s="2909" t="s">
        <v>3010</v>
      </c>
      <c r="D3" s="2911"/>
      <c r="E3" s="2911"/>
    </row>
    <row r="4" spans="1:5" ht="15.75">
      <c r="A4" s="2912"/>
      <c r="B4" s="2911"/>
      <c r="C4" s="2911"/>
      <c r="D4" s="2911"/>
      <c r="E4" s="2911"/>
    </row>
    <row r="5" spans="1:5" ht="28.5">
      <c r="A5" s="2913" t="s">
        <v>3005</v>
      </c>
      <c r="B5" s="2909" t="s">
        <v>3006</v>
      </c>
      <c r="C5" s="2910"/>
      <c r="D5" s="2911"/>
      <c r="E5" s="2909" t="s">
        <v>3007</v>
      </c>
    </row>
    <row r="6" spans="1:5" ht="15.75">
      <c r="A6" s="2914" t="s">
        <v>3008</v>
      </c>
      <c r="B6" s="2910" t="e">
        <f ca="1">SUMIF(INDIRECT("'"&amp;A6&amp;"'"&amp;"!A:A"),"总价",INDIRECT("'"&amp;A6&amp;"'"&amp;"!B:B"))</f>
        <v>#DIV/0!</v>
      </c>
      <c r="C6" s="2909" t="s">
        <v>3002</v>
      </c>
      <c r="D6" s="2911"/>
      <c r="E6" s="2574">
        <f ca="1">SUMIF(INDIRECT("'"&amp;A6&amp;"'"&amp;"!C:C"),"建筑面积",INDIRECT("'"&amp;A6&amp;"'"&amp;"!D:D"))</f>
        <v>0</v>
      </c>
    </row>
    <row r="7" spans="1:5" ht="15.75">
      <c r="A7" s="2914"/>
      <c r="B7" s="2910" t="e">
        <f ca="1">SUMIF(INDIRECT("'"&amp;A7&amp;"'"&amp;"!A:A"),"总价",INDIRECT("'"&amp;A7&amp;"'"&amp;"!B:B"))</f>
        <v>#REF!</v>
      </c>
      <c r="C7" s="2909" t="s">
        <v>3002</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3002</v>
      </c>
      <c r="D8" s="2911"/>
      <c r="E8" s="2574" t="e">
        <f t="shared" ca="1" si="0"/>
        <v>#REF!</v>
      </c>
    </row>
    <row r="9" spans="1:5" ht="15.75">
      <c r="A9" s="2914"/>
      <c r="B9" s="2910" t="e">
        <f t="shared" ca="1" si="1"/>
        <v>#REF!</v>
      </c>
      <c r="C9" s="2909" t="s">
        <v>3002</v>
      </c>
      <c r="D9" s="2911"/>
      <c r="E9" s="2574" t="e">
        <f t="shared" ca="1" si="0"/>
        <v>#REF!</v>
      </c>
    </row>
    <row r="10" spans="1:5" ht="15.75">
      <c r="A10" s="2914"/>
      <c r="B10" s="2910" t="e">
        <f t="shared" ca="1" si="1"/>
        <v>#REF!</v>
      </c>
      <c r="C10" s="2909" t="s">
        <v>3002</v>
      </c>
      <c r="D10" s="2911"/>
      <c r="E10" s="2574" t="e">
        <f t="shared" ca="1" si="0"/>
        <v>#REF!</v>
      </c>
    </row>
    <row r="11" spans="1:5" ht="15.75">
      <c r="A11" s="2914"/>
      <c r="B11" s="2910" t="e">
        <f t="shared" ca="1" si="1"/>
        <v>#REF!</v>
      </c>
      <c r="C11" s="2909" t="s">
        <v>3002</v>
      </c>
      <c r="D11" s="2911"/>
      <c r="E11" s="2574" t="e">
        <f t="shared" ca="1" si="0"/>
        <v>#REF!</v>
      </c>
    </row>
    <row r="12" spans="1:5" ht="15.75">
      <c r="A12" s="2914"/>
      <c r="B12" s="2910" t="e">
        <f t="shared" ca="1" si="1"/>
        <v>#REF!</v>
      </c>
      <c r="C12" s="2909" t="s">
        <v>3002</v>
      </c>
      <c r="D12" s="2911"/>
      <c r="E12" s="2574" t="e">
        <f t="shared" ca="1" si="0"/>
        <v>#REF!</v>
      </c>
    </row>
    <row r="13" spans="1:5" ht="15.75">
      <c r="A13" s="2914"/>
      <c r="B13" s="2910" t="e">
        <f t="shared" ca="1" si="1"/>
        <v>#REF!</v>
      </c>
      <c r="C13" s="2909" t="s">
        <v>3002</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13" t="s">
        <v>1150</v>
      </c>
      <c r="C1" s="3313"/>
      <c r="D1" s="3313"/>
      <c r="E1" s="3313"/>
      <c r="F1" s="3313"/>
      <c r="G1" s="3312" t="s">
        <v>1151</v>
      </c>
      <c r="H1" s="3312"/>
      <c r="I1" s="3312"/>
      <c r="J1" s="3312"/>
      <c r="K1" s="3312"/>
      <c r="L1" s="3312"/>
      <c r="N1" s="3312" t="s">
        <v>1152</v>
      </c>
      <c r="O1" s="3312"/>
      <c r="P1" s="3312"/>
      <c r="Q1" s="3312"/>
      <c r="R1" s="1444"/>
      <c r="S1" s="3312" t="s">
        <v>1153</v>
      </c>
      <c r="T1" s="3312"/>
      <c r="U1" s="3312"/>
      <c r="V1" s="3312"/>
      <c r="X1" s="3311" t="s">
        <v>1154</v>
      </c>
      <c r="Y1" s="3312"/>
      <c r="Z1" s="3312"/>
      <c r="AA1" s="3312"/>
      <c r="AB1" s="3312"/>
      <c r="AD1" s="3311" t="s">
        <v>1155</v>
      </c>
      <c r="AE1" s="3312"/>
      <c r="AF1" s="3312"/>
      <c r="AG1" s="3312"/>
      <c r="AH1" s="3312"/>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3"/>
      <c r="J3" s="2923"/>
      <c r="K3" s="2923"/>
      <c r="L3" s="2923"/>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3046</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3">
        <f>ROUND(AVERAGE(I5:I20),2)</f>
        <v>2.4900000000000002</v>
      </c>
      <c r="J4" s="2923">
        <f t="shared" ref="J4:L4" si="7">ROUND(AVERAGE(J5:J20),2)</f>
        <v>1.64</v>
      </c>
      <c r="K4" s="2923">
        <f t="shared" si="7"/>
        <v>2.78</v>
      </c>
      <c r="L4" s="2923">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3044</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0">
        <v>2017</v>
      </c>
      <c r="H5" s="1729">
        <v>4</v>
      </c>
      <c r="I5" s="2924">
        <f>ROUND(AVERAGE(I6:I20),2)</f>
        <v>2.4900000000000002</v>
      </c>
      <c r="J5" s="2924">
        <f>ROUND(AVERAGE(J6:J20),2)</f>
        <v>1.64</v>
      </c>
      <c r="K5" s="2924">
        <f>ROUND(AVERAGE(K6:K20),2)</f>
        <v>2.78</v>
      </c>
      <c r="L5" s="2924">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3045</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2"/>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21"/>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22"/>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14">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09"/>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09"/>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10"/>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08">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09"/>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09"/>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10"/>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08">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09"/>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09"/>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10"/>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15">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16"/>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16"/>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17"/>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308">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309"/>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309"/>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10"/>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308">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09">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309">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10">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308">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09">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309">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10">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308">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09">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309">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10">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308">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09">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309">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10">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308">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09">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309">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10">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308">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09">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309">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10">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308">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09">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309">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10">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308">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09">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309">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10">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308">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309">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309">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10">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308">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309">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309">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10">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3011</v>
      </c>
      <c r="C1" s="3319" t="s">
        <v>3012</v>
      </c>
      <c r="D1" s="3320"/>
      <c r="E1" s="3320"/>
      <c r="F1" s="3320"/>
      <c r="G1" s="3320"/>
      <c r="H1" s="3320"/>
      <c r="I1" s="3320"/>
      <c r="J1" s="3320"/>
      <c r="K1" s="3320"/>
      <c r="L1" s="3320"/>
      <c r="M1" s="3320"/>
      <c r="N1" s="3320"/>
      <c r="O1" s="3320"/>
      <c r="P1" s="3320"/>
      <c r="Q1" s="3320"/>
      <c r="R1" s="3320"/>
      <c r="S1" s="3321"/>
      <c r="T1" s="1202" t="s">
        <v>3013</v>
      </c>
    </row>
    <row r="2" spans="1:45" s="707" customFormat="1">
      <c r="A2" s="1203"/>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8" t="s">
        <v>3015</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9" t="s">
        <v>3016</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9" t="s">
        <v>3017</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8" t="s">
        <v>3018</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8" t="s">
        <v>3019</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8" t="s">
        <v>3020</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3021</v>
      </c>
      <c r="B17" s="2916" t="s">
        <v>3022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7" t="s">
        <v>3023</v>
      </c>
      <c r="E19" s="1791"/>
      <c r="F19" s="1791"/>
      <c r="G19" s="1791"/>
      <c r="H19" s="1278"/>
      <c r="I19" s="168"/>
      <c r="J19" s="168"/>
      <c r="K19" s="168"/>
      <c r="L19" s="168"/>
      <c r="M19" s="168"/>
      <c r="N19" s="168"/>
      <c r="O19" s="168"/>
      <c r="P19" s="168"/>
      <c r="Q19" s="168"/>
      <c r="R19" s="788"/>
      <c r="S19" s="138"/>
    </row>
    <row r="20" spans="1:45" ht="16.5" thickBot="1">
      <c r="A20" s="715" t="s">
        <v>3024</v>
      </c>
      <c r="B20" s="338" t="e">
        <f ca="1">IF(D20="——",S22,S22-F20)</f>
        <v>#REF!</v>
      </c>
      <c r="C20" s="168"/>
      <c r="D20" s="2918" t="s">
        <v>3025</v>
      </c>
      <c r="E20" s="1792"/>
      <c r="F20" s="1202" t="e">
        <f ca="1">SUMIF(INDIRECT("'"&amp;H20&amp;"'"&amp;"!A:A"),"承租人权益价值",INDIRECT("'"&amp;H20&amp;"'"&amp;"!c:c"))</f>
        <v>#REF!</v>
      </c>
      <c r="G20" s="1202" t="s">
        <v>3026</v>
      </c>
      <c r="H20" s="2919"/>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79" t="s">
        <v>33</v>
      </c>
      <c r="D22" s="3180"/>
      <c r="E22" s="3180"/>
      <c r="F22" s="3180"/>
      <c r="G22" s="3180"/>
      <c r="H22" s="3180"/>
      <c r="I22" s="3180"/>
      <c r="J22" s="3180"/>
      <c r="K22" s="3180"/>
      <c r="L22" s="3180"/>
      <c r="M22" s="3180"/>
      <c r="N22" s="3180"/>
      <c r="O22" s="3180"/>
      <c r="P22" s="3180"/>
      <c r="Q22" s="3318"/>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57415</v>
      </c>
      <c r="C2" s="2" t="s">
        <v>133</v>
      </c>
      <c r="D2" s="243"/>
      <c r="E2" s="243"/>
      <c r="F2" s="243"/>
      <c r="G2" s="243"/>
    </row>
    <row r="3" spans="1:7" s="244" customFormat="1" ht="18" customHeight="1" thickBot="1">
      <c r="A3" s="247" t="s">
        <v>85</v>
      </c>
      <c r="B3" s="248">
        <f ca="1">ROUND(B2*10000/'数据-汇总表'!E3,0)</f>
        <v>11386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50425.270000000004</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1009</v>
      </c>
      <c r="D19" s="1034">
        <f>'数据-汇总表'!E3</f>
        <v>50425.270000000004</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2123</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98</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3969</v>
      </c>
      <c r="D27" s="279">
        <f>C29</f>
        <v>3.5999999999999999E-3</v>
      </c>
      <c r="E27" s="280" t="s">
        <v>126</v>
      </c>
      <c r="F27" s="290">
        <f>'数据-取费表'!Q16</f>
        <v>0.18</v>
      </c>
      <c r="G27" s="291" t="s">
        <v>1069</v>
      </c>
    </row>
    <row r="28" spans="1:7" s="258" customFormat="1" ht="13.5" customHeight="1">
      <c r="A28" s="949" t="s">
        <v>794</v>
      </c>
      <c r="B28" s="292" t="s">
        <v>1062</v>
      </c>
      <c r="C28" s="293">
        <f>ROUND((C5+C19+C20)*F27*'数据-取费表'!B21/'数据-取费表'!B20,0)</f>
        <v>3969</v>
      </c>
      <c r="D28" s="279"/>
      <c r="E28" s="280"/>
      <c r="F28" s="290"/>
      <c r="G28" s="291"/>
    </row>
    <row r="29" spans="1:7" s="258" customFormat="1" ht="13.5" customHeight="1">
      <c r="A29" s="949" t="s">
        <v>792</v>
      </c>
      <c r="B29" s="292" t="s">
        <v>1063</v>
      </c>
      <c r="C29" s="282">
        <f>ROUND(C21*F27*'数据-取费表'!B21/'数据-取费表'!B20,4)</f>
        <v>3.5999999999999999E-3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30522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19805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17649</v>
      </c>
      <c r="D34" s="261"/>
      <c r="E34" s="264"/>
      <c r="F34" s="301">
        <f>IF('数据-取费表'!B24=0,1,'数据-取费表'!N16)</f>
        <v>1</v>
      </c>
      <c r="G34" s="263" t="s">
        <v>116</v>
      </c>
    </row>
    <row r="35" spans="1:7" ht="13.5" customHeight="1">
      <c r="A35" s="949" t="s">
        <v>796</v>
      </c>
      <c r="B35" s="259" t="s">
        <v>60</v>
      </c>
      <c r="C35" s="264">
        <f>ROUND(C34*F35,0)</f>
        <v>882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1009</v>
      </c>
      <c r="D37" s="261">
        <f>'数据-汇总表'!E3</f>
        <v>50425.270000000004</v>
      </c>
      <c r="E37" s="293">
        <f>'数据-取费表'!B35</f>
        <v>200</v>
      </c>
      <c r="F37" s="303"/>
      <c r="G37" s="305" t="s">
        <v>119</v>
      </c>
    </row>
    <row r="38" spans="1:7" ht="13.5" customHeight="1">
      <c r="A38" s="949" t="s">
        <v>799</v>
      </c>
      <c r="B38" s="259" t="s">
        <v>63</v>
      </c>
      <c r="C38" s="264">
        <f>ROUND(C34*F38,0)</f>
        <v>265</v>
      </c>
      <c r="D38" s="264"/>
      <c r="E38" s="264"/>
      <c r="F38" s="303">
        <f>'数据-取费表'!B36</f>
        <v>1.4999999999999999E-2</v>
      </c>
      <c r="G38" s="263" t="s">
        <v>117</v>
      </c>
    </row>
    <row r="39" spans="1:7" s="258" customFormat="1" ht="13.5" customHeight="1">
      <c r="A39" s="946" t="s">
        <v>783</v>
      </c>
      <c r="B39" s="254" t="s">
        <v>104</v>
      </c>
      <c r="C39" s="276">
        <f>ROUND(C33*F20,0)</f>
        <v>396</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960</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941</v>
      </c>
      <c r="D42" s="282"/>
      <c r="E42" s="282"/>
      <c r="F42" s="283"/>
      <c r="G42" s="3184" t="s">
        <v>121</v>
      </c>
    </row>
    <row r="43" spans="1:7" ht="13.5" customHeight="1">
      <c r="A43" s="949" t="s">
        <v>792</v>
      </c>
      <c r="B43" s="259" t="s">
        <v>1064</v>
      </c>
      <c r="C43" s="282">
        <f ca="1">ROUND(IF('数据-取费表'!B22&lt;=1,C39*F22*'数据-取费表'!B21/2,C39*(POWER((1+F22),'数据-取费表'!B21/2)-1)),0)</f>
        <v>19</v>
      </c>
      <c r="D43" s="282"/>
      <c r="E43" s="282"/>
      <c r="F43" s="283"/>
      <c r="G43" s="3185"/>
    </row>
    <row r="44" spans="1:7" ht="13.5" customHeight="1">
      <c r="A44" s="949" t="s">
        <v>793</v>
      </c>
      <c r="B44" s="259" t="s">
        <v>1066</v>
      </c>
      <c r="C44" s="282">
        <f ca="1">ROUND(IF('数据-取费表'!B22&lt;=1,C40*F22*'数据-取费表'!B21/2,C40*(POWER((1+F22),'数据-取费表'!B21/2)-1)),4)</f>
        <v>1E-3</v>
      </c>
      <c r="D44" s="282"/>
      <c r="E44" s="282"/>
      <c r="F44" s="283"/>
      <c r="G44" s="3186"/>
    </row>
    <row r="45" spans="1:7" s="258" customFormat="1" ht="13.5" customHeight="1">
      <c r="A45" s="946" t="s">
        <v>786</v>
      </c>
      <c r="B45" s="288" t="s">
        <v>112</v>
      </c>
      <c r="C45" s="289">
        <f>C46</f>
        <v>3636</v>
      </c>
      <c r="D45" s="279">
        <f>C47</f>
        <v>3.5999999999999999E-3</v>
      </c>
      <c r="E45" s="280" t="s">
        <v>129</v>
      </c>
      <c r="F45" s="290"/>
      <c r="G45" s="291" t="s">
        <v>1072</v>
      </c>
    </row>
    <row r="46" spans="1:7" s="258" customFormat="1" ht="13.5" customHeight="1">
      <c r="A46" s="949" t="s">
        <v>794</v>
      </c>
      <c r="B46" s="292" t="s">
        <v>1065</v>
      </c>
      <c r="C46" s="293">
        <f>ROUND((C33+C39)*F27,0)</f>
        <v>3636</v>
      </c>
      <c r="D46" s="307"/>
      <c r="E46" s="280"/>
      <c r="F46" s="290"/>
      <c r="G46" s="291"/>
    </row>
    <row r="47" spans="1:7" s="258" customFormat="1" ht="13.5" customHeight="1">
      <c r="A47" s="949" t="s">
        <v>792</v>
      </c>
      <c r="B47" s="292" t="s">
        <v>1067</v>
      </c>
      <c r="C47" s="282">
        <f>ROUND(C40*F27,4)</f>
        <v>3.5999999999999999E-3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26893</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26893</v>
      </c>
      <c r="D51" s="276"/>
      <c r="E51" s="276"/>
      <c r="F51" s="308"/>
      <c r="G51" s="278" t="s">
        <v>64</v>
      </c>
    </row>
    <row r="52" spans="1:7" s="252" customFormat="1" ht="16.5" thickBot="1">
      <c r="A52" s="309" t="s">
        <v>65</v>
      </c>
      <c r="B52" s="310"/>
      <c r="C52" s="311">
        <f ca="1">C31+C51</f>
        <v>57415</v>
      </c>
      <c r="D52" s="310"/>
      <c r="E52" s="310"/>
      <c r="F52" s="310"/>
      <c r="G52" s="312"/>
    </row>
    <row r="55" spans="1:7" ht="15">
      <c r="B55" s="314" t="s">
        <v>66</v>
      </c>
      <c r="C55" s="315"/>
    </row>
    <row r="56" spans="1:7">
      <c r="B56" s="317" t="s">
        <v>67</v>
      </c>
      <c r="C56" s="318">
        <f ca="1">ROUND(C51/C52,3)</f>
        <v>0.46800000000000003</v>
      </c>
    </row>
    <row r="57" spans="1:7">
      <c r="B57" s="317" t="s">
        <v>68</v>
      </c>
      <c r="C57" s="319">
        <f ca="1">1-C56</f>
        <v>0.53200000000000003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22" t="s">
        <v>156</v>
      </c>
      <c r="B1" s="3322"/>
      <c r="C1" s="3322"/>
      <c r="D1" s="3322"/>
      <c r="E1" s="3322"/>
      <c r="F1" s="332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3" t="s">
        <v>169</v>
      </c>
      <c r="B2" s="3323"/>
      <c r="C2" s="3323"/>
      <c r="D2" s="3323"/>
      <c r="E2" s="3323"/>
      <c r="F2" s="332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1643</v>
      </c>
      <c r="B2" s="3017" t="s">
        <v>1644</v>
      </c>
      <c r="C2" s="3017" t="s">
        <v>1645</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2" t="s">
        <v>1640</v>
      </c>
      <c r="E3" s="1042" t="s">
        <v>1646</v>
      </c>
      <c r="F3" s="1042" t="s">
        <v>1640</v>
      </c>
      <c r="G3" s="1042" t="s">
        <v>1641</v>
      </c>
      <c r="H3" s="1042" t="s">
        <v>1640</v>
      </c>
      <c r="I3" s="1042" t="s">
        <v>1641</v>
      </c>
    </row>
    <row r="4" spans="1:9" ht="30">
      <c r="A4" s="1972" t="str">
        <f>项目基本情况!S2</f>
        <v>出让国有建设用地使用权及在建建筑物房地产</v>
      </c>
      <c r="B4" s="1042">
        <f>项目基本情况!C17</f>
        <v>50425.270000000004</v>
      </c>
      <c r="C4" s="1042">
        <f>项目基本情况!C18</f>
        <v>11435.33</v>
      </c>
      <c r="D4" s="1042" t="e">
        <f ca="1">结果表!D118</f>
        <v>#REF!</v>
      </c>
      <c r="E4" s="1042" t="e">
        <f ca="1">结果表!E118</f>
        <v>#REF!</v>
      </c>
      <c r="F4" s="1042" t="e">
        <f ca="1">结果表!F118</f>
        <v>#REF!</v>
      </c>
      <c r="G4" s="1042" t="e">
        <f ca="1">结果表!G118</f>
        <v>#REF!</v>
      </c>
      <c r="H4" s="1042">
        <f ca="1">结果表!H118</f>
        <v>42677</v>
      </c>
      <c r="I4" s="1042">
        <f ca="1">结果表!I118</f>
        <v>8463</v>
      </c>
    </row>
    <row r="5" spans="1:9" ht="30" customHeight="1">
      <c r="A5" s="3011" t="s">
        <v>1642</v>
      </c>
      <c r="B5" s="3011"/>
      <c r="C5" s="3011"/>
      <c r="D5" s="3012" t="e">
        <f ca="1">结果表!D119</f>
        <v>#REF!</v>
      </c>
      <c r="E5" s="3012"/>
      <c r="F5" s="3012" t="e">
        <f ca="1">结果表!F119</f>
        <v>#REF!</v>
      </c>
      <c r="G5" s="3012"/>
      <c r="H5" s="3012" t="str">
        <f ca="1">结果表!H119</f>
        <v>肆亿贰仟陆佰柒拾柒万元整</v>
      </c>
      <c r="I5" s="3012"/>
    </row>
    <row r="6" spans="1:9" ht="15.75">
      <c r="A6" s="3010" t="str">
        <f>结果表!A120</f>
        <v>估价师知悉的法定优先受偿款</v>
      </c>
      <c r="B6" s="3010"/>
      <c r="C6" s="3010"/>
      <c r="D6" s="3010">
        <f>结果表!D120</f>
        <v>0</v>
      </c>
      <c r="E6" s="3010"/>
      <c r="F6" s="3010"/>
      <c r="G6" s="3010"/>
      <c r="H6" s="3010"/>
      <c r="I6" s="3010"/>
    </row>
    <row r="7" spans="1:9" ht="15">
      <c r="A7" s="3011" t="s">
        <v>1642</v>
      </c>
      <c r="B7" s="3011"/>
      <c r="C7" s="3011"/>
      <c r="D7" s="3013" t="str">
        <f>结果表!D121</f>
        <v>零元整</v>
      </c>
      <c r="E7" s="3014"/>
      <c r="F7" s="3014"/>
      <c r="G7" s="3014"/>
      <c r="H7" s="3014"/>
      <c r="I7" s="3015"/>
    </row>
    <row r="8" spans="1:9" ht="15.75">
      <c r="A8" s="3010" t="str">
        <f>结果表!A122</f>
        <v>房地产抵押价值</v>
      </c>
      <c r="B8" s="3010"/>
      <c r="C8" s="3010"/>
      <c r="D8" s="3010">
        <f ca="1">结果表!D122</f>
        <v>42677</v>
      </c>
      <c r="E8" s="3010"/>
      <c r="F8" s="3010"/>
      <c r="G8" s="3010"/>
      <c r="H8" s="3010"/>
      <c r="I8" s="3010"/>
    </row>
    <row r="9" spans="1:9" ht="15">
      <c r="A9" s="3011" t="s">
        <v>1642</v>
      </c>
      <c r="B9" s="3011"/>
      <c r="C9" s="3011"/>
      <c r="D9" s="3012" t="str">
        <f ca="1">结果表!D123</f>
        <v>肆亿贰仟陆佰柒拾柒万元整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1642</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1642</v>
      </c>
      <c r="B13" s="3007"/>
      <c r="C13" s="3007"/>
      <c r="D13" s="3008" t="e">
        <f>结果表!D127</f>
        <v>#VALUE!</v>
      </c>
      <c r="E13" s="3008"/>
      <c r="F13" s="3008"/>
      <c r="G13" s="3008"/>
      <c r="H13" s="3008"/>
      <c r="I13" s="3008"/>
    </row>
    <row r="14" spans="1:9" ht="15" thickTop="1">
      <c r="A14" s="3009" t="s">
        <v>1647</v>
      </c>
      <c r="B14" s="3009"/>
      <c r="C14" s="3009"/>
      <c r="D14" s="3009"/>
      <c r="E14" s="3009"/>
      <c r="F14" s="3009"/>
      <c r="G14" s="3009"/>
      <c r="H14" s="3009"/>
      <c r="I14" s="3009"/>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2" t="s">
        <v>871</v>
      </c>
      <c r="B1" s="332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43444</v>
      </c>
      <c r="D1" s="1699" t="s">
        <v>1302</v>
      </c>
      <c r="E1" s="1694">
        <f>'数据-取费表'!B22</f>
        <v>2</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2646</v>
      </c>
      <c r="C1" s="1633" t="s">
        <v>2534</v>
      </c>
      <c r="D1" s="1620"/>
      <c r="E1" s="2656"/>
      <c r="F1" s="2583" t="s">
        <v>3108</v>
      </c>
      <c r="G1" s="1630" t="s">
        <v>2647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2331</v>
      </c>
      <c r="B2" s="1416" t="e">
        <f ca="1">IF(C2="——",ROUND(C49*D3/10000,0),ROUND(C49*D3/10000,0)-D2)</f>
        <v>#DIV/0!</v>
      </c>
      <c r="C2" s="2585"/>
      <c r="D2" s="1363" t="e">
        <f ca="1">SUMIF(INDIRECT("'"&amp;F2&amp;"'"&amp;"!A:A"),"承租人权益价值",INDIRECT("'"&amp;F2&amp;"'"&amp;"!c:c"))</f>
        <v>#REF!</v>
      </c>
      <c r="E2" s="2586" t="s">
        <v>2332</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2333</v>
      </c>
      <c r="B3" s="609" t="e">
        <f ca="1">IF(C2="——",C49,ROUND(B2*10000/D3,0))</f>
        <v>#DIV/0!</v>
      </c>
      <c r="C3" s="400" t="s">
        <v>2648</v>
      </c>
      <c r="D3" s="399">
        <f>IF(D1="",'数据-汇总表'!E3,SUMIF('数据-汇总表'!$C19:$C33,D1,'数据-汇总表'!$E19:$E33))</f>
        <v>50425.270000000004</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21" t="s">
        <v>2652</v>
      </c>
      <c r="AC4" s="3202" t="s">
        <v>2653</v>
      </c>
    </row>
    <row r="5" spans="1:29" ht="15">
      <c r="A5" s="404"/>
      <c r="B5" s="405"/>
      <c r="C5" s="3224"/>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21"/>
      <c r="AC5" s="3203"/>
    </row>
    <row r="6" spans="1:29" ht="15.75" thickBot="1">
      <c r="A6" s="406"/>
      <c r="B6" s="407"/>
      <c r="C6" s="3222"/>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21"/>
      <c r="AC6" s="3204"/>
    </row>
    <row r="7" spans="1:29" s="117" customFormat="1" ht="15.75" thickBot="1">
      <c r="A7" s="408" t="s">
        <v>2552</v>
      </c>
      <c r="B7" s="409"/>
      <c r="C7" s="410">
        <f>'数据-取费表'!B2</f>
        <v>43444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2656</v>
      </c>
      <c r="D8" s="411">
        <v>100</v>
      </c>
      <c r="E8" s="414" t="s">
        <v>2591</v>
      </c>
      <c r="F8" s="413">
        <f>SUMIF(61:61,E8,62:62)-SUMIF(61:61,C8,62:62)+100</f>
        <v>100</v>
      </c>
      <c r="G8" s="414" t="s">
        <v>2591</v>
      </c>
      <c r="H8" s="411">
        <f>SUMIF(61:61,G8,62:62)-SUMIF(61:61,C8,62:62)+100</f>
        <v>100</v>
      </c>
      <c r="I8" s="414" t="s">
        <v>2591</v>
      </c>
      <c r="J8" s="411">
        <f>SUMIF(61:61,I8,62:62)-SUMIF(61:61,C8,62:62)+100</f>
        <v>100</v>
      </c>
      <c r="K8" s="611"/>
      <c r="L8" s="1130"/>
      <c r="M8" s="1131"/>
      <c r="N8" s="1131"/>
      <c r="O8" s="1131"/>
      <c r="P8" s="3226" t="s">
        <v>2556</v>
      </c>
      <c r="Q8" s="3227"/>
      <c r="R8" s="770" t="s">
        <v>17</v>
      </c>
      <c r="S8" s="771">
        <f t="shared" si="0"/>
        <v>100</v>
      </c>
      <c r="T8" s="770" t="s">
        <v>17</v>
      </c>
      <c r="U8" s="771">
        <f t="shared" si="1"/>
        <v>100</v>
      </c>
      <c r="V8" s="770" t="s">
        <v>17</v>
      </c>
      <c r="W8" s="771">
        <f t="shared" si="2"/>
        <v>100</v>
      </c>
      <c r="X8" s="772"/>
      <c r="Y8" s="3226" t="s">
        <v>2556</v>
      </c>
      <c r="Z8" s="3227"/>
      <c r="AA8" s="773">
        <f t="shared" ref="AA8:AA46" si="3">D8/F8</f>
        <v>1</v>
      </c>
      <c r="AB8" s="773">
        <f t="shared" ref="AB8:AB46" si="4">D8/H8</f>
        <v>1</v>
      </c>
      <c r="AC8" s="773">
        <f t="shared" ref="AC8:AC46" si="5">D8/J8</f>
        <v>1</v>
      </c>
    </row>
    <row r="9" spans="1:29" s="117" customFormat="1">
      <c r="A9" s="415" t="s">
        <v>2557</v>
      </c>
      <c r="B9" s="71" t="s">
        <v>2558</v>
      </c>
      <c r="C9" s="2972" t="s">
        <v>3157</v>
      </c>
      <c r="D9" s="135">
        <v>100</v>
      </c>
      <c r="E9" s="2983" t="s">
        <v>3157</v>
      </c>
      <c r="F9" s="418">
        <f>SUMIF(63:63,E9,64:64)-SUMIF(63:63,C9,64:64)+100</f>
        <v>100</v>
      </c>
      <c r="G9" s="2983" t="s">
        <v>3157</v>
      </c>
      <c r="H9" s="135">
        <f>SUMIF(63:63,G9,64:64)-SUMIF(63:63,C9,64:64)+100</f>
        <v>100</v>
      </c>
      <c r="I9" s="2983" t="s">
        <v>3157</v>
      </c>
      <c r="J9" s="135">
        <f>SUMIF(63:63,I9,64:64)-SUMIF(63:63,C9,64:64)+100</f>
        <v>100</v>
      </c>
      <c r="K9" s="611"/>
      <c r="L9" s="1130"/>
      <c r="M9" s="1131"/>
      <c r="N9" s="1131"/>
      <c r="O9" s="1131"/>
      <c r="P9" s="3201"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0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01"/>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t="str">
        <f>'比较法-办公'!B12</f>
        <v>使用权类型</v>
      </c>
      <c r="C12" s="2974" t="s">
        <v>3159</v>
      </c>
      <c r="D12" s="433">
        <v>100</v>
      </c>
      <c r="E12" s="2982" t="s">
        <v>3160</v>
      </c>
      <c r="F12" s="425">
        <f>SUMIF(70:70,E12,71:71)-SUMIF(70:70,C12,71:71)+100</f>
        <v>100</v>
      </c>
      <c r="G12" s="2982" t="s">
        <v>3160</v>
      </c>
      <c r="H12" s="136">
        <f>SUMIF(70:70,G12,71:71)-SUMIF(70:70,C12,71:71)+100</f>
        <v>100</v>
      </c>
      <c r="I12" s="2982" t="s">
        <v>3160</v>
      </c>
      <c r="J12" s="136">
        <f>SUMIF(70:70,I12,71:71)-SUMIF(70:70,C12,71:71)+100</f>
        <v>100</v>
      </c>
      <c r="K12" s="613"/>
      <c r="L12" s="1130"/>
      <c r="M12" s="1131"/>
      <c r="N12" s="1131"/>
      <c r="O12" s="1131"/>
      <c r="P12" s="3201"/>
      <c r="Q12" s="1794" t="str">
        <f t="shared" si="6"/>
        <v>使用权类型</v>
      </c>
      <c r="R12" s="770" t="s">
        <v>17</v>
      </c>
      <c r="S12" s="771">
        <f t="shared" si="0"/>
        <v>100</v>
      </c>
      <c r="T12" s="770" t="s">
        <v>17</v>
      </c>
      <c r="U12" s="771">
        <f t="shared" si="1"/>
        <v>100</v>
      </c>
      <c r="V12" s="770" t="s">
        <v>17</v>
      </c>
      <c r="W12" s="771">
        <f t="shared" si="2"/>
        <v>100</v>
      </c>
      <c r="X12" s="772"/>
      <c r="Y12" s="3040"/>
      <c r="Z12" s="55" t="str">
        <f t="shared" si="7"/>
        <v>使用权类型</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01"/>
      <c r="Q13" s="1794">
        <f t="shared" si="6"/>
        <v>0</v>
      </c>
      <c r="R13" s="770" t="s">
        <v>17</v>
      </c>
      <c r="S13" s="771">
        <f t="shared" si="0"/>
        <v>100</v>
      </c>
      <c r="T13" s="770" t="s">
        <v>17</v>
      </c>
      <c r="U13" s="771">
        <f t="shared" si="1"/>
        <v>100</v>
      </c>
      <c r="V13" s="770" t="s">
        <v>17</v>
      </c>
      <c r="W13" s="771">
        <f t="shared" si="2"/>
        <v>100</v>
      </c>
      <c r="X13" s="772"/>
      <c r="Y13" s="3040"/>
      <c r="Z13" s="55">
        <f t="shared" si="7"/>
        <v>0</v>
      </c>
      <c r="AA13" s="773">
        <f t="shared" si="3"/>
        <v>1</v>
      </c>
      <c r="AB13" s="773">
        <f t="shared" si="4"/>
        <v>1</v>
      </c>
      <c r="AC13" s="773">
        <f t="shared" si="5"/>
        <v>1</v>
      </c>
    </row>
    <row r="14" spans="1:29" ht="15.75" thickBot="1">
      <c r="A14" s="436"/>
      <c r="B14" s="2601"/>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01"/>
      <c r="Q14" s="1794">
        <f t="shared" si="6"/>
        <v>0</v>
      </c>
      <c r="R14" s="770" t="s">
        <v>17</v>
      </c>
      <c r="S14" s="771">
        <f t="shared" si="0"/>
        <v>100</v>
      </c>
      <c r="T14" s="770" t="s">
        <v>17</v>
      </c>
      <c r="U14" s="771">
        <f t="shared" si="1"/>
        <v>100</v>
      </c>
      <c r="V14" s="770" t="s">
        <v>17</v>
      </c>
      <c r="W14" s="771">
        <f t="shared" si="2"/>
        <v>100</v>
      </c>
      <c r="X14" s="772"/>
      <c r="Y14" s="3040"/>
      <c r="Z14" s="55">
        <f t="shared" si="7"/>
        <v>0</v>
      </c>
      <c r="AA14" s="773">
        <f t="shared" si="3"/>
        <v>1</v>
      </c>
      <c r="AB14" s="773">
        <f t="shared" si="4"/>
        <v>1</v>
      </c>
      <c r="AC14" s="773">
        <f t="shared" si="5"/>
        <v>1</v>
      </c>
    </row>
    <row r="15" spans="1:29" ht="15">
      <c r="A15" s="440" t="s">
        <v>2563</v>
      </c>
      <c r="B15" s="69" t="s">
        <v>2657</v>
      </c>
      <c r="C15" s="2602" t="str">
        <f>估价对象房地状况!C4</f>
        <v>一般</v>
      </c>
      <c r="D15" s="441">
        <v>100</v>
      </c>
      <c r="E15" s="442"/>
      <c r="F15" s="443">
        <f>SUMIF(76:76,E16,77:77)-SUMIF(76:76,C16,77:77)+100</f>
        <v>0</v>
      </c>
      <c r="G15" s="444"/>
      <c r="H15" s="441">
        <f>SUMIF(76:76,G16,77:77)-SUMIF(76:76,C16,77:77)+100</f>
        <v>0</v>
      </c>
      <c r="I15" s="442"/>
      <c r="J15" s="441">
        <f>SUMIF(76:76,I16,77:77)-SUMIF(76:76,C16,77:77)+100</f>
        <v>0</v>
      </c>
      <c r="K15" s="614"/>
      <c r="L15" s="1138"/>
      <c r="M15" s="1129"/>
      <c r="N15" s="1129"/>
      <c r="O15" s="1129"/>
      <c r="P15" s="3199" t="s">
        <v>2564</v>
      </c>
      <c r="Q15" s="1809" t="str">
        <f t="shared" si="6"/>
        <v>商业繁华度</v>
      </c>
      <c r="R15" s="774" t="s">
        <v>17</v>
      </c>
      <c r="S15" s="775">
        <f t="shared" si="0"/>
        <v>0</v>
      </c>
      <c r="T15" s="774" t="s">
        <v>17</v>
      </c>
      <c r="U15" s="775">
        <f t="shared" si="1"/>
        <v>0</v>
      </c>
      <c r="V15" s="774" t="s">
        <v>17</v>
      </c>
      <c r="W15" s="775">
        <f t="shared" si="2"/>
        <v>0</v>
      </c>
      <c r="X15" s="1812"/>
      <c r="Y15" s="3192" t="s">
        <v>2564</v>
      </c>
      <c r="Z15" s="1813" t="str">
        <f t="shared" si="7"/>
        <v>商业繁华度</v>
      </c>
      <c r="AA15" s="1810" t="e">
        <f t="shared" si="3"/>
        <v>#DIV/0!</v>
      </c>
      <c r="AB15" s="1810" t="e">
        <f t="shared" si="4"/>
        <v>#DIV/0!</v>
      </c>
      <c r="AC15" s="1810" t="e">
        <f t="shared" si="5"/>
        <v>#DIV/0!</v>
      </c>
    </row>
    <row r="16" spans="1:29" ht="15">
      <c r="A16" s="428"/>
      <c r="B16" s="446"/>
      <c r="C16" s="447" t="s">
        <v>3114</v>
      </c>
      <c r="D16" s="448"/>
      <c r="E16" s="447"/>
      <c r="F16" s="449"/>
      <c r="G16" s="447"/>
      <c r="H16" s="450"/>
      <c r="I16" s="447"/>
      <c r="J16" s="448"/>
      <c r="K16" s="615"/>
      <c r="L16" s="1138"/>
      <c r="M16" s="1129"/>
      <c r="N16" s="1129"/>
      <c r="O16" s="1129"/>
      <c r="P16" s="3200"/>
      <c r="Q16" s="1809"/>
      <c r="R16" s="774"/>
      <c r="S16" s="775"/>
      <c r="T16" s="774"/>
      <c r="U16" s="775"/>
      <c r="V16" s="774"/>
      <c r="W16" s="775"/>
      <c r="X16" s="1812"/>
      <c r="Y16" s="3193"/>
      <c r="Z16" s="1813"/>
      <c r="AA16" s="1810">
        <v>1</v>
      </c>
      <c r="AB16" s="1810">
        <v>1</v>
      </c>
      <c r="AC16" s="1810">
        <v>1</v>
      </c>
    </row>
    <row r="17" spans="1:29" ht="15">
      <c r="A17" s="428"/>
      <c r="B17" s="451" t="s">
        <v>2100</v>
      </c>
      <c r="C17" s="2606" t="str">
        <f>估价对象房地状况!C6</f>
        <v>较好</v>
      </c>
      <c r="D17" s="450">
        <v>100</v>
      </c>
      <c r="E17" s="452"/>
      <c r="F17" s="453">
        <f>SUMIF(78:78,E18,79:79)-SUMIF(78:78,C18,79:79)+100</f>
        <v>0</v>
      </c>
      <c r="G17" s="454"/>
      <c r="H17" s="455">
        <f>SUMIF(78:78,G18,79:79)-SUMIF(78:78,C18,79:79)+100</f>
        <v>0</v>
      </c>
      <c r="I17" s="452"/>
      <c r="J17" s="455">
        <f>SUMIF(78:78,I18,79:79)-SUMIF(78:78,C18,79:79)+100</f>
        <v>0</v>
      </c>
      <c r="K17" s="614"/>
      <c r="L17" s="1138"/>
      <c r="M17" s="1129"/>
      <c r="N17" s="1129"/>
      <c r="O17" s="1129"/>
      <c r="P17" s="3200"/>
      <c r="Q17" s="1809" t="str">
        <f>B17</f>
        <v>交通便捷度</v>
      </c>
      <c r="R17" s="774" t="s">
        <v>17</v>
      </c>
      <c r="S17" s="775">
        <f>F17</f>
        <v>0</v>
      </c>
      <c r="T17" s="774" t="s">
        <v>17</v>
      </c>
      <c r="U17" s="775">
        <f>H17</f>
        <v>0</v>
      </c>
      <c r="V17" s="774" t="s">
        <v>17</v>
      </c>
      <c r="W17" s="775">
        <f>J17</f>
        <v>0</v>
      </c>
      <c r="X17" s="1812"/>
      <c r="Y17" s="3193"/>
      <c r="Z17" s="1813" t="str">
        <f>Q17</f>
        <v>交通便捷度</v>
      </c>
      <c r="AA17" s="1810" t="e">
        <f t="shared" si="3"/>
        <v>#DIV/0!</v>
      </c>
      <c r="AB17" s="1810" t="e">
        <f t="shared" si="4"/>
        <v>#DIV/0!</v>
      </c>
      <c r="AC17" s="1810" t="e">
        <f t="shared" si="5"/>
        <v>#DIV/0!</v>
      </c>
    </row>
    <row r="18" spans="1:29" ht="15">
      <c r="A18" s="428"/>
      <c r="B18" s="456"/>
      <c r="C18" s="2607" t="s">
        <v>3116</v>
      </c>
      <c r="D18" s="450"/>
      <c r="E18" s="2609"/>
      <c r="F18" s="453"/>
      <c r="G18" s="2608"/>
      <c r="H18" s="448"/>
      <c r="I18" s="2609"/>
      <c r="J18" s="448"/>
      <c r="K18" s="615"/>
      <c r="L18" s="1138"/>
      <c r="M18" s="1129"/>
      <c r="N18" s="1129"/>
      <c r="O18" s="1129"/>
      <c r="P18" s="3200"/>
      <c r="Q18" s="1809"/>
      <c r="R18" s="774"/>
      <c r="S18" s="775"/>
      <c r="T18" s="774"/>
      <c r="U18" s="775"/>
      <c r="V18" s="774"/>
      <c r="W18" s="775"/>
      <c r="X18" s="1812"/>
      <c r="Y18" s="3193"/>
      <c r="Z18" s="1813"/>
      <c r="AA18" s="1810">
        <v>1</v>
      </c>
      <c r="AB18" s="1810">
        <v>1</v>
      </c>
      <c r="AC18" s="1810">
        <v>1</v>
      </c>
    </row>
    <row r="19" spans="1:29" ht="15">
      <c r="A19" s="428"/>
      <c r="B19" s="451" t="s">
        <v>2658</v>
      </c>
      <c r="C19" s="2606" t="str">
        <f>估价对象房地状况!C7</f>
        <v>较好</v>
      </c>
      <c r="D19" s="455">
        <v>100</v>
      </c>
      <c r="E19" s="457"/>
      <c r="F19" s="458">
        <f>SUMIF(80:80,E20,81:81)-SUMIF(80:80,C20,81:81)+100</f>
        <v>0</v>
      </c>
      <c r="G19" s="459"/>
      <c r="H19" s="450">
        <f>SUMIF(80:80,G20,81:81)-SUMIF(80:80,C20,81:81)+100</f>
        <v>0</v>
      </c>
      <c r="I19" s="457"/>
      <c r="J19" s="450">
        <f>SUMIF(80:80,I20,81:81)-SUMIF(80:80,C20,81:81)+100</f>
        <v>0</v>
      </c>
      <c r="K19" s="614"/>
      <c r="L19" s="1138"/>
      <c r="M19" s="1129"/>
      <c r="N19" s="1129"/>
      <c r="O19" s="1129"/>
      <c r="P19" s="3200"/>
      <c r="Q19" s="1809" t="str">
        <f>B19</f>
        <v>公共配套设施</v>
      </c>
      <c r="R19" s="774" t="s">
        <v>17</v>
      </c>
      <c r="S19" s="775">
        <f>F19</f>
        <v>0</v>
      </c>
      <c r="T19" s="774" t="s">
        <v>17</v>
      </c>
      <c r="U19" s="775">
        <f>H19</f>
        <v>0</v>
      </c>
      <c r="V19" s="774" t="s">
        <v>17</v>
      </c>
      <c r="W19" s="775">
        <f>J19</f>
        <v>0</v>
      </c>
      <c r="X19" s="1812"/>
      <c r="Y19" s="3193"/>
      <c r="Z19" s="1813" t="str">
        <f>Q19</f>
        <v>公共配套设施</v>
      </c>
      <c r="AA19" s="1810" t="e">
        <f t="shared" si="3"/>
        <v>#DIV/0!</v>
      </c>
      <c r="AB19" s="1810" t="e">
        <f t="shared" si="4"/>
        <v>#DIV/0!</v>
      </c>
      <c r="AC19" s="1810" t="e">
        <f t="shared" si="5"/>
        <v>#DIV/0!</v>
      </c>
    </row>
    <row r="20" spans="1:29" ht="15">
      <c r="A20" s="428"/>
      <c r="B20" s="456"/>
      <c r="C20" s="447" t="s">
        <v>3116</v>
      </c>
      <c r="D20" s="448"/>
      <c r="E20" s="2604"/>
      <c r="F20" s="449"/>
      <c r="G20" s="2603"/>
      <c r="H20" s="448"/>
      <c r="I20" s="2604"/>
      <c r="J20" s="448"/>
      <c r="K20" s="615"/>
      <c r="L20" s="1138"/>
      <c r="M20" s="1129"/>
      <c r="N20" s="1129"/>
      <c r="O20" s="1129"/>
      <c r="P20" s="3200"/>
      <c r="Q20" s="1809"/>
      <c r="R20" s="774"/>
      <c r="S20" s="775"/>
      <c r="T20" s="774"/>
      <c r="U20" s="775"/>
      <c r="V20" s="774"/>
      <c r="W20" s="775"/>
      <c r="X20" s="1812"/>
      <c r="Y20" s="3193"/>
      <c r="Z20" s="1813"/>
      <c r="AA20" s="1810">
        <v>1</v>
      </c>
      <c r="AB20" s="1810">
        <v>1</v>
      </c>
      <c r="AC20" s="1810">
        <v>1</v>
      </c>
    </row>
    <row r="21" spans="1:29" ht="15">
      <c r="A21" s="428"/>
      <c r="B21" s="1382" t="s">
        <v>2659</v>
      </c>
      <c r="C21" s="2606" t="str">
        <f>估价对象房地状况!C8</f>
        <v>七通</v>
      </c>
      <c r="D21" s="455">
        <v>100</v>
      </c>
      <c r="E21" s="457"/>
      <c r="F21" s="458">
        <f>SUMIF(82:82,E22,83:83)-SUMIF(82:82,C22,83:83)+100</f>
        <v>0</v>
      </c>
      <c r="G21" s="459"/>
      <c r="H21" s="450">
        <f>SUMIF(82:82,G22,83:83)-SUMIF(82:82,C22,83:83)+100</f>
        <v>0</v>
      </c>
      <c r="I21" s="457"/>
      <c r="J21" s="450">
        <f>SUMIF(82:82,I22,83:83)-SUMIF(82:82,C22,83:83)+100</f>
        <v>0</v>
      </c>
      <c r="K21" s="614"/>
      <c r="L21" s="1138"/>
      <c r="M21" s="1129"/>
      <c r="N21" s="1129"/>
      <c r="O21" s="1129"/>
      <c r="P21" s="3200"/>
      <c r="Q21" s="1809" t="str">
        <f>B21</f>
        <v>基础设施水平</v>
      </c>
      <c r="R21" s="774" t="s">
        <v>17</v>
      </c>
      <c r="S21" s="775">
        <f>F21</f>
        <v>0</v>
      </c>
      <c r="T21" s="774" t="s">
        <v>17</v>
      </c>
      <c r="U21" s="775">
        <f>H21</f>
        <v>0</v>
      </c>
      <c r="V21" s="774" t="s">
        <v>17</v>
      </c>
      <c r="W21" s="775">
        <f>J21</f>
        <v>0</v>
      </c>
      <c r="X21" s="1812"/>
      <c r="Y21" s="3193"/>
      <c r="Z21" s="1813" t="str">
        <f>Q21</f>
        <v>基础设施水平</v>
      </c>
      <c r="AA21" s="1810" t="e">
        <f t="shared" ref="AA21" si="8">D21/F21</f>
        <v>#DIV/0!</v>
      </c>
      <c r="AB21" s="1810" t="e">
        <f t="shared" ref="AB21" si="9">D21/H21</f>
        <v>#DIV/0!</v>
      </c>
      <c r="AC21" s="1810" t="e">
        <f t="shared" ref="AC21" si="10">D21/J21</f>
        <v>#DIV/0!</v>
      </c>
    </row>
    <row r="22" spans="1:29" ht="15">
      <c r="A22" s="428"/>
      <c r="B22" s="1382"/>
      <c r="C22" s="2607" t="s">
        <v>3118</v>
      </c>
      <c r="D22" s="448"/>
      <c r="E22" s="447"/>
      <c r="F22" s="449"/>
      <c r="G22" s="447"/>
      <c r="H22" s="448"/>
      <c r="I22" s="447"/>
      <c r="J22" s="448"/>
      <c r="K22" s="1381"/>
      <c r="L22" s="1138"/>
      <c r="M22" s="1129"/>
      <c r="N22" s="1129"/>
      <c r="O22" s="1129"/>
      <c r="P22" s="3200"/>
      <c r="Q22" s="1809"/>
      <c r="R22" s="774"/>
      <c r="S22" s="775"/>
      <c r="T22" s="774"/>
      <c r="U22" s="775"/>
      <c r="V22" s="774"/>
      <c r="W22" s="775"/>
      <c r="X22" s="1812"/>
      <c r="Y22" s="3193"/>
      <c r="Z22" s="1813"/>
      <c r="AA22" s="1810">
        <v>1</v>
      </c>
      <c r="AB22" s="1810">
        <v>1</v>
      </c>
      <c r="AC22" s="1810">
        <v>1</v>
      </c>
    </row>
    <row r="23" spans="1:29" ht="15">
      <c r="A23" s="428"/>
      <c r="B23" s="451" t="s">
        <v>2105</v>
      </c>
      <c r="C23" s="2663" t="str">
        <f>估价对象房地状况!C9</f>
        <v>一般</v>
      </c>
      <c r="D23" s="450">
        <v>100</v>
      </c>
      <c r="E23" s="452"/>
      <c r="F23" s="453">
        <f>SUMIF(84:84,E24,85:85)-SUMIF(84:84,C24,85:85)+100</f>
        <v>0</v>
      </c>
      <c r="G23" s="454"/>
      <c r="H23" s="450">
        <f>SUMIF(84:84,G24,85:85)-SUMIF(84:84,C24,85:85)+100</f>
        <v>0</v>
      </c>
      <c r="I23" s="452"/>
      <c r="J23" s="450">
        <f>SUMIF(84:84,I24,85:85)-SUMIF(84:84,C24,85:85)+100</f>
        <v>0</v>
      </c>
      <c r="K23" s="614"/>
      <c r="L23" s="1138"/>
      <c r="M23" s="1129"/>
      <c r="N23" s="1129"/>
      <c r="O23" s="1129"/>
      <c r="P23" s="3200"/>
      <c r="Q23" s="1809" t="str">
        <f>B23</f>
        <v>自然及人文环境</v>
      </c>
      <c r="R23" s="774" t="s">
        <v>17</v>
      </c>
      <c r="S23" s="775">
        <f>F23</f>
        <v>0</v>
      </c>
      <c r="T23" s="774" t="s">
        <v>17</v>
      </c>
      <c r="U23" s="775">
        <f>H23</f>
        <v>0</v>
      </c>
      <c r="V23" s="774" t="s">
        <v>17</v>
      </c>
      <c r="W23" s="775">
        <f>J23</f>
        <v>0</v>
      </c>
      <c r="X23" s="1812"/>
      <c r="Y23" s="3193"/>
      <c r="Z23" s="1813" t="str">
        <f>Q23</f>
        <v>自然及人文环境</v>
      </c>
      <c r="AA23" s="1810" t="e">
        <f t="shared" si="3"/>
        <v>#DIV/0!</v>
      </c>
      <c r="AB23" s="1810" t="e">
        <f t="shared" si="4"/>
        <v>#DIV/0!</v>
      </c>
      <c r="AC23" s="1810" t="e">
        <f t="shared" si="5"/>
        <v>#DIV/0!</v>
      </c>
    </row>
    <row r="24" spans="1:29" ht="15">
      <c r="A24" s="428"/>
      <c r="B24" s="456"/>
      <c r="C24" s="447" t="s">
        <v>3114</v>
      </c>
      <c r="D24" s="448"/>
      <c r="E24" s="2604"/>
      <c r="F24" s="449"/>
      <c r="G24" s="2603"/>
      <c r="H24" s="448"/>
      <c r="I24" s="2604"/>
      <c r="J24" s="448"/>
      <c r="K24" s="615"/>
      <c r="L24" s="1138"/>
      <c r="M24" s="1129"/>
      <c r="N24" s="1129"/>
      <c r="O24" s="1129"/>
      <c r="P24" s="3200"/>
      <c r="Q24" s="1809"/>
      <c r="R24" s="774"/>
      <c r="S24" s="775"/>
      <c r="T24" s="774"/>
      <c r="U24" s="775"/>
      <c r="V24" s="774"/>
      <c r="W24" s="775"/>
      <c r="X24" s="1812"/>
      <c r="Y24" s="3193"/>
      <c r="Z24" s="1813"/>
      <c r="AA24" s="1810">
        <v>1</v>
      </c>
      <c r="AB24" s="1810">
        <v>1</v>
      </c>
      <c r="AC24" s="1810">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00"/>
      <c r="Q25" s="1809" t="str">
        <f t="shared" ref="Q25:Q46" si="11">B25</f>
        <v>临街状况</v>
      </c>
      <c r="R25" s="774" t="s">
        <v>17</v>
      </c>
      <c r="S25" s="775">
        <f>F25</f>
        <v>100</v>
      </c>
      <c r="T25" s="774" t="s">
        <v>17</v>
      </c>
      <c r="U25" s="775">
        <f>H25</f>
        <v>100</v>
      </c>
      <c r="V25" s="774" t="s">
        <v>17</v>
      </c>
      <c r="W25" s="775">
        <f>J25</f>
        <v>100</v>
      </c>
      <c r="X25" s="1812"/>
      <c r="Y25" s="3193"/>
      <c r="Z25" s="1813" t="str">
        <f>Q25</f>
        <v>临街状况</v>
      </c>
      <c r="AA25" s="1810">
        <f t="shared" si="3"/>
        <v>1</v>
      </c>
      <c r="AB25" s="1810">
        <f t="shared" si="4"/>
        <v>1</v>
      </c>
      <c r="AC25" s="1810">
        <f t="shared" si="5"/>
        <v>1</v>
      </c>
    </row>
    <row r="26" spans="1:29" ht="15">
      <c r="A26" s="428"/>
      <c r="B26" s="1384" t="s">
        <v>2661</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00"/>
      <c r="Q26" s="1809" t="str">
        <f t="shared" si="11"/>
        <v>平面位置/可视性</v>
      </c>
      <c r="R26" s="774" t="s">
        <v>17</v>
      </c>
      <c r="S26" s="775">
        <f>F26</f>
        <v>100</v>
      </c>
      <c r="T26" s="774" t="s">
        <v>17</v>
      </c>
      <c r="U26" s="775">
        <f>H26</f>
        <v>100</v>
      </c>
      <c r="V26" s="774" t="s">
        <v>17</v>
      </c>
      <c r="W26" s="775">
        <f>J26</f>
        <v>100</v>
      </c>
      <c r="X26" s="1812"/>
      <c r="Y26" s="3193"/>
      <c r="Z26" s="1813" t="str">
        <f>Q26</f>
        <v>平面位置/可视性</v>
      </c>
      <c r="AA26" s="1810">
        <f t="shared" si="3"/>
        <v>1</v>
      </c>
      <c r="AB26" s="1810">
        <f t="shared" si="4"/>
        <v>1</v>
      </c>
      <c r="AC26" s="1810">
        <f t="shared" si="5"/>
        <v>1</v>
      </c>
    </row>
    <row r="27" spans="1:29" s="117" customFormat="1" ht="15">
      <c r="A27" s="431"/>
      <c r="B27" s="451" t="s">
        <v>2662</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200"/>
      <c r="Q27" s="1794" t="str">
        <f t="shared" si="11"/>
        <v>人流量</v>
      </c>
      <c r="R27" s="770" t="s">
        <v>17</v>
      </c>
      <c r="S27" s="771">
        <f>F27</f>
        <v>100</v>
      </c>
      <c r="T27" s="770" t="s">
        <v>17</v>
      </c>
      <c r="U27" s="771">
        <f>H27</f>
        <v>100</v>
      </c>
      <c r="V27" s="770" t="s">
        <v>17</v>
      </c>
      <c r="W27" s="771">
        <f>J27</f>
        <v>100</v>
      </c>
      <c r="X27" s="772"/>
      <c r="Y27" s="3193"/>
      <c r="Z27" s="55" t="str">
        <f>Q27</f>
        <v>人流量</v>
      </c>
      <c r="AA27" s="1810">
        <f>D27/F27</f>
        <v>1</v>
      </c>
      <c r="AB27" s="1810">
        <f>D27/H27</f>
        <v>1</v>
      </c>
      <c r="AC27" s="1810">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0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3"/>
      <c r="Z28" s="1813" t="str">
        <f t="shared" ref="Z28:Z46" si="15">Q28</f>
        <v>楼层</v>
      </c>
      <c r="AA28" s="1810">
        <f t="shared" si="3"/>
        <v>1</v>
      </c>
      <c r="AB28" s="1810">
        <f t="shared" si="4"/>
        <v>1</v>
      </c>
      <c r="AC28" s="1810">
        <f t="shared" si="5"/>
        <v>1</v>
      </c>
    </row>
    <row r="29" spans="1:29" ht="15">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00"/>
      <c r="Q29" s="1809">
        <f t="shared" si="11"/>
        <v>0</v>
      </c>
      <c r="R29" s="774" t="s">
        <v>17</v>
      </c>
      <c r="S29" s="775">
        <f t="shared" si="12"/>
        <v>100</v>
      </c>
      <c r="T29" s="774" t="s">
        <v>17</v>
      </c>
      <c r="U29" s="775">
        <f t="shared" si="13"/>
        <v>100</v>
      </c>
      <c r="V29" s="774" t="s">
        <v>17</v>
      </c>
      <c r="W29" s="775">
        <f t="shared" si="14"/>
        <v>100</v>
      </c>
      <c r="X29" s="1812"/>
      <c r="Y29" s="3193"/>
      <c r="Z29" s="1813">
        <f t="shared" si="15"/>
        <v>0</v>
      </c>
      <c r="AA29" s="1810">
        <f t="shared" si="3"/>
        <v>1</v>
      </c>
      <c r="AB29" s="1810">
        <f t="shared" si="4"/>
        <v>1</v>
      </c>
      <c r="AC29" s="1810">
        <f t="shared" si="5"/>
        <v>1</v>
      </c>
    </row>
    <row r="30" spans="1:29" ht="15">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00"/>
      <c r="Q30" s="1809">
        <f t="shared" si="11"/>
        <v>0</v>
      </c>
      <c r="R30" s="774" t="s">
        <v>17</v>
      </c>
      <c r="S30" s="775">
        <f t="shared" si="12"/>
        <v>100</v>
      </c>
      <c r="T30" s="774" t="s">
        <v>17</v>
      </c>
      <c r="U30" s="775">
        <f t="shared" si="13"/>
        <v>100</v>
      </c>
      <c r="V30" s="774" t="s">
        <v>17</v>
      </c>
      <c r="W30" s="775">
        <f t="shared" si="14"/>
        <v>100</v>
      </c>
      <c r="X30" s="1812"/>
      <c r="Y30" s="3193"/>
      <c r="Z30" s="1813">
        <f t="shared" si="15"/>
        <v>0</v>
      </c>
      <c r="AA30" s="1810">
        <f t="shared" si="3"/>
        <v>1</v>
      </c>
      <c r="AB30" s="1810">
        <f t="shared" si="4"/>
        <v>1</v>
      </c>
      <c r="AC30" s="1810">
        <f t="shared" si="5"/>
        <v>1</v>
      </c>
    </row>
    <row r="31" spans="1:29" ht="15.75"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00"/>
      <c r="Q31" s="1809">
        <f t="shared" si="11"/>
        <v>0</v>
      </c>
      <c r="R31" s="774" t="s">
        <v>17</v>
      </c>
      <c r="S31" s="775">
        <f t="shared" si="12"/>
        <v>100</v>
      </c>
      <c r="T31" s="774" t="s">
        <v>17</v>
      </c>
      <c r="U31" s="775">
        <f t="shared" si="13"/>
        <v>100</v>
      </c>
      <c r="V31" s="774" t="s">
        <v>17</v>
      </c>
      <c r="W31" s="775">
        <f t="shared" si="14"/>
        <v>100</v>
      </c>
      <c r="X31" s="1812"/>
      <c r="Y31" s="3193"/>
      <c r="Z31" s="1813">
        <f t="shared" si="15"/>
        <v>0</v>
      </c>
      <c r="AA31" s="1810">
        <f t="shared" si="3"/>
        <v>1</v>
      </c>
      <c r="AB31" s="1810">
        <f t="shared" si="4"/>
        <v>1</v>
      </c>
      <c r="AC31" s="1810">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194" t="s">
        <v>2569</v>
      </c>
      <c r="Q32" s="1809" t="str">
        <f t="shared" si="11"/>
        <v>商业类型</v>
      </c>
      <c r="R32" s="774" t="s">
        <v>17</v>
      </c>
      <c r="S32" s="775">
        <f t="shared" si="12"/>
        <v>100</v>
      </c>
      <c r="T32" s="774" t="s">
        <v>17</v>
      </c>
      <c r="U32" s="775">
        <f t="shared" si="13"/>
        <v>100</v>
      </c>
      <c r="V32" s="774" t="s">
        <v>17</v>
      </c>
      <c r="W32" s="775">
        <f t="shared" si="14"/>
        <v>100</v>
      </c>
      <c r="X32" s="1812"/>
      <c r="Y32" s="3197" t="s">
        <v>2569</v>
      </c>
      <c r="Z32" s="1813" t="str">
        <f t="shared" si="15"/>
        <v>商业类型</v>
      </c>
      <c r="AA32" s="1810">
        <f t="shared" si="3"/>
        <v>1</v>
      </c>
      <c r="AB32" s="1810">
        <f t="shared" si="4"/>
        <v>1</v>
      </c>
      <c r="AC32" s="1810">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0" t="e">
        <f t="shared" si="3"/>
        <v>#N/A</v>
      </c>
      <c r="AB33" s="1810" t="e">
        <f t="shared" si="4"/>
        <v>#N/A</v>
      </c>
      <c r="AC33" s="1810" t="e">
        <f t="shared" si="5"/>
        <v>#N/A</v>
      </c>
    </row>
    <row r="34" spans="1:29" ht="15">
      <c r="A34" s="472"/>
      <c r="B34" s="422" t="s">
        <v>2571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195"/>
      <c r="Q34" s="1809" t="str">
        <f t="shared" si="11"/>
        <v>建筑结构</v>
      </c>
      <c r="R34" s="774" t="s">
        <v>17</v>
      </c>
      <c r="S34" s="775">
        <f t="shared" si="12"/>
        <v>100</v>
      </c>
      <c r="T34" s="774" t="s">
        <v>17</v>
      </c>
      <c r="U34" s="775">
        <f t="shared" si="13"/>
        <v>100</v>
      </c>
      <c r="V34" s="774" t="s">
        <v>17</v>
      </c>
      <c r="W34" s="775">
        <f t="shared" si="14"/>
        <v>100</v>
      </c>
      <c r="X34" s="1812"/>
      <c r="Y34" s="3197"/>
      <c r="Z34" s="1813" t="str">
        <f t="shared" si="15"/>
        <v>建筑结构</v>
      </c>
      <c r="AA34" s="1810">
        <f t="shared" si="3"/>
        <v>1</v>
      </c>
      <c r="AB34" s="1810">
        <f t="shared" si="4"/>
        <v>1</v>
      </c>
      <c r="AC34" s="1810">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195"/>
      <c r="Q35" s="1809" t="str">
        <f t="shared" si="11"/>
        <v>公共部分装修</v>
      </c>
      <c r="R35" s="774" t="s">
        <v>17</v>
      </c>
      <c r="S35" s="775">
        <f t="shared" si="12"/>
        <v>100</v>
      </c>
      <c r="T35" s="774" t="s">
        <v>17</v>
      </c>
      <c r="U35" s="775">
        <f t="shared" si="13"/>
        <v>100</v>
      </c>
      <c r="V35" s="774" t="s">
        <v>17</v>
      </c>
      <c r="W35" s="775">
        <f t="shared" si="14"/>
        <v>100</v>
      </c>
      <c r="X35" s="1812"/>
      <c r="Y35" s="3197"/>
      <c r="Z35" s="1813" t="str">
        <f t="shared" si="15"/>
        <v>公共部分装修</v>
      </c>
      <c r="AA35" s="1810">
        <f t="shared" si="3"/>
        <v>1</v>
      </c>
      <c r="AB35" s="1810">
        <f t="shared" si="4"/>
        <v>1</v>
      </c>
      <c r="AC35" s="1810">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95"/>
      <c r="Q36" s="1809" t="str">
        <f t="shared" si="11"/>
        <v>成新度</v>
      </c>
      <c r="R36" s="774" t="s">
        <v>17</v>
      </c>
      <c r="S36" s="775" t="e">
        <f t="shared" si="12"/>
        <v>#N/A</v>
      </c>
      <c r="T36" s="774" t="s">
        <v>17</v>
      </c>
      <c r="U36" s="775" t="e">
        <f t="shared" si="13"/>
        <v>#N/A</v>
      </c>
      <c r="V36" s="774" t="s">
        <v>17</v>
      </c>
      <c r="W36" s="775" t="e">
        <f t="shared" si="14"/>
        <v>#N/A</v>
      </c>
      <c r="X36" s="1812"/>
      <c r="Y36" s="3197"/>
      <c r="Z36" s="1813" t="str">
        <f t="shared" si="15"/>
        <v>成新度</v>
      </c>
      <c r="AA36" s="1810" t="e">
        <f t="shared" si="3"/>
        <v>#N/A</v>
      </c>
      <c r="AB36" s="1810" t="e">
        <f t="shared" si="4"/>
        <v>#N/A</v>
      </c>
      <c r="AC36" s="1810"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195"/>
      <c r="Q37" s="1794"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195" t="s">
        <v>2569</v>
      </c>
      <c r="Q38" s="1809" t="str">
        <f t="shared" si="11"/>
        <v>业态</v>
      </c>
      <c r="R38" s="774" t="s">
        <v>17</v>
      </c>
      <c r="S38" s="775">
        <f t="shared" si="12"/>
        <v>100</v>
      </c>
      <c r="T38" s="774" t="s">
        <v>17</v>
      </c>
      <c r="U38" s="775">
        <f t="shared" si="13"/>
        <v>100</v>
      </c>
      <c r="V38" s="774" t="s">
        <v>17</v>
      </c>
      <c r="W38" s="775">
        <f t="shared" si="14"/>
        <v>100</v>
      </c>
      <c r="X38" s="1812"/>
      <c r="Y38" s="3197" t="s">
        <v>2569</v>
      </c>
      <c r="Z38" s="1813" t="str">
        <f t="shared" si="15"/>
        <v>业态</v>
      </c>
      <c r="AA38" s="1810">
        <f t="shared" si="3"/>
        <v>1</v>
      </c>
      <c r="AB38" s="1810">
        <f t="shared" si="4"/>
        <v>1</v>
      </c>
      <c r="AC38" s="1810">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195"/>
      <c r="Q39" s="1809" t="str">
        <f t="shared" si="11"/>
        <v>层高</v>
      </c>
      <c r="R39" s="774" t="s">
        <v>17</v>
      </c>
      <c r="S39" s="775">
        <f t="shared" si="12"/>
        <v>100</v>
      </c>
      <c r="T39" s="774" t="s">
        <v>17</v>
      </c>
      <c r="U39" s="775">
        <f t="shared" si="13"/>
        <v>100</v>
      </c>
      <c r="V39" s="774" t="s">
        <v>17</v>
      </c>
      <c r="W39" s="775">
        <f t="shared" si="14"/>
        <v>100</v>
      </c>
      <c r="X39" s="1812"/>
      <c r="Y39" s="3197"/>
      <c r="Z39" s="1813" t="str">
        <f t="shared" si="15"/>
        <v>层高</v>
      </c>
      <c r="AA39" s="1810">
        <f t="shared" si="3"/>
        <v>1</v>
      </c>
      <c r="AB39" s="1810">
        <f t="shared" si="4"/>
        <v>1</v>
      </c>
      <c r="AC39" s="1810">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5"/>
      <c r="Q40" s="1809" t="str">
        <f t="shared" si="11"/>
        <v>单套建筑面积</v>
      </c>
      <c r="R40" s="774" t="s">
        <v>17</v>
      </c>
      <c r="S40" s="775">
        <f t="shared" si="12"/>
        <v>100</v>
      </c>
      <c r="T40" s="774" t="s">
        <v>17</v>
      </c>
      <c r="U40" s="775">
        <f t="shared" si="13"/>
        <v>100</v>
      </c>
      <c r="V40" s="774" t="s">
        <v>17</v>
      </c>
      <c r="W40" s="775">
        <f t="shared" si="14"/>
        <v>100</v>
      </c>
      <c r="X40" s="1812"/>
      <c r="Y40" s="3197"/>
      <c r="Z40" s="1813" t="str">
        <f t="shared" si="15"/>
        <v>单套建筑面积</v>
      </c>
      <c r="AA40" s="1810">
        <f t="shared" si="3"/>
        <v>1</v>
      </c>
      <c r="AB40" s="1810">
        <f t="shared" si="4"/>
        <v>1</v>
      </c>
      <c r="AC40" s="1810">
        <f t="shared" si="5"/>
        <v>1</v>
      </c>
    </row>
    <row r="41" spans="1:29" s="471" customFormat="1" ht="15">
      <c r="A41" s="468"/>
      <c r="B41" s="1811"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0">
        <f t="shared" si="3"/>
        <v>1</v>
      </c>
      <c r="AB41" s="1810">
        <f t="shared" si="4"/>
        <v>1</v>
      </c>
      <c r="AC41" s="1810">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195"/>
      <c r="Q42" s="1809" t="str">
        <f t="shared" si="11"/>
        <v>内部装修</v>
      </c>
      <c r="R42" s="774" t="s">
        <v>17</v>
      </c>
      <c r="S42" s="775">
        <f t="shared" si="12"/>
        <v>100</v>
      </c>
      <c r="T42" s="774" t="s">
        <v>17</v>
      </c>
      <c r="U42" s="775">
        <f t="shared" si="13"/>
        <v>100</v>
      </c>
      <c r="V42" s="774" t="s">
        <v>17</v>
      </c>
      <c r="W42" s="775">
        <f t="shared" si="14"/>
        <v>100</v>
      </c>
      <c r="X42" s="1812"/>
      <c r="Y42" s="3197"/>
      <c r="Z42" s="1813" t="str">
        <f t="shared" si="15"/>
        <v>内部装修</v>
      </c>
      <c r="AA42" s="1810">
        <f t="shared" si="3"/>
        <v>1</v>
      </c>
      <c r="AB42" s="1810">
        <f t="shared" si="4"/>
        <v>1</v>
      </c>
      <c r="AC42" s="1810">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195"/>
      <c r="Q43" s="1809" t="str">
        <f t="shared" si="11"/>
        <v>内部装修维护情况</v>
      </c>
      <c r="R43" s="774" t="s">
        <v>17</v>
      </c>
      <c r="S43" s="775">
        <f t="shared" si="12"/>
        <v>100</v>
      </c>
      <c r="T43" s="774" t="s">
        <v>17</v>
      </c>
      <c r="U43" s="775">
        <f t="shared" si="13"/>
        <v>100</v>
      </c>
      <c r="V43" s="774" t="s">
        <v>17</v>
      </c>
      <c r="W43" s="775">
        <f t="shared" si="14"/>
        <v>100</v>
      </c>
      <c r="X43" s="1812"/>
      <c r="Y43" s="3197"/>
      <c r="Z43" s="1813" t="str">
        <f t="shared" si="15"/>
        <v>内部装修维护情况</v>
      </c>
      <c r="AA43" s="1810">
        <f t="shared" si="3"/>
        <v>1</v>
      </c>
      <c r="AB43" s="1810">
        <f t="shared" si="4"/>
        <v>1</v>
      </c>
      <c r="AC43" s="1810">
        <f t="shared" si="5"/>
        <v>1</v>
      </c>
    </row>
    <row r="44" spans="1:29" s="117" customFormat="1" ht="15">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5"/>
      <c r="Q44" s="1794">
        <f t="shared" si="11"/>
        <v>0</v>
      </c>
      <c r="R44" s="770" t="s">
        <v>17</v>
      </c>
      <c r="S44" s="771">
        <f t="shared" si="12"/>
        <v>100</v>
      </c>
      <c r="T44" s="770" t="s">
        <v>17</v>
      </c>
      <c r="U44" s="771">
        <f t="shared" si="13"/>
        <v>100</v>
      </c>
      <c r="V44" s="770" t="s">
        <v>17</v>
      </c>
      <c r="W44" s="771">
        <f t="shared" si="14"/>
        <v>100</v>
      </c>
      <c r="X44" s="772"/>
      <c r="Y44" s="3197"/>
      <c r="Z44" s="55">
        <f t="shared" si="15"/>
        <v>0</v>
      </c>
      <c r="AA44" s="773">
        <f t="shared" si="3"/>
        <v>1</v>
      </c>
      <c r="AB44" s="773">
        <f t="shared" si="4"/>
        <v>1</v>
      </c>
      <c r="AC44" s="773">
        <f t="shared" si="5"/>
        <v>1</v>
      </c>
    </row>
    <row r="45" spans="1:29" ht="15">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5"/>
      <c r="Q45" s="1809">
        <f t="shared" si="11"/>
        <v>0</v>
      </c>
      <c r="R45" s="774" t="s">
        <v>17</v>
      </c>
      <c r="S45" s="775">
        <f t="shared" si="12"/>
        <v>100</v>
      </c>
      <c r="T45" s="774" t="s">
        <v>17</v>
      </c>
      <c r="U45" s="775">
        <f t="shared" si="13"/>
        <v>100</v>
      </c>
      <c r="V45" s="774" t="s">
        <v>17</v>
      </c>
      <c r="W45" s="775">
        <f t="shared" si="14"/>
        <v>100</v>
      </c>
      <c r="X45" s="1812"/>
      <c r="Y45" s="3197"/>
      <c r="Z45" s="1813">
        <f t="shared" si="15"/>
        <v>0</v>
      </c>
      <c r="AA45" s="1810">
        <f t="shared" si="3"/>
        <v>1</v>
      </c>
      <c r="AB45" s="1810">
        <f t="shared" si="4"/>
        <v>1</v>
      </c>
      <c r="AC45" s="1810">
        <f t="shared" si="5"/>
        <v>1</v>
      </c>
    </row>
    <row r="46" spans="1:29" ht="15.75" thickBot="1">
      <c r="A46" s="478"/>
      <c r="B46" s="2601"/>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6"/>
      <c r="Q46" s="1809">
        <f t="shared" si="11"/>
        <v>0</v>
      </c>
      <c r="R46" s="774" t="s">
        <v>17</v>
      </c>
      <c r="S46" s="775">
        <f t="shared" si="12"/>
        <v>100</v>
      </c>
      <c r="T46" s="774" t="s">
        <v>17</v>
      </c>
      <c r="U46" s="775">
        <f t="shared" si="13"/>
        <v>100</v>
      </c>
      <c r="V46" s="774" t="s">
        <v>17</v>
      </c>
      <c r="W46" s="775">
        <f t="shared" si="14"/>
        <v>100</v>
      </c>
      <c r="X46" s="1812"/>
      <c r="Y46" s="3198"/>
      <c r="Z46" s="1813">
        <f t="shared" si="15"/>
        <v>0</v>
      </c>
      <c r="AA46" s="1810">
        <f t="shared" si="3"/>
        <v>1</v>
      </c>
      <c r="AB46" s="1810">
        <f t="shared" si="4"/>
        <v>1</v>
      </c>
      <c r="AC46" s="1810">
        <f t="shared" si="5"/>
        <v>1</v>
      </c>
    </row>
    <row r="47" spans="1:29" ht="15">
      <c r="A47" s="479" t="s">
        <v>2581</v>
      </c>
      <c r="B47" s="480"/>
      <c r="C47" s="1405" t="s">
        <v>1</v>
      </c>
      <c r="D47" s="1406"/>
      <c r="E47" s="1407"/>
      <c r="F47" s="1408"/>
      <c r="G47" s="1409"/>
      <c r="H47" s="1410"/>
      <c r="I47" s="1407"/>
      <c r="J47" s="1410"/>
      <c r="K47" s="783"/>
      <c r="L47" s="1141"/>
      <c r="M47" s="1142"/>
      <c r="N47" s="1129"/>
      <c r="O47" s="1142"/>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2673</v>
      </c>
      <c r="B48" s="487"/>
      <c r="C48" s="1411" t="e">
        <f>R49</f>
        <v>#DIV/0!</v>
      </c>
      <c r="D48" s="1412"/>
      <c r="E48" s="1413" t="e">
        <f>R48</f>
        <v>#DIV/0!</v>
      </c>
      <c r="F48" s="1413"/>
      <c r="G48" s="1411" t="e">
        <f>T48</f>
        <v>#DIV/0!</v>
      </c>
      <c r="H48" s="1412"/>
      <c r="I48" s="1413" t="e">
        <f>V48</f>
        <v>#DIV/0!</v>
      </c>
      <c r="J48" s="1412"/>
      <c r="K48" s="784"/>
      <c r="L48" s="1141"/>
      <c r="M48" s="1142"/>
      <c r="N48" s="1129"/>
      <c r="O48" s="114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2674</v>
      </c>
      <c r="B49" s="493"/>
      <c r="C49" s="1415" t="e">
        <f>R49</f>
        <v>#DIV/0!</v>
      </c>
      <c r="D49" s="1415"/>
      <c r="E49" s="1415"/>
      <c r="F49" s="1415"/>
      <c r="G49" s="1415"/>
      <c r="H49" s="1415"/>
      <c r="I49" s="1415"/>
      <c r="J49" s="1415"/>
      <c r="K49" s="785"/>
      <c r="L49" s="1141"/>
      <c r="M49" s="1142"/>
      <c r="N49" s="1129"/>
      <c r="O49" s="1142"/>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2552</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2554</v>
      </c>
      <c r="B61" s="510"/>
      <c r="C61" s="522" t="s">
        <v>2656</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t="str">
        <f>B12</f>
        <v>使用权类型</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0</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0</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2659</v>
      </c>
      <c r="C82" s="660" t="s">
        <v>2679</v>
      </c>
      <c r="D82" s="660" t="s">
        <v>2680</v>
      </c>
      <c r="E82" s="660" t="s">
        <v>2681</v>
      </c>
      <c r="F82" s="660" t="s">
        <v>2682</v>
      </c>
      <c r="G82" s="660" t="s">
        <v>2683</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2684</v>
      </c>
      <c r="C86" s="2978" t="s">
        <v>3161</v>
      </c>
      <c r="D86" s="2978" t="s">
        <v>3162</v>
      </c>
      <c r="E86" s="2978" t="s">
        <v>3163</v>
      </c>
      <c r="F86" s="2978" t="s">
        <v>3164</v>
      </c>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2978" t="s">
        <v>3165</v>
      </c>
      <c r="D88" s="2978" t="s">
        <v>3166</v>
      </c>
      <c r="E88" s="2978" t="s">
        <v>3167</v>
      </c>
      <c r="F88" s="2984" t="s">
        <v>3168</v>
      </c>
      <c r="G88" s="2978" t="s">
        <v>3169</v>
      </c>
      <c r="H88" s="554"/>
      <c r="I88" s="554"/>
      <c r="J88" s="554"/>
      <c r="K88" s="554"/>
      <c r="L88" s="554"/>
      <c r="M88" s="581"/>
      <c r="N88" s="1149"/>
      <c r="O88" s="1149"/>
      <c r="P88" s="2629"/>
      <c r="Q88" s="504"/>
    </row>
    <row r="89" spans="1:17" s="117" customFormat="1" ht="15.75" thickBot="1">
      <c r="A89" s="579"/>
      <c r="B89" s="543"/>
      <c r="C89" s="560">
        <v>100</v>
      </c>
      <c r="D89" s="536">
        <v>98</v>
      </c>
      <c r="E89" s="536">
        <v>97</v>
      </c>
      <c r="F89" s="536">
        <v>96</v>
      </c>
      <c r="G89" s="536">
        <v>95</v>
      </c>
      <c r="H89" s="536"/>
      <c r="I89" s="536"/>
      <c r="J89" s="536"/>
      <c r="K89" s="536"/>
      <c r="L89" s="536"/>
      <c r="M89" s="536"/>
      <c r="N89" s="1151"/>
      <c r="O89" s="1151"/>
      <c r="P89" s="2629"/>
      <c r="Q89" s="504"/>
    </row>
    <row r="90" spans="1:17" s="471" customFormat="1" ht="15.75" thickTop="1">
      <c r="A90" s="553"/>
      <c r="B90" s="538" t="str">
        <f>B27</f>
        <v>人流量</v>
      </c>
      <c r="C90" s="2978" t="s">
        <v>3170</v>
      </c>
      <c r="D90" s="2978" t="s">
        <v>3171</v>
      </c>
      <c r="E90" s="2978" t="s">
        <v>3167</v>
      </c>
      <c r="F90" s="2978" t="s">
        <v>3172</v>
      </c>
      <c r="G90" s="2978" t="s">
        <v>3173</v>
      </c>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v>1</v>
      </c>
      <c r="D92" s="554"/>
      <c r="E92" s="554"/>
      <c r="F92" s="554"/>
      <c r="G92" s="554"/>
      <c r="H92" s="554"/>
      <c r="I92" s="554"/>
      <c r="J92" s="554"/>
      <c r="K92" s="554"/>
      <c r="L92" s="580"/>
      <c r="M92" s="581"/>
      <c r="N92" s="1150"/>
      <c r="O92" s="1150"/>
      <c r="P92" s="2629"/>
      <c r="Q92" s="504"/>
    </row>
    <row r="93" spans="1:17" ht="15.75" thickBot="1">
      <c r="A93" s="534"/>
      <c r="B93" s="543"/>
      <c r="C93" s="536">
        <v>100</v>
      </c>
      <c r="D93" s="536"/>
      <c r="E93" s="536"/>
      <c r="F93" s="536"/>
      <c r="G93" s="536"/>
      <c r="H93" s="536"/>
      <c r="I93" s="536"/>
      <c r="J93" s="536"/>
      <c r="K93" s="536"/>
      <c r="L93" s="536"/>
      <c r="M93" s="537"/>
      <c r="N93" s="1151"/>
      <c r="O93" s="1151"/>
      <c r="P93" s="2629"/>
      <c r="Q93" s="504"/>
    </row>
    <row r="94" spans="1:17" ht="15.75" thickTop="1">
      <c r="A94" s="534"/>
      <c r="B94" s="538">
        <f>B29</f>
        <v>0</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0</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0</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2567</v>
      </c>
      <c r="B100" s="528" t="s">
        <v>2685</v>
      </c>
      <c r="C100" s="2979" t="s">
        <v>3176</v>
      </c>
      <c r="D100" s="2979" t="s">
        <v>3174</v>
      </c>
      <c r="E100" s="2979" t="s">
        <v>3175</v>
      </c>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2618</v>
      </c>
      <c r="C105" s="2978" t="s">
        <v>3177</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2620</v>
      </c>
      <c r="C107" s="2978" t="s">
        <v>3178</v>
      </c>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2622</v>
      </c>
      <c r="C112" s="2978" t="s">
        <v>3179</v>
      </c>
      <c r="D112" s="2978" t="s">
        <v>3180</v>
      </c>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2686</v>
      </c>
      <c r="C114" s="2978" t="s">
        <v>3181</v>
      </c>
      <c r="D114" s="2978" t="s">
        <v>3182</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2687</v>
      </c>
      <c r="C116" s="2978" t="s">
        <v>3183</v>
      </c>
      <c r="D116" s="2978" t="s">
        <v>3184</v>
      </c>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2688</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2689</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2624</v>
      </c>
      <c r="C122" s="2978" t="s">
        <v>3185</v>
      </c>
      <c r="D122" s="2978" t="s">
        <v>3186</v>
      </c>
      <c r="E122" s="2978" t="s">
        <v>3187</v>
      </c>
      <c r="F122" s="2980" t="s">
        <v>3188</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0</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0</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4" t="s">
        <v>1664</v>
      </c>
      <c r="B1" s="3024"/>
      <c r="C1" s="3024"/>
      <c r="D1" s="3024"/>
    </row>
    <row r="2" spans="1:4" ht="18">
      <c r="A2" s="3025" t="s">
        <v>1648</v>
      </c>
      <c r="B2" s="3025"/>
      <c r="C2" s="3025"/>
      <c r="D2" s="3025"/>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25" t="s">
        <v>1654</v>
      </c>
      <c r="B6" s="3025"/>
      <c r="C6" s="3025"/>
      <c r="D6" s="3025"/>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26" t="s">
        <v>1657</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1658</v>
      </c>
      <c r="B16" s="3020"/>
      <c r="C16" s="3020"/>
      <c r="D16" s="3020"/>
    </row>
    <row r="17" spans="1:4" ht="144" customHeight="1">
      <c r="A17" s="3020" t="s">
        <v>1659</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1660</v>
      </c>
      <c r="B22" s="3022"/>
      <c r="C22" s="3022"/>
      <c r="D22" s="3022"/>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32" t="s">
        <v>1671</v>
      </c>
      <c r="B15" s="3027" t="s">
        <v>136</v>
      </c>
      <c r="C15" s="3028"/>
    </row>
    <row r="16" spans="1:7" ht="13.5">
      <c r="A16" s="3033"/>
      <c r="B16" s="3027" t="s">
        <v>69</v>
      </c>
      <c r="C16" s="3028"/>
    </row>
    <row r="17" spans="1:3" ht="13.5">
      <c r="A17" s="3033"/>
      <c r="B17" s="3030" t="s">
        <v>1672</v>
      </c>
      <c r="C17" s="1999" t="s">
        <v>1671</v>
      </c>
    </row>
    <row r="18" spans="1:3" ht="13.5">
      <c r="A18" s="3033"/>
      <c r="B18" s="3030"/>
      <c r="C18" s="1999" t="s">
        <v>1673</v>
      </c>
    </row>
    <row r="19" spans="1:3" ht="13.5">
      <c r="A19" s="3033"/>
      <c r="B19" s="3030"/>
      <c r="C19" s="1999" t="s">
        <v>1674</v>
      </c>
    </row>
    <row r="20" spans="1:3" ht="13.5">
      <c r="A20" s="3034"/>
      <c r="B20" s="3029" t="s">
        <v>1675</v>
      </c>
      <c r="C20" s="3028"/>
    </row>
    <row r="21" spans="1:3" ht="13.5">
      <c r="A21" s="2000" t="s">
        <v>1676</v>
      </c>
      <c r="B21" s="2001"/>
      <c r="C21" s="2002"/>
    </row>
    <row r="22" spans="1:3" ht="13.5">
      <c r="A22" s="3031" t="s">
        <v>1677</v>
      </c>
      <c r="B22" s="3029" t="s">
        <v>1678</v>
      </c>
      <c r="C22" s="3028"/>
    </row>
    <row r="23" spans="1:3" ht="13.5">
      <c r="A23" s="3031"/>
      <c r="B23" s="3029" t="s">
        <v>1679</v>
      </c>
      <c r="C23" s="3028"/>
    </row>
    <row r="24" spans="1:3" ht="13.5">
      <c r="A24" s="3031"/>
      <c r="B24" s="3029" t="s">
        <v>1680</v>
      </c>
      <c r="C24" s="3028"/>
    </row>
    <row r="25" spans="1:3" ht="13.5">
      <c r="A25" s="3031"/>
      <c r="B25" s="3030" t="s">
        <v>1681</v>
      </c>
      <c r="C25" s="1999" t="s">
        <v>1682</v>
      </c>
    </row>
    <row r="26" spans="1:3" ht="13.5">
      <c r="A26" s="3031"/>
      <c r="B26" s="3030"/>
      <c r="C26" s="1999" t="s">
        <v>1683</v>
      </c>
    </row>
    <row r="27" spans="1:3" ht="13.5">
      <c r="A27" s="3031"/>
      <c r="B27" s="3030"/>
      <c r="C27" s="1999" t="s">
        <v>1684</v>
      </c>
    </row>
    <row r="28" spans="1:3" ht="13.5">
      <c r="A28" s="3031"/>
      <c r="B28" s="3030"/>
      <c r="C28" s="1999" t="s">
        <v>1685</v>
      </c>
    </row>
    <row r="29" spans="1:3" ht="13.5">
      <c r="A29" s="3031"/>
      <c r="B29" s="3030"/>
      <c r="C29" s="1999" t="s">
        <v>1686</v>
      </c>
    </row>
    <row r="30" spans="1:3" ht="13.5">
      <c r="A30" s="3031"/>
      <c r="B30" s="3030"/>
      <c r="C30" s="1999" t="s">
        <v>1687</v>
      </c>
    </row>
    <row r="31" spans="1:3" ht="13.5">
      <c r="A31" s="3031"/>
      <c r="B31" s="3030"/>
      <c r="C31" s="1999" t="s">
        <v>1688</v>
      </c>
    </row>
    <row r="32" spans="1:3" ht="13.5">
      <c r="A32" s="3031"/>
      <c r="B32" s="3030"/>
      <c r="C32" s="1999" t="s">
        <v>1689</v>
      </c>
    </row>
    <row r="33" spans="1:3" ht="13.5">
      <c r="A33" s="3031"/>
      <c r="B33" s="3030"/>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43445</v>
      </c>
      <c r="C2" s="1017" t="s">
        <v>826</v>
      </c>
      <c r="D2" s="1017"/>
    </row>
    <row r="3" spans="1:6" ht="24" customHeight="1">
      <c r="A3" s="1018" t="s">
        <v>827</v>
      </c>
      <c r="B3" s="1019" t="s">
        <v>828</v>
      </c>
      <c r="C3" s="2345" t="s">
        <v>829</v>
      </c>
      <c r="D3" s="2348" t="s">
        <v>830</v>
      </c>
      <c r="E3" s="1020" t="s">
        <v>831</v>
      </c>
      <c r="F3" s="1019" t="s">
        <v>829</v>
      </c>
    </row>
    <row r="4" spans="1:6" ht="24" customHeight="1">
      <c r="A4" s="1701" t="s">
        <v>832</v>
      </c>
      <c r="B4" s="1020">
        <f ca="1">IF(C4&lt;B2,"已过期",1119970066)</f>
        <v>1119970066</v>
      </c>
      <c r="C4" s="2346">
        <v>43849</v>
      </c>
      <c r="D4" s="2349" t="s">
        <v>832</v>
      </c>
      <c r="E4" s="1020">
        <f ca="1">IF(F4&lt;B2,"已过期",96010014)</f>
        <v>96010014</v>
      </c>
      <c r="F4" s="1028">
        <v>47118</v>
      </c>
    </row>
    <row r="5" spans="1:6" ht="24" customHeight="1">
      <c r="A5" s="1701" t="s">
        <v>833</v>
      </c>
      <c r="B5" s="1020">
        <f ca="1">IF(C5&lt;B2,"已过期",1119970074)</f>
        <v>1119970074</v>
      </c>
      <c r="C5" s="2346">
        <v>43849</v>
      </c>
      <c r="D5" s="2349" t="s">
        <v>833</v>
      </c>
      <c r="E5" s="1020">
        <f ca="1">IF(F5&lt;B2,"已过期",2002110027)</f>
        <v>2002110027</v>
      </c>
      <c r="F5" s="1028">
        <v>46752</v>
      </c>
    </row>
    <row r="6" spans="1:6" ht="24" customHeight="1">
      <c r="A6" s="1701" t="s">
        <v>834</v>
      </c>
      <c r="B6" s="1020">
        <f ca="1">IF(C6&lt;B2,"已过期",1119970111)</f>
        <v>1119970111</v>
      </c>
      <c r="C6" s="2346">
        <v>43849</v>
      </c>
      <c r="D6" s="2349" t="s">
        <v>834</v>
      </c>
      <c r="E6" s="1020">
        <f ca="1">IF(F6&lt;B2,"已过期",94010078)</f>
        <v>94010078</v>
      </c>
      <c r="F6" s="1028">
        <v>46387</v>
      </c>
    </row>
    <row r="7" spans="1:6" ht="24" customHeight="1">
      <c r="A7" s="1701" t="s">
        <v>835</v>
      </c>
      <c r="B7" s="1020" t="str">
        <f ca="1">IF(C7&lt;B2,"已过期",1120050019)</f>
        <v>已过期</v>
      </c>
      <c r="C7" s="2346">
        <v>43359</v>
      </c>
      <c r="D7" s="2349" t="s">
        <v>835</v>
      </c>
      <c r="E7" s="1020">
        <f ca="1">IF(F7&lt;B2,"已过期",2002110030)</f>
        <v>2002110030</v>
      </c>
      <c r="F7" s="1028">
        <v>46387</v>
      </c>
    </row>
    <row r="8" spans="1:6" ht="24" customHeight="1">
      <c r="A8" s="1701" t="s">
        <v>836</v>
      </c>
      <c r="B8" s="1020">
        <f ca="1">IF(C8&lt;B2,"已过期",1120000080)</f>
        <v>1120000080</v>
      </c>
      <c r="C8" s="2346">
        <v>43849</v>
      </c>
      <c r="D8" s="2349" t="s">
        <v>836</v>
      </c>
      <c r="E8" s="1020">
        <f ca="1">IF(F8&lt;B2,"已过期",2000110082)</f>
        <v>2000110082</v>
      </c>
      <c r="F8" s="1028">
        <v>46387</v>
      </c>
    </row>
    <row r="9" spans="1:6" ht="24" customHeight="1">
      <c r="A9" s="1701" t="s">
        <v>837</v>
      </c>
      <c r="B9" s="1020">
        <f ca="1">IF(C9&lt;B2,"已过期",1419970001)</f>
        <v>1419970001</v>
      </c>
      <c r="C9" s="2346">
        <v>43867</v>
      </c>
      <c r="D9" s="2349" t="s">
        <v>837</v>
      </c>
      <c r="E9" s="1020">
        <f ca="1">IF(F9&lt;B2,"已过期",2002110125)</f>
        <v>2002110125</v>
      </c>
      <c r="F9" s="1028">
        <v>47118</v>
      </c>
    </row>
    <row r="10" spans="1:6" ht="24" customHeight="1">
      <c r="A10" s="1701" t="s">
        <v>838</v>
      </c>
      <c r="B10" s="1020">
        <f ca="1">IF(C10&lt;B2,"已过期",1120060040)</f>
        <v>1120060040</v>
      </c>
      <c r="C10" s="2346">
        <v>43483</v>
      </c>
      <c r="D10" s="2349" t="s">
        <v>838</v>
      </c>
      <c r="E10" s="1020">
        <f ca="1">IF(F10&lt;B2,"已过期",2004110096)</f>
        <v>2004110096</v>
      </c>
      <c r="F10" s="1028">
        <v>47118</v>
      </c>
    </row>
    <row r="11" spans="1:6" ht="24" customHeight="1">
      <c r="A11" s="1701" t="s">
        <v>839</v>
      </c>
      <c r="B11" s="1020">
        <f ca="1">IF(C11&lt;B2,"已过期",1120100036)</f>
        <v>1120100036</v>
      </c>
      <c r="C11" s="2346">
        <v>43622</v>
      </c>
      <c r="D11" s="2349" t="s">
        <v>839</v>
      </c>
      <c r="E11" s="1020">
        <f ca="1">IF(F11&lt;B2,"已过期",2010110070)</f>
        <v>2010110070</v>
      </c>
      <c r="F11" s="1028">
        <v>47907</v>
      </c>
    </row>
    <row r="12" spans="1:6" ht="24" customHeight="1">
      <c r="A12" s="1701"/>
      <c r="B12" s="1020"/>
      <c r="C12" s="2346"/>
      <c r="D12" s="2349"/>
      <c r="E12" s="1020"/>
      <c r="F12" s="1020"/>
    </row>
    <row r="13" spans="1:6" ht="24" customHeight="1">
      <c r="A13" s="1701" t="s">
        <v>840</v>
      </c>
      <c r="B13" s="1020">
        <f ca="1">IF(C13&lt;B2,"已过期",1120070131)</f>
        <v>1120070131</v>
      </c>
      <c r="C13" s="2346">
        <v>43814</v>
      </c>
      <c r="D13" s="2349" t="s">
        <v>840</v>
      </c>
      <c r="E13" s="1020">
        <v>2014110011</v>
      </c>
      <c r="F13" s="1028">
        <v>49302</v>
      </c>
    </row>
    <row r="14" spans="1:6" ht="24" customHeight="1">
      <c r="A14" s="1701" t="s">
        <v>841</v>
      </c>
      <c r="B14" s="1020">
        <f ca="1">IF(C14&lt;B2,"已过期",1120130020)</f>
        <v>1120130020</v>
      </c>
      <c r="C14" s="2346">
        <v>43622</v>
      </c>
      <c r="D14" s="2349"/>
      <c r="E14" s="1020"/>
      <c r="F14" s="1020"/>
    </row>
    <row r="15" spans="1:6" ht="24" customHeight="1">
      <c r="A15" s="1702" t="s">
        <v>1149</v>
      </c>
      <c r="B15" s="1020">
        <v>1120070085</v>
      </c>
      <c r="C15" s="2346">
        <v>43814</v>
      </c>
      <c r="D15" s="2350" t="s">
        <v>1149</v>
      </c>
      <c r="E15" s="1020">
        <v>2004110128</v>
      </c>
      <c r="F15" s="1021">
        <v>47118</v>
      </c>
    </row>
    <row r="16" spans="1:6" ht="24" customHeight="1">
      <c r="A16" s="1701" t="s">
        <v>842</v>
      </c>
      <c r="B16" s="1020">
        <f ca="1">IF(C16&lt;B2,"已过期",1120140022)</f>
        <v>1120140022</v>
      </c>
      <c r="C16" s="2346">
        <v>44029</v>
      </c>
      <c r="D16" s="2349" t="s">
        <v>842</v>
      </c>
      <c r="E16" s="1020">
        <f ca="1">IF(F16&lt;B2,"已过期",2008110059)</f>
        <v>2008110059</v>
      </c>
      <c r="F16" s="1028">
        <v>47177</v>
      </c>
    </row>
    <row r="17" spans="1:7" ht="24" customHeight="1">
      <c r="A17" s="1701"/>
      <c r="B17" s="1020"/>
      <c r="C17" s="2346"/>
      <c r="D17" s="2349"/>
      <c r="E17" s="1020"/>
      <c r="F17" s="1028"/>
    </row>
    <row r="18" spans="1:7" ht="24" customHeight="1">
      <c r="A18" s="1701"/>
      <c r="B18" s="1020"/>
      <c r="C18" s="2346"/>
      <c r="D18" s="2349"/>
      <c r="E18" s="1020"/>
      <c r="F18" s="1028"/>
    </row>
    <row r="19" spans="1:7" ht="24" customHeight="1">
      <c r="A19" s="1701"/>
      <c r="B19" s="1020"/>
      <c r="C19" s="2346"/>
      <c r="D19" s="2349"/>
      <c r="E19" s="1020"/>
      <c r="F19" s="1020"/>
    </row>
    <row r="20" spans="1:7" ht="24" customHeight="1">
      <c r="A20" s="1701"/>
      <c r="B20" s="1020"/>
      <c r="C20" s="2346"/>
      <c r="D20" s="2349"/>
      <c r="E20" s="1020"/>
      <c r="F20" s="1020"/>
    </row>
    <row r="21" spans="1:7" ht="24" customHeight="1">
      <c r="A21" s="1701"/>
      <c r="B21" s="1020"/>
      <c r="C21" s="2346"/>
      <c r="D21" s="2349" t="s">
        <v>843</v>
      </c>
      <c r="E21" s="1020">
        <f ca="1">IF(F21&lt;B2,"已过期",2011110090)</f>
        <v>2011110090</v>
      </c>
      <c r="F21" s="1028">
        <v>48302</v>
      </c>
    </row>
    <row r="22" spans="1:7" ht="24" customHeight="1">
      <c r="A22" s="1701" t="s">
        <v>844</v>
      </c>
      <c r="B22" s="1020" t="str">
        <f ca="1">IF(C22&lt;B2,"已过期",1120020033)</f>
        <v>已过期</v>
      </c>
      <c r="C22" s="2346">
        <v>43304</v>
      </c>
      <c r="D22" s="2349" t="s">
        <v>844</v>
      </c>
      <c r="E22" s="1020">
        <f ca="1">IF(F22&lt;B2,"已过期",2000110137)</f>
        <v>2000110137</v>
      </c>
      <c r="F22" s="1028">
        <v>46387</v>
      </c>
    </row>
    <row r="23" spans="1:7" ht="24" customHeight="1">
      <c r="A23" s="1701" t="s">
        <v>845</v>
      </c>
      <c r="B23" s="1020">
        <f ca="1">IF(C23&lt;B2,"已过期",1120130048)</f>
        <v>1120130048</v>
      </c>
      <c r="C23" s="2346">
        <v>43686</v>
      </c>
      <c r="D23" s="2349"/>
      <c r="E23" s="1020"/>
      <c r="F23" s="1020"/>
    </row>
    <row r="24" spans="1:7" s="1022" customFormat="1" ht="24" customHeight="1">
      <c r="A24" s="1702" t="s">
        <v>1334</v>
      </c>
      <c r="B24" s="1702" t="s">
        <v>1334</v>
      </c>
      <c r="C24" s="2347" t="s">
        <v>1334</v>
      </c>
      <c r="D24" s="2350" t="s">
        <v>1334</v>
      </c>
      <c r="E24" s="1702" t="s">
        <v>1334</v>
      </c>
      <c r="F24" s="1702" t="s">
        <v>1334</v>
      </c>
    </row>
    <row r="25" spans="1:7" ht="24" customHeight="1">
      <c r="A25" s="3035" t="s">
        <v>846</v>
      </c>
      <c r="B25" s="3035"/>
      <c r="C25" s="3035"/>
      <c r="D25" s="3035"/>
      <c r="E25" s="3035"/>
      <c r="F25" s="3035"/>
      <c r="G25" s="3035"/>
    </row>
    <row r="26" spans="1:7" s="1023" customFormat="1" ht="24" customHeight="1">
      <c r="A26" s="3036" t="s">
        <v>847</v>
      </c>
      <c r="B26" s="3036"/>
      <c r="C26" s="3037"/>
      <c r="D26" s="3038" t="s">
        <v>848</v>
      </c>
      <c r="E26" s="3036"/>
      <c r="F26" s="3036"/>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收益法-地下车库</vt:lpstr>
      <vt:lpstr>收益法-众创空间</vt:lpstr>
      <vt:lpstr>收益法-办公自用</vt:lpstr>
      <vt:lpstr>收益法-办公出租</vt:lpstr>
      <vt:lpstr>收益法-商业自用</vt:lpstr>
      <vt:lpstr>收益法-商业出租</vt:lpstr>
      <vt:lpstr>收益法 (元)</vt:lpstr>
      <vt:lpstr>收益法（汇总）</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Sheet1</vt:lpstr>
      <vt:lpstr>估价师及机构信息!Print_Area</vt:lpstr>
      <vt:lpstr>'收益法 (元)'!Print_Area</vt:lpstr>
      <vt:lpstr>'收益法-办公出租'!Print_Area</vt:lpstr>
      <vt:lpstr>'收益法-办公自用'!Print_Area</vt:lpstr>
      <vt:lpstr>'收益法-车库'!Print_Area</vt:lpstr>
      <vt:lpstr>'收益法-地下车库'!Print_Area</vt:lpstr>
      <vt:lpstr>'收益法-联排'!Print_Area</vt:lpstr>
      <vt:lpstr>'收益法-商业出租'!Print_Area</vt:lpstr>
      <vt:lpstr>'收益法-商业自用'!Print_Area</vt:lpstr>
      <vt:lpstr>'收益法-众创空间'!Print_Area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2018-12-11T06:58:44Z</dcterms:modified>
</cp:coreProperties>
</file>