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询价\11月\华恒基业抵押物房本\"/>
    </mc:Choice>
  </mc:AlternateContent>
  <xr:revisionPtr revIDLastSave="0" documentId="13_ncr:1_{C6F1CC40-5FCC-4C5E-B1B5-AA65074A5F8D}"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售" sheetId="84" r:id="rId37"/>
    <sheet name="租金比较法" sheetId="8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7"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7">租金比较法!$A$1:$K$55,租金比较法!$A$58:$M$132</definedName>
    <definedName name="八级">区片价!$P$1:$P$44</definedName>
    <definedName name="办公">定义!$Y$2</definedName>
    <definedName name="办公层高" localSheetId="37">租金比较法!$B$119:$M$119</definedName>
    <definedName name="办公层高">'比较法-办公'!$B$119:$M$119</definedName>
    <definedName name="办公朝向" localSheetId="37">租金比较法!$B$91:$M$91</definedName>
    <definedName name="办公朝向">'比较法-办公'!$B$91:$M$91</definedName>
    <definedName name="办公道路级别" localSheetId="37">租金比较法!$B$87:$M$87</definedName>
    <definedName name="办公道路级别">'比较法-办公'!$B$87:$M$87</definedName>
    <definedName name="办公公共部分装修" localSheetId="37">租金比较法!$B$108:$M$108</definedName>
    <definedName name="办公公共部分装修">'比较法-办公'!$B$108:$M$108</definedName>
    <definedName name="办公基础设施水平" localSheetId="37">租金比较法!$B$117:$M$117</definedName>
    <definedName name="办公基础设施水平">'比较法-办公'!$B$117:$M$117</definedName>
    <definedName name="办公集聚程度">定义!$M$1:$M$6</definedName>
    <definedName name="办公建筑结构" localSheetId="37">租金比较法!$B$106:$M$106</definedName>
    <definedName name="办公建筑结构">'比较法-办公'!$B$106:$M$106</definedName>
    <definedName name="办公建筑类型" localSheetId="37">租金比较法!$B$101:$M$101</definedName>
    <definedName name="办公建筑类型">'比较法-办公'!$B$101:$M$101</definedName>
    <definedName name="办公交易情况" localSheetId="37">租金比较法!$A$62:$M$62</definedName>
    <definedName name="办公交易情况">'比较法-办公'!$A$62:$M$62</definedName>
    <definedName name="办公楼层" localSheetId="37">租金比较法!$B$89:$M$89</definedName>
    <definedName name="办公楼层">'比较法-办公'!$B$89:$M$89</definedName>
    <definedName name="办公内部装修" localSheetId="37">租金比较法!$B$123:$M$123</definedName>
    <definedName name="办公内部装修">'比较法-办公'!$B$123:$M$123</definedName>
    <definedName name="办公物业管理" localSheetId="37">租金比较法!$B$115:$M$115</definedName>
    <definedName name="办公物业管理">'比较法-办公'!$B$115:$M$115</definedName>
    <definedName name="办公用途" localSheetId="37">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7">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10" i="34"/>
  <c r="I10" i="34"/>
  <c r="G10" i="34"/>
  <c r="E10" i="34"/>
  <c r="A3" i="3"/>
  <c r="I37" i="83"/>
  <c r="G37" i="83"/>
  <c r="E37" i="83"/>
  <c r="B131" i="83"/>
  <c r="B129" i="83"/>
  <c r="B127" i="83"/>
  <c r="G126" i="83"/>
  <c r="D126" i="83"/>
  <c r="E126" i="83" s="1"/>
  <c r="F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I92" i="83"/>
  <c r="J92" i="83" s="1"/>
  <c r="K92" i="83" s="1"/>
  <c r="L92" i="83" s="1"/>
  <c r="M92" i="83" s="1"/>
  <c r="E92" i="83"/>
  <c r="F92" i="83" s="1"/>
  <c r="G92" i="83" s="1"/>
  <c r="H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AC47" i="83"/>
  <c r="W47" i="83"/>
  <c r="Q47" i="83"/>
  <c r="Z47" i="83" s="1"/>
  <c r="J47" i="83"/>
  <c r="H47" i="83"/>
  <c r="AB47" i="83" s="1"/>
  <c r="F47" i="83"/>
  <c r="AA47" i="83" s="1"/>
  <c r="U46"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U42" i="83" s="1"/>
  <c r="F42" i="83"/>
  <c r="AA42" i="83" s="1"/>
  <c r="Q41" i="83"/>
  <c r="Z41" i="83" s="1"/>
  <c r="J41" i="83"/>
  <c r="AC41" i="83" s="1"/>
  <c r="H41" i="83"/>
  <c r="AB41" i="83" s="1"/>
  <c r="F41" i="83"/>
  <c r="AA41" i="83" s="1"/>
  <c r="Z40" i="83"/>
  <c r="Q40" i="83"/>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C37" i="83"/>
  <c r="Z36" i="83"/>
  <c r="Q36" i="83"/>
  <c r="J36" i="83"/>
  <c r="AC36" i="83" s="1"/>
  <c r="H36" i="83"/>
  <c r="AB36" i="83" s="1"/>
  <c r="F36" i="83"/>
  <c r="AA36" i="83" s="1"/>
  <c r="W35" i="83"/>
  <c r="Q35" i="83"/>
  <c r="Z35" i="83" s="1"/>
  <c r="J35" i="83"/>
  <c r="AC35" i="83" s="1"/>
  <c r="H35" i="83"/>
  <c r="AB35" i="83" s="1"/>
  <c r="F35" i="83"/>
  <c r="AA35" i="83" s="1"/>
  <c r="Q34" i="83"/>
  <c r="Z34" i="83" s="1"/>
  <c r="H34" i="83"/>
  <c r="U34" i="83" s="1"/>
  <c r="C34" i="83"/>
  <c r="F34" i="83" s="1"/>
  <c r="Q33" i="83"/>
  <c r="Z33" i="83" s="1"/>
  <c r="J33" i="83"/>
  <c r="AC33" i="83" s="1"/>
  <c r="H33" i="83"/>
  <c r="AB33" i="83" s="1"/>
  <c r="F33" i="83"/>
  <c r="AA33" i="83" s="1"/>
  <c r="AA32" i="83"/>
  <c r="S32" i="83"/>
  <c r="Q32" i="83"/>
  <c r="Z32" i="83" s="1"/>
  <c r="F32" i="83"/>
  <c r="Q31" i="83"/>
  <c r="Z31" i="83" s="1"/>
  <c r="J31" i="83"/>
  <c r="AC31" i="83" s="1"/>
  <c r="H31" i="83"/>
  <c r="AB31" i="83" s="1"/>
  <c r="F31" i="83"/>
  <c r="AA31" i="83" s="1"/>
  <c r="AC30" i="83"/>
  <c r="W30" i="83"/>
  <c r="Q30" i="83"/>
  <c r="Z30" i="83" s="1"/>
  <c r="J30" i="83"/>
  <c r="H30" i="83"/>
  <c r="AB30" i="83" s="1"/>
  <c r="F30" i="83"/>
  <c r="AA30" i="83" s="1"/>
  <c r="U29" i="83"/>
  <c r="Q29" i="83"/>
  <c r="Z29" i="83" s="1"/>
  <c r="J29" i="83"/>
  <c r="AC29" i="83" s="1"/>
  <c r="H29" i="83"/>
  <c r="AB29" i="83" s="1"/>
  <c r="F29" i="83"/>
  <c r="AA29" i="83" s="1"/>
  <c r="AA28" i="83"/>
  <c r="Q28" i="83"/>
  <c r="Z28" i="83" s="1"/>
  <c r="J28" i="83"/>
  <c r="AC28" i="83" s="1"/>
  <c r="H28" i="83"/>
  <c r="AB28" i="83" s="1"/>
  <c r="F28" i="83"/>
  <c r="S28" i="83" s="1"/>
  <c r="Q27" i="83"/>
  <c r="Z27" i="83" s="1"/>
  <c r="J27" i="83"/>
  <c r="AC27" i="83" s="1"/>
  <c r="H27" i="83"/>
  <c r="AB27" i="83" s="1"/>
  <c r="F27" i="83"/>
  <c r="AA27" i="83" s="1"/>
  <c r="Z25" i="83"/>
  <c r="Q25" i="83"/>
  <c r="J25" i="83"/>
  <c r="W25" i="83" s="1"/>
  <c r="H25" i="83"/>
  <c r="AB25" i="83" s="1"/>
  <c r="F25" i="83"/>
  <c r="AA25" i="83" s="1"/>
  <c r="AB23" i="83"/>
  <c r="Q23" i="83"/>
  <c r="Z23" i="83" s="1"/>
  <c r="J23" i="83"/>
  <c r="W23" i="83" s="1"/>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C17" i="83"/>
  <c r="Q15" i="83"/>
  <c r="Z15" i="83" s="1"/>
  <c r="H15" i="83"/>
  <c r="AB15" i="83" s="1"/>
  <c r="F15" i="83"/>
  <c r="AA15" i="83" s="1"/>
  <c r="C15" i="83"/>
  <c r="Q14" i="83"/>
  <c r="Z14" i="83" s="1"/>
  <c r="J14" i="83"/>
  <c r="AC14" i="83" s="1"/>
  <c r="H14" i="83"/>
  <c r="AB14" i="83" s="1"/>
  <c r="F14" i="83"/>
  <c r="AA14" i="83" s="1"/>
  <c r="Q13" i="83"/>
  <c r="Z13" i="83" s="1"/>
  <c r="J13" i="83"/>
  <c r="AC13" i="83" s="1"/>
  <c r="H13" i="83"/>
  <c r="AB13" i="83" s="1"/>
  <c r="Q12" i="83"/>
  <c r="Z12" i="83" s="1"/>
  <c r="J12" i="83"/>
  <c r="AC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C7" i="83"/>
  <c r="C59" i="83" s="1"/>
  <c r="D59" i="83" s="1"/>
  <c r="E59" i="83" s="1"/>
  <c r="F59" i="83" s="1"/>
  <c r="G59" i="83" s="1"/>
  <c r="H59" i="83" s="1"/>
  <c r="I59" i="83" s="1"/>
  <c r="J59" i="83" s="1"/>
  <c r="K59" i="83" s="1"/>
  <c r="L59" i="83" s="1"/>
  <c r="M59" i="83" s="1"/>
  <c r="N59" i="83" s="1"/>
  <c r="O59" i="83" s="1"/>
  <c r="D3" i="83"/>
  <c r="D3" i="4"/>
  <c r="I37" i="34"/>
  <c r="G37" i="34"/>
  <c r="E37" i="34"/>
  <c r="C37" i="34"/>
  <c r="D2" i="83"/>
  <c r="AA8" i="83" l="1"/>
  <c r="AB8" i="83"/>
  <c r="W8" i="83"/>
  <c r="AB34" i="83"/>
  <c r="F17" i="83"/>
  <c r="AA17" i="83" s="1"/>
  <c r="H12" i="83"/>
  <c r="AB12" i="83" s="1"/>
  <c r="H17" i="83"/>
  <c r="AB17" i="83" s="1"/>
  <c r="H37" i="83"/>
  <c r="AB37" i="83" s="1"/>
  <c r="W9" i="83"/>
  <c r="S11" i="83"/>
  <c r="W13" i="83"/>
  <c r="AA34" i="83"/>
  <c r="S34" i="83"/>
  <c r="J37" i="83"/>
  <c r="AB42" i="83"/>
  <c r="S45" i="83"/>
  <c r="E7" i="83"/>
  <c r="F7" i="83" s="1"/>
  <c r="I7" i="83"/>
  <c r="J7" i="83" s="1"/>
  <c r="S10" i="83"/>
  <c r="U11" i="83"/>
  <c r="W12" i="83"/>
  <c r="S14" i="83"/>
  <c r="S15" i="83"/>
  <c r="S17" i="83"/>
  <c r="S19" i="83"/>
  <c r="S21" i="83"/>
  <c r="AC23" i="83"/>
  <c r="AC25" i="83"/>
  <c r="F37" i="83"/>
  <c r="S41" i="83"/>
  <c r="W43" i="83"/>
  <c r="J32" i="83"/>
  <c r="H32" i="83"/>
  <c r="S9" i="83"/>
  <c r="U10" i="83"/>
  <c r="W11" i="83"/>
  <c r="S13" i="83"/>
  <c r="U14" i="83"/>
  <c r="U15" i="83"/>
  <c r="U19" i="83"/>
  <c r="U21" i="83"/>
  <c r="S25" i="83"/>
  <c r="U33" i="83"/>
  <c r="W39" i="83"/>
  <c r="G7" i="83"/>
  <c r="H7" i="83" s="1"/>
  <c r="U9" i="83"/>
  <c r="W10" i="83"/>
  <c r="S12" i="83"/>
  <c r="U13" i="83"/>
  <c r="W14" i="83"/>
  <c r="J15" i="83"/>
  <c r="W17" i="83"/>
  <c r="W19" i="83"/>
  <c r="W21" i="83"/>
  <c r="S27" i="83"/>
  <c r="U28" i="83"/>
  <c r="W29" i="83"/>
  <c r="S31" i="83"/>
  <c r="W33" i="83"/>
  <c r="J34" i="83"/>
  <c r="S36" i="83"/>
  <c r="W38" i="83"/>
  <c r="S40" i="83"/>
  <c r="U41" i="83"/>
  <c r="W42" i="83"/>
  <c r="S44" i="83"/>
  <c r="U45" i="83"/>
  <c r="W46" i="83"/>
  <c r="U27" i="83"/>
  <c r="W28" i="83"/>
  <c r="S30" i="83"/>
  <c r="U31" i="83"/>
  <c r="S35" i="83"/>
  <c r="U36" i="83"/>
  <c r="S39" i="83"/>
  <c r="U40" i="83"/>
  <c r="W41" i="83"/>
  <c r="S43" i="83"/>
  <c r="U44" i="83"/>
  <c r="W45" i="83"/>
  <c r="S47" i="83"/>
  <c r="S23" i="83"/>
  <c r="U25" i="83"/>
  <c r="W27" i="83"/>
  <c r="S29" i="83"/>
  <c r="U30" i="83"/>
  <c r="W31" i="83"/>
  <c r="S33" i="83"/>
  <c r="U35" i="83"/>
  <c r="W36" i="83"/>
  <c r="S38" i="83"/>
  <c r="U39" i="83"/>
  <c r="W40" i="83"/>
  <c r="S42" i="83"/>
  <c r="U43" i="83"/>
  <c r="W44" i="83"/>
  <c r="S46" i="83"/>
  <c r="U47" i="83"/>
  <c r="N21" i="1"/>
  <c r="N6" i="1" s="1"/>
  <c r="Y6" i="1" s="1"/>
  <c r="N19" i="1"/>
  <c r="G62" i="43"/>
  <c r="G63" i="43"/>
  <c r="G64" i="43"/>
  <c r="G65" i="43"/>
  <c r="G66" i="43"/>
  <c r="G67" i="43"/>
  <c r="G68" i="43"/>
  <c r="G69" i="43"/>
  <c r="G61" i="43"/>
  <c r="E27" i="45"/>
  <c r="U12" i="83" l="1"/>
  <c r="U17" i="83"/>
  <c r="U37" i="83"/>
  <c r="S7" i="83"/>
  <c r="AA7" i="83"/>
  <c r="AB32" i="83"/>
  <c r="U32" i="83"/>
  <c r="AC15" i="83"/>
  <c r="W15" i="83"/>
  <c r="AC32" i="83"/>
  <c r="W32" i="83"/>
  <c r="AA37" i="83"/>
  <c r="S37" i="83"/>
  <c r="AC34" i="83"/>
  <c r="W34" i="83"/>
  <c r="AB7" i="83"/>
  <c r="U7" i="83"/>
  <c r="AC7" i="83"/>
  <c r="W7" i="83"/>
  <c r="AC37" i="83"/>
  <c r="W37" i="83"/>
  <c r="G14" i="73"/>
  <c r="F14" i="73"/>
  <c r="E14" i="73"/>
  <c r="R49" i="83" l="1"/>
  <c r="E49" i="83" s="1"/>
  <c r="V49" i="83"/>
  <c r="I49" i="83" s="1"/>
  <c r="I53" i="83" s="1"/>
  <c r="J53" i="83" s="1"/>
  <c r="T49" i="83"/>
  <c r="G49" i="83" s="1"/>
  <c r="I12" i="79"/>
  <c r="I54" i="83" l="1"/>
  <c r="J54" i="83" s="1"/>
  <c r="R50" i="83"/>
  <c r="C50" i="83" s="1"/>
  <c r="U6" i="1" s="1"/>
  <c r="G53" i="83"/>
  <c r="H53" i="83" s="1"/>
  <c r="G54" i="83"/>
  <c r="H54" i="83" s="1"/>
  <c r="E54" i="83"/>
  <c r="F54" i="83" s="1"/>
  <c r="E53" i="83"/>
  <c r="F53" i="83"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B3" i="83"/>
  <c r="B2" i="83"/>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G44" i="43"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J5" i="3" s="1"/>
  <c r="BK552" i="3"/>
  <c r="BM552" i="3"/>
  <c r="BN552" i="3"/>
  <c r="BO552" i="3"/>
  <c r="BL552"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C5"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B82" i="37"/>
  <c r="D79" i="37"/>
  <c r="E79" i="37" s="1"/>
  <c r="D75" i="37"/>
  <c r="E75" i="37" s="1"/>
  <c r="F75" i="37" s="1"/>
  <c r="G75" i="37" s="1"/>
  <c r="D73" i="37"/>
  <c r="E73" i="37" s="1"/>
  <c r="F73" i="37"/>
  <c r="G73" i="37" s="1"/>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F13" i="36" s="1"/>
  <c r="S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W25" i="35" s="1"/>
  <c r="B75" i="35"/>
  <c r="J24" i="35" s="1"/>
  <c r="AC24" i="35"/>
  <c r="B73" i="35"/>
  <c r="J23" i="35" s="1"/>
  <c r="AC23" i="35" s="1"/>
  <c r="H23" i="35"/>
  <c r="U23" i="35" s="1"/>
  <c r="B57" i="35"/>
  <c r="B61" i="35"/>
  <c r="B59" i="35"/>
  <c r="F12" i="35" s="1"/>
  <c r="B131" i="34"/>
  <c r="F47" i="34" s="1"/>
  <c r="B129" i="34"/>
  <c r="B127" i="34"/>
  <c r="B99" i="34"/>
  <c r="J32" i="34" s="1"/>
  <c r="W32" i="34" s="1"/>
  <c r="B97" i="34"/>
  <c r="B95" i="34"/>
  <c r="B93" i="34"/>
  <c r="B75" i="34"/>
  <c r="H14" i="34" s="1"/>
  <c r="U14" i="34" s="1"/>
  <c r="B73" i="34"/>
  <c r="F13" i="34" s="1"/>
  <c r="AA13" i="34" s="1"/>
  <c r="B71" i="34"/>
  <c r="J12" i="34" s="1"/>
  <c r="W12" i="34" s="1"/>
  <c r="B130" i="33"/>
  <c r="B128" i="33"/>
  <c r="F45" i="33" s="1"/>
  <c r="B126" i="33"/>
  <c r="B98" i="33"/>
  <c r="B96" i="33"/>
  <c r="B94" i="33"/>
  <c r="F29" i="33" s="1"/>
  <c r="S29" i="33" s="1"/>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H12" i="34"/>
  <c r="U12" i="34" s="1"/>
  <c r="F12" i="34"/>
  <c r="S12" i="34" s="1"/>
  <c r="Q11" i="34"/>
  <c r="Z11" i="34" s="1"/>
  <c r="Q10" i="34"/>
  <c r="Z10" i="34"/>
  <c r="F10" i="34"/>
  <c r="AA10" i="34" s="1"/>
  <c r="Q9" i="34"/>
  <c r="Z9" i="34"/>
  <c r="J9" i="34"/>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J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S36" i="34" s="1"/>
  <c r="J35" i="34"/>
  <c r="W35" i="34" s="1"/>
  <c r="H39" i="33"/>
  <c r="AB39" i="33" s="1"/>
  <c r="U33" i="33"/>
  <c r="S40" i="33"/>
  <c r="W33" i="33"/>
  <c r="S27" i="35"/>
  <c r="F11" i="40"/>
  <c r="H11" i="40"/>
  <c r="AB11" i="40"/>
  <c r="W8" i="40"/>
  <c r="AA9" i="40"/>
  <c r="S34"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S27" i="39" s="1"/>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W32" i="40"/>
  <c r="F37" i="39"/>
  <c r="AA37" i="39" s="1"/>
  <c r="J30" i="35"/>
  <c r="H30" i="35"/>
  <c r="AB30" i="35" s="1"/>
  <c r="F22" i="35"/>
  <c r="AA22" i="35"/>
  <c r="H10" i="35"/>
  <c r="U10" i="35" s="1"/>
  <c r="F33" i="36"/>
  <c r="AA33" i="36" s="1"/>
  <c r="H16" i="36"/>
  <c r="AB16" i="36"/>
  <c r="F85" i="36"/>
  <c r="G85" i="36" s="1"/>
  <c r="H85" i="36" s="1"/>
  <c r="I85" i="36" s="1"/>
  <c r="J85" i="36" s="1"/>
  <c r="K85" i="36" s="1"/>
  <c r="L85" i="36" s="1"/>
  <c r="M85" i="36" s="1"/>
  <c r="J29" i="36"/>
  <c r="AC29" i="36" s="1"/>
  <c r="F24" i="36"/>
  <c r="S24" i="36" s="1"/>
  <c r="AA24" i="36"/>
  <c r="F34" i="36"/>
  <c r="S34" i="36" s="1"/>
  <c r="F14" i="35"/>
  <c r="AA14" i="35"/>
  <c r="F23" i="35"/>
  <c r="AA23" i="35" s="1"/>
  <c r="J32" i="35"/>
  <c r="AC32" i="35" s="1"/>
  <c r="J16" i="35"/>
  <c r="AC16" i="35"/>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J28" i="34"/>
  <c r="F41" i="33"/>
  <c r="AA41" i="33"/>
  <c r="S38" i="33"/>
  <c r="F32" i="33"/>
  <c r="AA32" i="33"/>
  <c r="J19" i="33"/>
  <c r="AC19" i="33" s="1"/>
  <c r="J15" i="33"/>
  <c r="AC15" i="33"/>
  <c r="F11" i="33"/>
  <c r="AA11" i="33" s="1"/>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H37" i="34"/>
  <c r="U37" i="34" s="1"/>
  <c r="H25" i="34"/>
  <c r="AB25" i="34" s="1"/>
  <c r="J25" i="34"/>
  <c r="AC25" i="34" s="1"/>
  <c r="F23" i="34"/>
  <c r="AA23" i="34" s="1"/>
  <c r="J19" i="34"/>
  <c r="AC19" i="34" s="1"/>
  <c r="F17" i="34"/>
  <c r="J17" i="34"/>
  <c r="W17" i="34" s="1"/>
  <c r="S41" i="33"/>
  <c r="H113" i="33"/>
  <c r="I113" i="33" s="1"/>
  <c r="J113" i="33" s="1"/>
  <c r="K113" i="33" s="1"/>
  <c r="L113" i="33"/>
  <c r="M113" i="33" s="1"/>
  <c r="H37" i="33"/>
  <c r="AB37" i="33"/>
  <c r="H15" i="33"/>
  <c r="AB15" i="33" s="1"/>
  <c r="H11" i="33"/>
  <c r="F28" i="40"/>
  <c r="AA28" i="40"/>
  <c r="AA29" i="35"/>
  <c r="AA42"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E119" i="21"/>
  <c r="F119" i="21" s="1"/>
  <c r="G119" i="21" s="1"/>
  <c r="H119" i="21" s="1"/>
  <c r="I119" i="21" s="1"/>
  <c r="J119" i="21" s="1"/>
  <c r="K119" i="21" s="1"/>
  <c r="L119" i="21" s="1"/>
  <c r="M119" i="21" s="1"/>
  <c r="H28" i="33"/>
  <c r="U28" i="33" s="1"/>
  <c r="J28" i="33"/>
  <c r="W28" i="33"/>
  <c r="F33" i="35"/>
  <c r="S33" i="35"/>
  <c r="J33" i="35"/>
  <c r="AC33" i="35" s="1"/>
  <c r="F30" i="35"/>
  <c r="S30" i="35" s="1"/>
  <c r="G89" i="35"/>
  <c r="H89" i="35" s="1"/>
  <c r="I89" i="35" s="1"/>
  <c r="J89" i="35" s="1"/>
  <c r="K89" i="35" s="1"/>
  <c r="L89" i="35" s="1"/>
  <c r="M89" i="35" s="1"/>
  <c r="H10" i="36"/>
  <c r="AB10" i="36" s="1"/>
  <c r="J14" i="36"/>
  <c r="AC14" i="36"/>
  <c r="H14" i="36"/>
  <c r="F28" i="36"/>
  <c r="AA28" i="36" s="1"/>
  <c r="J13" i="21"/>
  <c r="AC13" i="21" s="1"/>
  <c r="H27" i="21"/>
  <c r="AB27" i="21" s="1"/>
  <c r="F27" i="21"/>
  <c r="AA27" i="21" s="1"/>
  <c r="H29" i="21"/>
  <c r="U29" i="21"/>
  <c r="J31" i="21"/>
  <c r="AC31" i="21" s="1"/>
  <c r="J13" i="33"/>
  <c r="H13" i="33"/>
  <c r="U13" i="33" s="1"/>
  <c r="F13" i="33"/>
  <c r="H29" i="33"/>
  <c r="U29" i="33"/>
  <c r="J31" i="33"/>
  <c r="W31" i="33"/>
  <c r="H31" i="33"/>
  <c r="F31" i="33"/>
  <c r="J45" i="33"/>
  <c r="W45" i="33" s="1"/>
  <c r="J14" i="34"/>
  <c r="W14" i="34" s="1"/>
  <c r="H30" i="34"/>
  <c r="F30" i="34"/>
  <c r="S30" i="34" s="1"/>
  <c r="J30" i="34"/>
  <c r="H32" i="34"/>
  <c r="U32" i="34" s="1"/>
  <c r="F32" i="34"/>
  <c r="H46" i="34"/>
  <c r="U46" i="34" s="1"/>
  <c r="F46" i="34"/>
  <c r="S46" i="34" s="1"/>
  <c r="J46" i="34"/>
  <c r="H11" i="35"/>
  <c r="AB11" i="35" s="1"/>
  <c r="J11" i="35"/>
  <c r="W11" i="35" s="1"/>
  <c r="AC11" i="35"/>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2" i="40"/>
  <c r="F14" i="33"/>
  <c r="S14" i="33"/>
  <c r="H30" i="33"/>
  <c r="AB30" i="33"/>
  <c r="F30" i="33"/>
  <c r="J30" i="33"/>
  <c r="J44" i="33"/>
  <c r="W44" i="33" s="1"/>
  <c r="AC44" i="33"/>
  <c r="J46" i="33"/>
  <c r="AC46" i="33"/>
  <c r="F46" i="33"/>
  <c r="AA46" i="33" s="1"/>
  <c r="H46" i="33"/>
  <c r="AB46" i="33"/>
  <c r="J29" i="34"/>
  <c r="AC29" i="34" s="1"/>
  <c r="F29" i="34"/>
  <c r="S29" i="34" s="1"/>
  <c r="H29" i="34"/>
  <c r="AB29" i="34" s="1"/>
  <c r="J31" i="34"/>
  <c r="W31" i="34" s="1"/>
  <c r="H45" i="34"/>
  <c r="U45" i="34" s="1"/>
  <c r="J45" i="34"/>
  <c r="W45" i="34" s="1"/>
  <c r="F45" i="34"/>
  <c r="S45" i="34" s="1"/>
  <c r="H47" i="34"/>
  <c r="U47" i="34" s="1"/>
  <c r="J47" i="34"/>
  <c r="AC47" i="34" s="1"/>
  <c r="F13" i="35"/>
  <c r="J13" i="35"/>
  <c r="AC13" i="35"/>
  <c r="H13" i="35"/>
  <c r="U13" i="35" s="1"/>
  <c r="F25" i="35"/>
  <c r="S25" i="35" s="1"/>
  <c r="H25" i="35"/>
  <c r="AB25" i="35" s="1"/>
  <c r="J35" i="35"/>
  <c r="AC35" i="35" s="1"/>
  <c r="F35" i="35"/>
  <c r="AA35" i="35" s="1"/>
  <c r="H35" i="35"/>
  <c r="J25" i="36"/>
  <c r="W25" i="36"/>
  <c r="F25" i="36"/>
  <c r="S25" i="36" s="1"/>
  <c r="H25" i="36"/>
  <c r="AB25" i="36"/>
  <c r="H13" i="37"/>
  <c r="F13" i="37"/>
  <c r="S13" i="37" s="1"/>
  <c r="F28" i="37"/>
  <c r="AA28" i="37" s="1"/>
  <c r="J28" i="37"/>
  <c r="H38" i="37"/>
  <c r="AB38" i="37" s="1"/>
  <c r="J38" i="37"/>
  <c r="AC38" i="37" s="1"/>
  <c r="F38" i="37"/>
  <c r="S38" i="37"/>
  <c r="F43" i="39"/>
  <c r="AA43" i="39" s="1"/>
  <c r="H43" i="39"/>
  <c r="H14" i="39"/>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H13" i="39"/>
  <c r="H14" i="40"/>
  <c r="AB14" i="40"/>
  <c r="J14" i="40"/>
  <c r="W14" i="40" s="1"/>
  <c r="F14" i="40"/>
  <c r="J14" i="37"/>
  <c r="J27" i="37"/>
  <c r="AC27" i="37"/>
  <c r="U46" i="33"/>
  <c r="AA14" i="33"/>
  <c r="J36" i="37"/>
  <c r="AC36" i="37" s="1"/>
  <c r="J10" i="36"/>
  <c r="AC10" i="36" s="1"/>
  <c r="AB30" i="21"/>
  <c r="S11" i="36"/>
  <c r="AC28" i="21"/>
  <c r="F17" i="21"/>
  <c r="AA17" i="21" s="1"/>
  <c r="H17" i="21"/>
  <c r="AB17" i="21" s="1"/>
  <c r="F15" i="21"/>
  <c r="S15" i="21" s="1"/>
  <c r="J41" i="39"/>
  <c r="W41" i="39" s="1"/>
  <c r="W44" i="39"/>
  <c r="U36" i="39"/>
  <c r="G544" i="3"/>
  <c r="G540" i="3"/>
  <c r="G532" i="3"/>
  <c r="G531" i="3"/>
  <c r="G523" i="3"/>
  <c r="G518" i="3"/>
  <c r="G510" i="3"/>
  <c r="G508" i="3"/>
  <c r="G504" i="3"/>
  <c r="G496" i="3"/>
  <c r="G584" i="3"/>
  <c r="G580" i="3"/>
  <c r="G572" i="3"/>
  <c r="G568" i="3"/>
  <c r="G564" i="3"/>
  <c r="G560" i="3"/>
  <c r="G554" i="3"/>
  <c r="G550" i="3"/>
  <c r="BL584" i="3"/>
  <c r="BL572" i="3"/>
  <c r="BL568" i="3"/>
  <c r="BL546" i="3"/>
  <c r="BL534" i="3"/>
  <c r="BL530" i="3"/>
  <c r="BL516" i="3"/>
  <c r="BL512" i="3"/>
  <c r="AZ512" i="3" s="1"/>
  <c r="BL498" i="3"/>
  <c r="BL494" i="3"/>
  <c r="BL574" i="3"/>
  <c r="BL570" i="3"/>
  <c r="BL556" i="3"/>
  <c r="BL536" i="3"/>
  <c r="AZ536" i="3" s="1"/>
  <c r="G533" i="3"/>
  <c r="BL528" i="3"/>
  <c r="G525" i="3"/>
  <c r="BL514" i="3"/>
  <c r="BL510" i="3"/>
  <c r="BL496" i="3"/>
  <c r="G493" i="3"/>
  <c r="BA580" i="3"/>
  <c r="BA578" i="3"/>
  <c r="BA572" i="3"/>
  <c r="AZ572" i="3" s="1"/>
  <c r="BA570" i="3"/>
  <c r="BA564" i="3"/>
  <c r="BA562" i="3"/>
  <c r="BA556" i="3"/>
  <c r="AZ556" i="3" s="1"/>
  <c r="BA552" i="3"/>
  <c r="BA546" i="3"/>
  <c r="BA544" i="3"/>
  <c r="AZ544" i="3" s="1"/>
  <c r="AZ542" i="3"/>
  <c r="BA540" i="3"/>
  <c r="BA536" i="3"/>
  <c r="BA532" i="3"/>
  <c r="AZ532" i="3"/>
  <c r="BA526" i="3"/>
  <c r="AZ526" i="3" s="1"/>
  <c r="BA524" i="3"/>
  <c r="AZ524" i="3" s="1"/>
  <c r="BA518" i="3"/>
  <c r="AZ518" i="3" s="1"/>
  <c r="BA516" i="3"/>
  <c r="AZ516" i="3" s="1"/>
  <c r="BA510" i="3"/>
  <c r="BA506" i="3"/>
  <c r="AZ506" i="3" s="1"/>
  <c r="BA504" i="3"/>
  <c r="AZ504" i="3" s="1"/>
  <c r="BA500" i="3"/>
  <c r="AZ500" i="3" s="1"/>
  <c r="BA498" i="3"/>
  <c r="AZ498" i="3" s="1"/>
  <c r="BA496" i="3"/>
  <c r="BA494" i="3"/>
  <c r="AZ494" i="3" s="1"/>
  <c r="BA581" i="3"/>
  <c r="BA579" i="3"/>
  <c r="BA573" i="3"/>
  <c r="BA571" i="3"/>
  <c r="BA565" i="3"/>
  <c r="BA563" i="3"/>
  <c r="AZ563" i="3" s="1"/>
  <c r="BA555" i="3"/>
  <c r="BA545" i="3"/>
  <c r="BA543" i="3"/>
  <c r="BA537" i="3"/>
  <c r="BA535" i="3"/>
  <c r="BA529" i="3"/>
  <c r="AZ529" i="3" s="1"/>
  <c r="BA527" i="3"/>
  <c r="AZ527" i="3" s="1"/>
  <c r="BA519" i="3"/>
  <c r="BA517" i="3"/>
  <c r="BA511" i="3"/>
  <c r="BA507" i="3"/>
  <c r="BA501" i="3"/>
  <c r="AZ501" i="3" s="1"/>
  <c r="BA499" i="3"/>
  <c r="BA495" i="3"/>
  <c r="BA493" i="3"/>
  <c r="G583" i="3"/>
  <c r="G581" i="3"/>
  <c r="G579" i="3"/>
  <c r="G577" i="3"/>
  <c r="G575" i="3"/>
  <c r="G573" i="3"/>
  <c r="G571" i="3"/>
  <c r="G569" i="3"/>
  <c r="G563" i="3"/>
  <c r="G561" i="3"/>
  <c r="AC557" i="3"/>
  <c r="G557" i="3" s="1"/>
  <c r="BQ557" i="3"/>
  <c r="BL557" i="3" s="1"/>
  <c r="BQ583" i="3"/>
  <c r="BQ581" i="3"/>
  <c r="BL581" i="3"/>
  <c r="BQ579" i="3"/>
  <c r="BQ577" i="3"/>
  <c r="BQ575" i="3"/>
  <c r="BL575" i="3"/>
  <c r="BQ573" i="3"/>
  <c r="BQ571" i="3"/>
  <c r="BL571" i="3"/>
  <c r="BQ569" i="3"/>
  <c r="BL569" i="3" s="1"/>
  <c r="BQ567" i="3"/>
  <c r="BQ565" i="3"/>
  <c r="BL565" i="3" s="1"/>
  <c r="AZ565" i="3"/>
  <c r="BQ563" i="3"/>
  <c r="BQ561" i="3"/>
  <c r="BL561" i="3" s="1"/>
  <c r="BQ559" i="3"/>
  <c r="G559" i="3"/>
  <c r="G555" i="3"/>
  <c r="G553" i="3"/>
  <c r="G549" i="3"/>
  <c r="G547" i="3"/>
  <c r="G545" i="3"/>
  <c r="G541" i="3"/>
  <c r="G539" i="3"/>
  <c r="G537" i="3"/>
  <c r="BQ555" i="3"/>
  <c r="BQ553" i="3"/>
  <c r="BQ551" i="3"/>
  <c r="BQ549" i="3"/>
  <c r="BQ547" i="3"/>
  <c r="BL547" i="3" s="1"/>
  <c r="AZ547" i="3" s="1"/>
  <c r="BQ545" i="3"/>
  <c r="BQ543" i="3"/>
  <c r="BL543" i="3" s="1"/>
  <c r="AZ543" i="3"/>
  <c r="BQ541" i="3"/>
  <c r="BQ539" i="3"/>
  <c r="BL539" i="3" s="1"/>
  <c r="AZ539" i="3" s="1"/>
  <c r="BQ537" i="3"/>
  <c r="BQ535" i="3"/>
  <c r="BQ533" i="3"/>
  <c r="BL533" i="3"/>
  <c r="AZ533" i="3" s="1"/>
  <c r="BQ531" i="3"/>
  <c r="BQ529" i="3"/>
  <c r="BL529" i="3"/>
  <c r="BQ527" i="3"/>
  <c r="BL527" i="3" s="1"/>
  <c r="BQ525" i="3"/>
  <c r="BL525" i="3"/>
  <c r="AZ525" i="3" s="1"/>
  <c r="BQ523" i="3"/>
  <c r="BL523" i="3" s="1"/>
  <c r="AZ523" i="3" s="1"/>
  <c r="AC521" i="3"/>
  <c r="G521" i="3"/>
  <c r="BQ521" i="3"/>
  <c r="AZ520" i="3"/>
  <c r="G519" i="3"/>
  <c r="G517" i="3"/>
  <c r="G513" i="3"/>
  <c r="G511" i="3"/>
  <c r="BQ519" i="3"/>
  <c r="BQ517" i="3"/>
  <c r="BL517" i="3"/>
  <c r="BQ515" i="3"/>
  <c r="BL515" i="3" s="1"/>
  <c r="AZ515" i="3" s="1"/>
  <c r="BQ513" i="3"/>
  <c r="BQ511" i="3"/>
  <c r="BL511" i="3" s="1"/>
  <c r="AZ511" i="3" s="1"/>
  <c r="BA509" i="3"/>
  <c r="AZ509" i="3" s="1"/>
  <c r="AC509" i="3"/>
  <c r="BQ509" i="3"/>
  <c r="BL509" i="3"/>
  <c r="BL508" i="3"/>
  <c r="G505" i="3"/>
  <c r="G503"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F42" i="33"/>
  <c r="AA42" i="33" s="1"/>
  <c r="H28" i="34"/>
  <c r="AB28" i="34" s="1"/>
  <c r="F14" i="36"/>
  <c r="AA14" i="36" s="1"/>
  <c r="F22" i="36"/>
  <c r="S22" i="36" s="1"/>
  <c r="F26" i="36"/>
  <c r="S26" i="36" s="1"/>
  <c r="H35" i="34"/>
  <c r="U35" i="34" s="1"/>
  <c r="F41" i="34"/>
  <c r="H41" i="34"/>
  <c r="J41" i="34"/>
  <c r="AC41" i="34" s="1"/>
  <c r="F10" i="35"/>
  <c r="S10" i="35" s="1"/>
  <c r="F24" i="35"/>
  <c r="AA24" i="35"/>
  <c r="H24" i="35"/>
  <c r="AB24" i="35" s="1"/>
  <c r="H23" i="37"/>
  <c r="AB23" i="37"/>
  <c r="J32" i="37"/>
  <c r="AC32" i="37" s="1"/>
  <c r="F36" i="37"/>
  <c r="AA36" i="37"/>
  <c r="F37" i="37"/>
  <c r="H31" i="40"/>
  <c r="U31" i="40" s="1"/>
  <c r="H32" i="40"/>
  <c r="AB32" i="40" s="1"/>
  <c r="J36" i="40"/>
  <c r="W36" i="40"/>
  <c r="H19" i="37"/>
  <c r="AB19" i="37" s="1"/>
  <c r="H42" i="33"/>
  <c r="AB42" i="33" s="1"/>
  <c r="J43" i="33"/>
  <c r="AC43" i="33" s="1"/>
  <c r="S28" i="31"/>
  <c r="S27" i="31"/>
  <c r="S26" i="31"/>
  <c r="U14" i="40"/>
  <c r="U26" i="37"/>
  <c r="W47" i="34"/>
  <c r="AC31" i="33"/>
  <c r="AC45" i="33"/>
  <c r="U19" i="21"/>
  <c r="W44"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AB44" i="39"/>
  <c r="U44" i="39"/>
  <c r="G100" i="39"/>
  <c r="H37" i="39"/>
  <c r="AC37" i="39"/>
  <c r="W37" i="39"/>
  <c r="H25" i="39"/>
  <c r="AB25" i="39" s="1"/>
  <c r="J25" i="39"/>
  <c r="F25" i="39"/>
  <c r="AA25" i="39" s="1"/>
  <c r="F15" i="39"/>
  <c r="H15" i="39"/>
  <c r="U15" i="39" s="1"/>
  <c r="J15" i="39"/>
  <c r="W15" i="39" s="1"/>
  <c r="H41" i="39"/>
  <c r="AB41" i="39" s="1"/>
  <c r="W27" i="39"/>
  <c r="S42" i="39"/>
  <c r="AA41" i="39"/>
  <c r="W9" i="39"/>
  <c r="W8" i="39"/>
  <c r="J19" i="40"/>
  <c r="AC19" i="40" s="1"/>
  <c r="J50" i="40"/>
  <c r="H103" i="9"/>
  <c r="D8" i="53" s="1"/>
  <c r="B16" i="53"/>
  <c r="B33" i="72" s="1"/>
  <c r="C7" i="37"/>
  <c r="C52" i="37" s="1"/>
  <c r="D52" i="37" s="1"/>
  <c r="A118" i="9"/>
  <c r="A4" i="52"/>
  <c r="B41" i="72" s="1"/>
  <c r="J11" i="39"/>
  <c r="W11" i="39"/>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20" i="3"/>
  <c r="G534" i="3"/>
  <c r="G530" i="3"/>
  <c r="G522" i="3"/>
  <c r="G516" i="3"/>
  <c r="G512"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AZ392" i="3" s="1"/>
  <c r="G393" i="3"/>
  <c r="AZ291" i="3"/>
  <c r="AZ325" i="3"/>
  <c r="AZ341" i="3"/>
  <c r="AZ496" i="3"/>
  <c r="G548" i="3"/>
  <c r="G538" i="3"/>
  <c r="G520" i="3"/>
  <c r="G502" i="3"/>
  <c r="BK5" i="3"/>
  <c r="BI5" i="3"/>
  <c r="G17" i="3"/>
  <c r="BA17" i="3"/>
  <c r="AZ350" i="3"/>
  <c r="BA15" i="3"/>
  <c r="AZ15" i="3" s="1"/>
  <c r="BR5" i="3"/>
  <c r="G509" i="3"/>
  <c r="BL493" i="3"/>
  <c r="AZ493" i="3"/>
  <c r="U36" i="40"/>
  <c r="F83" i="43"/>
  <c r="H85" i="43" s="1"/>
  <c r="F50" i="43"/>
  <c r="H54" i="43" s="1"/>
  <c r="F72" i="43"/>
  <c r="H75" i="43" s="1"/>
  <c r="U17" i="39"/>
  <c r="S14" i="35"/>
  <c r="U43" i="21"/>
  <c r="U35" i="21"/>
  <c r="AC11" i="39"/>
  <c r="W37" i="37"/>
  <c r="S15" i="37"/>
  <c r="AA12" i="40"/>
  <c r="J37" i="33"/>
  <c r="W37" i="33" s="1"/>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H32" i="37"/>
  <c r="AB32" i="37" s="1"/>
  <c r="F96" i="37"/>
  <c r="G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AZ82" i="3"/>
  <c r="F23" i="39"/>
  <c r="AA23" i="39"/>
  <c r="H27" i="36"/>
  <c r="U27" i="36" s="1"/>
  <c r="F27" i="36"/>
  <c r="AA27" i="36" s="1"/>
  <c r="H33" i="34"/>
  <c r="U33" i="34" s="1"/>
  <c r="F32" i="37"/>
  <c r="AA32" i="37" s="1"/>
  <c r="H96" i="37"/>
  <c r="I96" i="37" s="1"/>
  <c r="J96" i="37" s="1"/>
  <c r="K96" i="37" s="1"/>
  <c r="L96" i="37" s="1"/>
  <c r="M96" i="37" s="1"/>
  <c r="F20" i="36"/>
  <c r="AA20" i="36" s="1"/>
  <c r="J33" i="34"/>
  <c r="AC33" i="34" s="1"/>
  <c r="H23" i="39"/>
  <c r="U23" i="39" s="1"/>
  <c r="K9" i="1"/>
  <c r="M9" i="1" s="1"/>
  <c r="D93" i="9"/>
  <c r="AB33" i="36"/>
  <c r="U33" i="36"/>
  <c r="AC12" i="39"/>
  <c r="AC39" i="40"/>
  <c r="W39" i="40"/>
  <c r="AZ412" i="3"/>
  <c r="AZ433" i="3"/>
  <c r="W12" i="33"/>
  <c r="AC12" i="33"/>
  <c r="AZ437" i="3"/>
  <c r="U30" i="33"/>
  <c r="S19" i="39"/>
  <c r="F12" i="33"/>
  <c r="H12" i="39"/>
  <c r="AB12" i="39"/>
  <c r="F39" i="40"/>
  <c r="AZ254" i="3"/>
  <c r="AZ297" i="3"/>
  <c r="AZ181" i="3"/>
  <c r="B12" i="1"/>
  <c r="E12" i="1" s="1"/>
  <c r="B10" i="1"/>
  <c r="E10" i="1" s="1"/>
  <c r="K12" i="1"/>
  <c r="M12" i="1" s="1"/>
  <c r="S13" i="1"/>
  <c r="AR13" i="1" s="1"/>
  <c r="R13" i="1"/>
  <c r="J51" i="67"/>
  <c r="AA34" i="33"/>
  <c r="B41" i="1"/>
  <c r="F48" i="9" s="1"/>
  <c r="O52" i="9" s="1"/>
  <c r="AB37" i="40"/>
  <c r="S35" i="40"/>
  <c r="U35" i="40"/>
  <c r="AC36"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AA12" i="39"/>
  <c r="S9" i="39"/>
  <c r="U12" i="39"/>
  <c r="S23" i="36"/>
  <c r="U26" i="36"/>
  <c r="S33" i="36"/>
  <c r="AA26" i="36"/>
  <c r="AA34" i="36"/>
  <c r="AC26" i="36"/>
  <c r="AA22" i="36"/>
  <c r="W14" i="36"/>
  <c r="U22" i="36"/>
  <c r="S16" i="36"/>
  <c r="AA25" i="36"/>
  <c r="U16" i="36"/>
  <c r="S14" i="36"/>
  <c r="AA25" i="35"/>
  <c r="W24" i="35"/>
  <c r="U29" i="35"/>
  <c r="U28" i="35"/>
  <c r="AB27" i="35"/>
  <c r="U36" i="35"/>
  <c r="U32" i="35"/>
  <c r="AA33" i="35"/>
  <c r="S32" i="35"/>
  <c r="AA36" i="35"/>
  <c r="S28"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AC15" i="37"/>
  <c r="J17" i="37"/>
  <c r="W17" i="37"/>
  <c r="F17" i="37"/>
  <c r="AA17" i="37" s="1"/>
  <c r="AB17" i="37"/>
  <c r="F19" i="37"/>
  <c r="S19" i="37" s="1"/>
  <c r="F79" i="37"/>
  <c r="F23" i="37"/>
  <c r="S23" i="37" s="1"/>
  <c r="U23" i="37"/>
  <c r="U15" i="37"/>
  <c r="AC13" i="37"/>
  <c r="AA13" i="37"/>
  <c r="H10" i="37"/>
  <c r="AB10" i="37" s="1"/>
  <c r="F63" i="37"/>
  <c r="F11" i="37"/>
  <c r="S11" i="37" s="1"/>
  <c r="W25" i="34"/>
  <c r="AC42" i="34"/>
  <c r="AA45" i="34"/>
  <c r="AA25" i="34"/>
  <c r="U28" i="34"/>
  <c r="AA29" i="34"/>
  <c r="S13" i="34"/>
  <c r="H10" i="34"/>
  <c r="AB10" i="34" s="1"/>
  <c r="F11" i="34"/>
  <c r="S11" i="34" s="1"/>
  <c r="W42" i="33"/>
  <c r="AA35"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U27" i="33" s="1"/>
  <c r="F87" i="33"/>
  <c r="H25" i="33"/>
  <c r="F25" i="33"/>
  <c r="J23" i="33"/>
  <c r="AC23" i="33" s="1"/>
  <c r="F85" i="33"/>
  <c r="H23" i="33"/>
  <c r="F19" i="33"/>
  <c r="S19" i="33" s="1"/>
  <c r="W19" i="33"/>
  <c r="J17" i="33"/>
  <c r="F79" i="33"/>
  <c r="G79" i="33" s="1"/>
  <c r="S15" i="33"/>
  <c r="W15" i="33"/>
  <c r="J10" i="33"/>
  <c r="W10" i="33" s="1"/>
  <c r="H10" i="33"/>
  <c r="U10" i="33" s="1"/>
  <c r="AC11" i="33"/>
  <c r="W43" i="21"/>
  <c r="W36" i="21"/>
  <c r="W41" i="21"/>
  <c r="AB39" i="21"/>
  <c r="S39" i="21"/>
  <c r="AA36" i="21"/>
  <c r="AC40" i="21"/>
  <c r="J15" i="21"/>
  <c r="W15" i="21"/>
  <c r="F77" i="21"/>
  <c r="G77" i="21"/>
  <c r="F23" i="21"/>
  <c r="S23" i="21"/>
  <c r="E85" i="21"/>
  <c r="AA14" i="21"/>
  <c r="D120" i="9"/>
  <c r="D121" i="9" s="1"/>
  <c r="D7" i="52" s="1"/>
  <c r="F34" i="67"/>
  <c r="F62" i="67" s="1"/>
  <c r="M20" i="67"/>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U15" i="40"/>
  <c r="AB17" i="40"/>
  <c r="U8" i="40"/>
  <c r="S8" i="40"/>
  <c r="AA39" i="39"/>
  <c r="AC41" i="39"/>
  <c r="U42" i="39"/>
  <c r="W25" i="39"/>
  <c r="AC25" i="39"/>
  <c r="U13" i="39"/>
  <c r="AB13" i="39"/>
  <c r="AA13" i="39"/>
  <c r="S13" i="39"/>
  <c r="U43" i="39"/>
  <c r="AB43" i="39"/>
  <c r="AB11" i="39"/>
  <c r="U11" i="39"/>
  <c r="AA27" i="39"/>
  <c r="W17" i="39"/>
  <c r="AC17" i="39"/>
  <c r="W31" i="39"/>
  <c r="AC31" i="39"/>
  <c r="S23" i="39"/>
  <c r="AA45" i="39"/>
  <c r="AB39" i="39"/>
  <c r="U38" i="39"/>
  <c r="S8" i="39"/>
  <c r="S20" i="36"/>
  <c r="AC25" i="36"/>
  <c r="W29" i="36"/>
  <c r="AC20" i="36"/>
  <c r="U25" i="36"/>
  <c r="AA13" i="36"/>
  <c r="W9" i="36"/>
  <c r="W22" i="36"/>
  <c r="AB20" i="35"/>
  <c r="AC25" i="35"/>
  <c r="U25" i="35"/>
  <c r="S24" i="35"/>
  <c r="U24" i="35"/>
  <c r="S35" i="35"/>
  <c r="W35" i="35"/>
  <c r="AA16" i="35"/>
  <c r="AA35" i="37"/>
  <c r="W36" i="37"/>
  <c r="S27" i="37"/>
  <c r="S28" i="37"/>
  <c r="U36" i="37"/>
  <c r="S40" i="37"/>
  <c r="AB37" i="37"/>
  <c r="AC34" i="37"/>
  <c r="AB35" i="37"/>
  <c r="AA31" i="37"/>
  <c r="U19" i="37"/>
  <c r="AA29" i="37"/>
  <c r="U8" i="37"/>
  <c r="AC45" i="34"/>
  <c r="AA30" i="34"/>
  <c r="AB45" i="34"/>
  <c r="AB47" i="34"/>
  <c r="U25" i="34"/>
  <c r="AC32" i="34"/>
  <c r="W46" i="34"/>
  <c r="AC46" i="34"/>
  <c r="S32" i="34"/>
  <c r="AA32" i="34"/>
  <c r="U30" i="34"/>
  <c r="AB30" i="34"/>
  <c r="U9" i="34"/>
  <c r="AB32" i="34"/>
  <c r="AC37" i="33"/>
  <c r="W46" i="33"/>
  <c r="U38" i="33"/>
  <c r="S33" i="33"/>
  <c r="AB34" i="33"/>
  <c r="S30" i="33"/>
  <c r="AA30" i="33"/>
  <c r="AC30" i="33"/>
  <c r="W30" i="33"/>
  <c r="S31" i="33"/>
  <c r="AA31" i="33"/>
  <c r="W13" i="33"/>
  <c r="AC13" i="33"/>
  <c r="U15" i="33"/>
  <c r="S11" i="33"/>
  <c r="U37" i="33"/>
  <c r="AC28" i="33"/>
  <c r="S28" i="33"/>
  <c r="W8" i="33"/>
  <c r="S44" i="21"/>
  <c r="AB42" i="21"/>
  <c r="U28" i="21"/>
  <c r="F33" i="21"/>
  <c r="AA33" i="21" s="1"/>
  <c r="J33" i="21"/>
  <c r="AC33" i="21" s="1"/>
  <c r="H33" i="21"/>
  <c r="AB33" i="21" s="1"/>
  <c r="F37" i="21"/>
  <c r="AA37" i="21" s="1"/>
  <c r="AB14" i="21"/>
  <c r="AB46" i="21"/>
  <c r="U40" i="21"/>
  <c r="AC15" i="21"/>
  <c r="U13" i="21"/>
  <c r="AB13" i="21"/>
  <c r="S35" i="21"/>
  <c r="J37" i="21"/>
  <c r="W37" i="21" s="1"/>
  <c r="H15" i="21"/>
  <c r="U15" i="21"/>
  <c r="J17" i="21"/>
  <c r="W17" i="21" s="1"/>
  <c r="AC17" i="21"/>
  <c r="AC19" i="21"/>
  <c r="W39" i="21"/>
  <c r="AC14" i="21"/>
  <c r="W30" i="2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AA19" i="37"/>
  <c r="J23" i="37"/>
  <c r="W23" i="37" s="1"/>
  <c r="G79" i="37"/>
  <c r="J10" i="37"/>
  <c r="W10" i="37" s="1"/>
  <c r="G63" i="37"/>
  <c r="H63" i="37" s="1"/>
  <c r="I63" i="37" s="1"/>
  <c r="H11" i="37"/>
  <c r="AB11" i="37" s="1"/>
  <c r="H11" i="34"/>
  <c r="U11" i="34" s="1"/>
  <c r="J10" i="34"/>
  <c r="AC10" i="34" s="1"/>
  <c r="AB41" i="33"/>
  <c r="U41" i="33"/>
  <c r="W35" i="33"/>
  <c r="AC35" i="33"/>
  <c r="J36" i="33"/>
  <c r="W36" i="33" s="1"/>
  <c r="H36" i="33"/>
  <c r="U36" i="33" s="1"/>
  <c r="S36" i="33"/>
  <c r="AC32" i="33"/>
  <c r="W32" i="33"/>
  <c r="G91" i="33"/>
  <c r="H91" i="33"/>
  <c r="I91" i="33" s="1"/>
  <c r="J91" i="33" s="1"/>
  <c r="K91" i="33" s="1"/>
  <c r="L91" i="33" s="1"/>
  <c r="M91" i="33" s="1"/>
  <c r="U25" i="33"/>
  <c r="AB25" i="33"/>
  <c r="S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U9" i="21"/>
  <c r="AA32" i="21"/>
  <c r="S32" i="21"/>
  <c r="AB32" i="21"/>
  <c r="U32" i="21"/>
  <c r="U32" i="39"/>
  <c r="AC32" i="39"/>
  <c r="W32" i="39"/>
  <c r="J63" i="37"/>
  <c r="K63" i="37" s="1"/>
  <c r="L63" i="37" s="1"/>
  <c r="M63" i="37" s="1"/>
  <c r="J11" i="37"/>
  <c r="AC11" i="37" s="1"/>
  <c r="AB36" i="33"/>
  <c r="W25" i="33"/>
  <c r="AC25" i="33"/>
  <c r="AB19" i="33"/>
  <c r="U19" i="33"/>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6" i="15"/>
  <c r="M24" i="15"/>
  <c r="F7" i="73"/>
  <c r="F9" i="67"/>
  <c r="M22" i="15"/>
  <c r="M9" i="15"/>
  <c r="B11" i="76"/>
  <c r="M23" i="15"/>
  <c r="F3" i="73"/>
  <c r="C76" i="15"/>
  <c r="M9" i="67"/>
  <c r="F6" i="67"/>
  <c r="F26" i="15"/>
  <c r="D35" i="9"/>
  <c r="B13" i="76"/>
  <c r="F9" i="15"/>
  <c r="F40" i="67"/>
  <c r="C76" i="67"/>
  <c r="M6" i="67"/>
  <c r="M28" i="67"/>
  <c r="J15" i="15"/>
  <c r="F37" i="15"/>
  <c r="F38" i="67"/>
  <c r="E8" i="76"/>
  <c r="F38" i="15"/>
  <c r="L47" i="15"/>
  <c r="B9" i="76"/>
  <c r="F8" i="15"/>
  <c r="B8" i="76"/>
  <c r="F4" i="73"/>
  <c r="F42" i="15"/>
  <c r="B12" i="76"/>
  <c r="B7" i="76"/>
  <c r="F36" i="67"/>
  <c r="E7" i="76"/>
  <c r="M24" i="67"/>
  <c r="M8" i="67"/>
  <c r="M28" i="15"/>
  <c r="E9" i="76"/>
  <c r="F6" i="73"/>
  <c r="M6" i="15"/>
  <c r="F5" i="73"/>
  <c r="E12" i="76"/>
  <c r="F40" i="15"/>
  <c r="M29" i="67"/>
  <c r="F8" i="67"/>
  <c r="E2" i="69"/>
  <c r="F20" i="31"/>
  <c r="F16" i="67"/>
  <c r="F42" i="67"/>
  <c r="E11" i="76"/>
  <c r="E2" i="68"/>
  <c r="E10" i="76"/>
  <c r="F16" i="15"/>
  <c r="AO13" i="1"/>
  <c r="M22" i="67"/>
  <c r="F13" i="15"/>
  <c r="F26" i="67"/>
  <c r="M8" i="15"/>
  <c r="B10" i="76"/>
  <c r="D34" i="9"/>
  <c r="M26" i="67"/>
  <c r="M26" i="15"/>
  <c r="F7" i="67"/>
  <c r="F43" i="67"/>
  <c r="M23" i="67"/>
  <c r="F13" i="67"/>
  <c r="L48" i="67"/>
  <c r="J15" i="67"/>
  <c r="L47" i="67"/>
  <c r="F37" i="67"/>
  <c r="F6" i="15"/>
  <c r="E13" i="76"/>
  <c r="H15" i="34" l="1"/>
  <c r="AB15" i="34" s="1"/>
  <c r="F15" i="34"/>
  <c r="AA15" i="34" s="1"/>
  <c r="AB14" i="34"/>
  <c r="F14" i="34"/>
  <c r="J11" i="34"/>
  <c r="W11" i="34" s="1"/>
  <c r="F6" i="1"/>
  <c r="BA14" i="3"/>
  <c r="BL14" i="3"/>
  <c r="BB5" i="3"/>
  <c r="AB46" i="34"/>
  <c r="J23" i="34"/>
  <c r="W23" i="34" s="1"/>
  <c r="H23" i="34"/>
  <c r="AB23" i="34" s="1"/>
  <c r="AC39" i="34"/>
  <c r="AA36" i="34"/>
  <c r="W36" i="34"/>
  <c r="S35" i="34"/>
  <c r="AA44" i="34"/>
  <c r="AC44" i="34"/>
  <c r="AC43" i="34"/>
  <c r="U43" i="34"/>
  <c r="W41" i="34"/>
  <c r="AA40" i="34"/>
  <c r="W40" i="34"/>
  <c r="AB40" i="34"/>
  <c r="U39" i="34"/>
  <c r="AA38" i="34"/>
  <c r="AB36" i="34"/>
  <c r="AC35" i="34"/>
  <c r="AB35" i="34"/>
  <c r="D33" i="43"/>
  <c r="D1" i="43" s="1"/>
  <c r="F19" i="6"/>
  <c r="E19" i="6" s="1"/>
  <c r="K6" i="1" s="1"/>
  <c r="AB33" i="34"/>
  <c r="W33" i="34"/>
  <c r="AA33" i="34"/>
  <c r="S43" i="34"/>
  <c r="U38" i="34"/>
  <c r="AC27" i="34"/>
  <c r="AC31" i="34"/>
  <c r="AC12" i="34"/>
  <c r="AC14" i="34"/>
  <c r="J13" i="34"/>
  <c r="H13" i="34"/>
  <c r="U13" i="34" s="1"/>
  <c r="S23" i="34"/>
  <c r="U23" i="34"/>
  <c r="U21" i="34"/>
  <c r="AA19" i="34"/>
  <c r="U19" i="34"/>
  <c r="E7" i="34"/>
  <c r="G7" i="34"/>
  <c r="I7" i="34"/>
  <c r="J51" i="15"/>
  <c r="J1" i="73"/>
  <c r="C7" i="40"/>
  <c r="C63" i="40" s="1"/>
  <c r="C65" i="40" s="1"/>
  <c r="C7" i="21"/>
  <c r="C7" i="36"/>
  <c r="C46" i="36" s="1"/>
  <c r="D46" i="36" s="1"/>
  <c r="E46" i="36" s="1"/>
  <c r="F46" i="36" s="1"/>
  <c r="G46" i="36" s="1"/>
  <c r="H46" i="36" s="1"/>
  <c r="I46" i="36" s="1"/>
  <c r="J46" i="36" s="1"/>
  <c r="K46" i="36" s="1"/>
  <c r="L46" i="36" s="1"/>
  <c r="M46" i="36" s="1"/>
  <c r="N46" i="36" s="1"/>
  <c r="O46" i="36" s="1"/>
  <c r="C7" i="39"/>
  <c r="C67" i="39" s="1"/>
  <c r="C69" i="39" s="1"/>
  <c r="G23" i="43"/>
  <c r="C23" i="43" s="1"/>
  <c r="C7" i="33"/>
  <c r="C58" i="33" s="1"/>
  <c r="D58" i="33" s="1"/>
  <c r="E58" i="33" s="1"/>
  <c r="F58" i="33" s="1"/>
  <c r="G58" i="33" s="1"/>
  <c r="H58" i="33" s="1"/>
  <c r="I58" i="33" s="1"/>
  <c r="J58" i="33" s="1"/>
  <c r="K58" i="33" s="1"/>
  <c r="L58" i="33" s="1"/>
  <c r="M58" i="33" s="1"/>
  <c r="N58" i="33" s="1"/>
  <c r="O58" i="33" s="1"/>
  <c r="C42" i="1"/>
  <c r="C24" i="12" s="1"/>
  <c r="C18" i="9"/>
  <c r="D18" i="9" s="1"/>
  <c r="F78" i="34"/>
  <c r="G78" i="34" s="1"/>
  <c r="J15" i="34"/>
  <c r="W15" i="34" s="1"/>
  <c r="AC17" i="34"/>
  <c r="AB17" i="34"/>
  <c r="S37" i="34"/>
  <c r="AB8" i="34"/>
  <c r="W8" i="34"/>
  <c r="C23" i="40"/>
  <c r="B79" i="43"/>
  <c r="B68" i="43"/>
  <c r="F34" i="15"/>
  <c r="F62" i="15" s="1"/>
  <c r="F28" i="67"/>
  <c r="F28" i="15"/>
  <c r="M18" i="67"/>
  <c r="M18" i="15"/>
  <c r="F30" i="69"/>
  <c r="F48" i="69" s="1"/>
  <c r="F30" i="11"/>
  <c r="C48" i="11" s="1"/>
  <c r="D68" i="9"/>
  <c r="F32" i="67"/>
  <c r="F60" i="67" s="1"/>
  <c r="F54" i="9"/>
  <c r="F32" i="15"/>
  <c r="F60" i="15" s="1"/>
  <c r="F52" i="9"/>
  <c r="F30" i="68"/>
  <c r="F48" i="68" s="1"/>
  <c r="F31" i="12"/>
  <c r="C21" i="68"/>
  <c r="AZ585" i="3"/>
  <c r="W27" i="33"/>
  <c r="AC27" i="33"/>
  <c r="S19" i="40"/>
  <c r="AA19" i="40"/>
  <c r="W28" i="34"/>
  <c r="AC28" i="34"/>
  <c r="U34" i="39"/>
  <c r="AB34" i="39"/>
  <c r="AC9" i="34"/>
  <c r="W9" i="34"/>
  <c r="U23" i="21"/>
  <c r="AZ537" i="3"/>
  <c r="AZ552" i="3"/>
  <c r="AB40" i="39"/>
  <c r="U40" i="39"/>
  <c r="AB12" i="36"/>
  <c r="U12" i="36"/>
  <c r="J12" i="36"/>
  <c r="F12" i="36"/>
  <c r="AB28" i="33"/>
  <c r="W32" i="37"/>
  <c r="U41" i="39"/>
  <c r="AB13" i="40"/>
  <c r="AA38" i="21"/>
  <c r="AB31" i="37"/>
  <c r="AB13" i="35"/>
  <c r="W34" i="33"/>
  <c r="AC34" i="33"/>
  <c r="AZ344" i="3"/>
  <c r="AZ140" i="3"/>
  <c r="AB37" i="39"/>
  <c r="U37" i="39"/>
  <c r="AA37" i="37"/>
  <c r="S37" i="37"/>
  <c r="AZ580" i="3"/>
  <c r="AB12" i="40"/>
  <c r="U12" i="40"/>
  <c r="F14" i="39"/>
  <c r="AC28" i="37"/>
  <c r="W28" i="37"/>
  <c r="F27" i="33"/>
  <c r="W11" i="40"/>
  <c r="AC11" i="40"/>
  <c r="BA586" i="3"/>
  <c r="AZ586" i="3" s="1"/>
  <c r="H31" i="21"/>
  <c r="J46" i="21"/>
  <c r="F46" i="21"/>
  <c r="AC39" i="33"/>
  <c r="W39" i="33"/>
  <c r="AB40" i="33"/>
  <c r="H9" i="33"/>
  <c r="J9" i="33"/>
  <c r="W27" i="35"/>
  <c r="AC27" i="35"/>
  <c r="J31" i="40"/>
  <c r="F31" i="40"/>
  <c r="BL564" i="3"/>
  <c r="AZ564" i="3" s="1"/>
  <c r="BL562" i="3"/>
  <c r="BA561" i="3"/>
  <c r="AZ561" i="3" s="1"/>
  <c r="BL560" i="3"/>
  <c r="BA560" i="3"/>
  <c r="BA559" i="3"/>
  <c r="BL558" i="3"/>
  <c r="BN5" i="3"/>
  <c r="BA558" i="3"/>
  <c r="BE5" i="3"/>
  <c r="BM5" i="3"/>
  <c r="BA557" i="3"/>
  <c r="AZ557" i="3" s="1"/>
  <c r="BD5" i="3"/>
  <c r="BP5" i="3"/>
  <c r="BG5" i="3"/>
  <c r="AZ538" i="3"/>
  <c r="BL537" i="3"/>
  <c r="AZ534" i="3"/>
  <c r="AZ528" i="3"/>
  <c r="BF5" i="3"/>
  <c r="BL521" i="3"/>
  <c r="AZ521" i="3" s="1"/>
  <c r="BO5" i="3"/>
  <c r="AZ514" i="3"/>
  <c r="AZ513" i="3"/>
  <c r="AZ508" i="3"/>
  <c r="AZ503" i="3"/>
  <c r="BL499" i="3"/>
  <c r="AZ499" i="3" s="1"/>
  <c r="BL495" i="3"/>
  <c r="AB14" i="39"/>
  <c r="U14" i="39"/>
  <c r="AB13" i="37"/>
  <c r="U13" i="37"/>
  <c r="S14" i="34"/>
  <c r="AA14" i="34"/>
  <c r="BL587" i="3"/>
  <c r="AZ587" i="3" s="1"/>
  <c r="AC45" i="21"/>
  <c r="H45" i="21"/>
  <c r="AA26" i="21"/>
  <c r="U39" i="33"/>
  <c r="AB12" i="34"/>
  <c r="AC23" i="34"/>
  <c r="AA46" i="34"/>
  <c r="S8" i="34"/>
  <c r="W29" i="34"/>
  <c r="U38" i="37"/>
  <c r="AB28" i="36"/>
  <c r="S42" i="33"/>
  <c r="AZ387" i="3"/>
  <c r="AZ370" i="3"/>
  <c r="AZ115" i="3"/>
  <c r="AZ510" i="3"/>
  <c r="AZ570" i="3"/>
  <c r="S13" i="33"/>
  <c r="AA13" i="33"/>
  <c r="F45" i="21"/>
  <c r="AB11" i="33"/>
  <c r="U11" i="33"/>
  <c r="AA17" i="39"/>
  <c r="S17" i="39"/>
  <c r="AA11" i="40"/>
  <c r="S11" i="40"/>
  <c r="AA35" i="39"/>
  <c r="S35" i="39"/>
  <c r="AB35" i="33"/>
  <c r="U35" i="33"/>
  <c r="J14" i="33"/>
  <c r="H14" i="33"/>
  <c r="F44" i="33"/>
  <c r="H44" i="33"/>
  <c r="H31" i="34"/>
  <c r="AB31" i="34" s="1"/>
  <c r="F31" i="34"/>
  <c r="S47" i="34"/>
  <c r="AA47" i="34"/>
  <c r="AC22" i="35"/>
  <c r="W22" i="35"/>
  <c r="F32" i="36"/>
  <c r="H32" i="36"/>
  <c r="J32" i="36"/>
  <c r="W32" i="36" s="1"/>
  <c r="AB29" i="36"/>
  <c r="U29" i="36"/>
  <c r="W38" i="34"/>
  <c r="AC38" i="34"/>
  <c r="AB30" i="36"/>
  <c r="U30" i="36"/>
  <c r="BL580" i="3"/>
  <c r="BL579" i="3"/>
  <c r="AZ579" i="3" s="1"/>
  <c r="BL578" i="3"/>
  <c r="BA577" i="3"/>
  <c r="BL576" i="3"/>
  <c r="BA576" i="3"/>
  <c r="AZ576" i="3" s="1"/>
  <c r="BA575" i="3"/>
  <c r="AZ575" i="3" s="1"/>
  <c r="BA574" i="3"/>
  <c r="AZ574" i="3" s="1"/>
  <c r="BA569" i="3"/>
  <c r="AZ569" i="3" s="1"/>
  <c r="BA568" i="3"/>
  <c r="AZ568" i="3" s="1"/>
  <c r="BL567" i="3"/>
  <c r="BA567" i="3"/>
  <c r="BL566" i="3"/>
  <c r="BA566" i="3"/>
  <c r="AZ566" i="3" s="1"/>
  <c r="U41" i="34"/>
  <c r="AB41" i="34"/>
  <c r="S25" i="21"/>
  <c r="AA25" i="21"/>
  <c r="W13" i="39"/>
  <c r="AC13" i="39"/>
  <c r="U16" i="35"/>
  <c r="AB16" i="35"/>
  <c r="J26" i="33"/>
  <c r="H26" i="33"/>
  <c r="BA554" i="3"/>
  <c r="AZ554" i="3" s="1"/>
  <c r="AA17" i="33"/>
  <c r="AC23" i="37"/>
  <c r="AC9" i="21"/>
  <c r="AB27" i="33"/>
  <c r="AA23" i="37"/>
  <c r="S13" i="21"/>
  <c r="S17" i="21"/>
  <c r="W19" i="34"/>
  <c r="W34" i="39"/>
  <c r="AC14" i="40"/>
  <c r="AA43" i="21"/>
  <c r="W43" i="33"/>
  <c r="S23" i="35"/>
  <c r="AB20" i="36"/>
  <c r="AZ307" i="3"/>
  <c r="AZ360" i="3"/>
  <c r="AA15" i="39"/>
  <c r="S15" i="39"/>
  <c r="H5" i="3"/>
  <c r="H27" i="34"/>
  <c r="BL553" i="3"/>
  <c r="AZ553" i="3" s="1"/>
  <c r="AZ571" i="3"/>
  <c r="AZ546" i="3"/>
  <c r="AA14" i="40"/>
  <c r="S14" i="40"/>
  <c r="AC35" i="40"/>
  <c r="W35" i="40"/>
  <c r="U14" i="36"/>
  <c r="AB14" i="36"/>
  <c r="AA17" i="34"/>
  <c r="S17" i="34"/>
  <c r="W30" i="35"/>
  <c r="AC30" i="35"/>
  <c r="F26" i="33"/>
  <c r="W35" i="21"/>
  <c r="AC35" i="21"/>
  <c r="F9" i="33"/>
  <c r="AA9" i="33" s="1"/>
  <c r="AA45" i="33"/>
  <c r="S45" i="33"/>
  <c r="U34" i="35"/>
  <c r="AB34" i="35"/>
  <c r="H23" i="36"/>
  <c r="J23" i="36"/>
  <c r="U27" i="37"/>
  <c r="AB27" i="37"/>
  <c r="AA38" i="40"/>
  <c r="S38" i="40"/>
  <c r="BA584" i="3"/>
  <c r="AZ584" i="3" s="1"/>
  <c r="BA583" i="3"/>
  <c r="BL582" i="3"/>
  <c r="BA582" i="3"/>
  <c r="AZ582" i="3" s="1"/>
  <c r="J24" i="36"/>
  <c r="H24" i="36"/>
  <c r="AA40" i="39"/>
  <c r="S40" i="39"/>
  <c r="U39" i="40"/>
  <c r="AB39" i="40"/>
  <c r="AB38" i="40"/>
  <c r="U38" i="40"/>
  <c r="W31" i="35"/>
  <c r="AC31" i="35"/>
  <c r="BL550" i="3"/>
  <c r="AZ443" i="3"/>
  <c r="AZ391" i="3"/>
  <c r="AZ364" i="3"/>
  <c r="AZ329" i="3"/>
  <c r="AZ304" i="3"/>
  <c r="AZ306" i="3"/>
  <c r="F32" i="40"/>
  <c r="BL535" i="3"/>
  <c r="AZ535" i="3" s="1"/>
  <c r="BL577" i="3"/>
  <c r="AZ577" i="3" s="1"/>
  <c r="BL540" i="3"/>
  <c r="AZ540" i="3" s="1"/>
  <c r="H13" i="36"/>
  <c r="H45" i="33"/>
  <c r="J29" i="33"/>
  <c r="S28" i="34"/>
  <c r="AB12" i="35"/>
  <c r="W31" i="37"/>
  <c r="U9" i="39"/>
  <c r="G587" i="3"/>
  <c r="J12" i="35"/>
  <c r="G552" i="3"/>
  <c r="AC5" i="3"/>
  <c r="AZ357" i="3"/>
  <c r="AZ322" i="3"/>
  <c r="AZ313" i="3"/>
  <c r="AZ394" i="3"/>
  <c r="W23" i="35"/>
  <c r="BL519" i="3"/>
  <c r="AZ519" i="3" s="1"/>
  <c r="BL531" i="3"/>
  <c r="AZ531" i="3" s="1"/>
  <c r="BL559" i="3"/>
  <c r="BL573" i="3"/>
  <c r="AZ573" i="3" s="1"/>
  <c r="BL583" i="3"/>
  <c r="W30" i="36"/>
  <c r="U9" i="40"/>
  <c r="G586" i="3"/>
  <c r="B97" i="43"/>
  <c r="B75" i="43"/>
  <c r="AC28" i="36"/>
  <c r="W28" i="36"/>
  <c r="H34" i="36"/>
  <c r="J34" i="36"/>
  <c r="W34" i="36" s="1"/>
  <c r="J39" i="37"/>
  <c r="H39" i="37"/>
  <c r="F44" i="39"/>
  <c r="H45" i="39"/>
  <c r="J45" i="39"/>
  <c r="W45" i="39" s="1"/>
  <c r="J38" i="40"/>
  <c r="G582" i="3"/>
  <c r="G574" i="3"/>
  <c r="BA551" i="3"/>
  <c r="AZ551" i="3" s="1"/>
  <c r="BA550" i="3"/>
  <c r="AZ550" i="3" s="1"/>
  <c r="BL548" i="3"/>
  <c r="AZ548" i="3" s="1"/>
  <c r="AZ425" i="3"/>
  <c r="AZ435" i="3"/>
  <c r="AZ451" i="3"/>
  <c r="AZ301" i="3"/>
  <c r="BL16" i="3"/>
  <c r="AZ16" i="3" s="1"/>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8" i="3"/>
  <c r="BL459" i="3"/>
  <c r="G462" i="3"/>
  <c r="AZ466" i="3"/>
  <c r="BA467" i="3"/>
  <c r="BA46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AZ445" i="3" s="1"/>
  <c r="BA447" i="3"/>
  <c r="AZ447" i="3" s="1"/>
  <c r="BA449" i="3"/>
  <c r="BL453" i="3"/>
  <c r="BL454" i="3"/>
  <c r="AZ454" i="3" s="1"/>
  <c r="BL457" i="3"/>
  <c r="AZ480" i="3"/>
  <c r="BL585" i="3"/>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BA429" i="3"/>
  <c r="AZ429" i="3" s="1"/>
  <c r="BA430" i="3"/>
  <c r="AZ430" i="3" s="1"/>
  <c r="BA432" i="3"/>
  <c r="AZ432" i="3" s="1"/>
  <c r="BA434" i="3"/>
  <c r="BA436" i="3"/>
  <c r="AZ436" i="3" s="1"/>
  <c r="BA438" i="3"/>
  <c r="G442" i="3"/>
  <c r="G443" i="3"/>
  <c r="BA446" i="3"/>
  <c r="AZ446" i="3" s="1"/>
  <c r="BA450" i="3"/>
  <c r="BA453" i="3"/>
  <c r="BA455" i="3"/>
  <c r="AZ455" i="3" s="1"/>
  <c r="BA463" i="3"/>
  <c r="AZ463" i="3" s="1"/>
  <c r="BA465" i="3"/>
  <c r="AZ465" i="3" s="1"/>
  <c r="BA469" i="3"/>
  <c r="AZ469" i="3" s="1"/>
  <c r="BL472" i="3"/>
  <c r="G478" i="3"/>
  <c r="AZ284"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BA259" i="3"/>
  <c r="AZ259" i="3" s="1"/>
  <c r="BL261" i="3"/>
  <c r="BA263" i="3"/>
  <c r="AZ263" i="3" s="1"/>
  <c r="BA267" i="3"/>
  <c r="AZ267" i="3" s="1"/>
  <c r="BA269" i="3"/>
  <c r="AZ269" i="3" s="1"/>
  <c r="BA271" i="3"/>
  <c r="AZ271" i="3" s="1"/>
  <c r="BL271" i="3"/>
  <c r="BA274" i="3"/>
  <c r="BL274" i="3"/>
  <c r="BA276" i="3"/>
  <c r="AZ276" i="3" s="1"/>
  <c r="BA279" i="3"/>
  <c r="BA281" i="3"/>
  <c r="BL286" i="3"/>
  <c r="AZ286" i="3" s="1"/>
  <c r="G291" i="3"/>
  <c r="BA296" i="3"/>
  <c r="BA116" i="3"/>
  <c r="AZ116" i="3" s="1"/>
  <c r="BA121" i="3"/>
  <c r="BL121" i="3"/>
  <c r="BL123" i="3"/>
  <c r="AZ123" i="3" s="1"/>
  <c r="G127" i="3"/>
  <c r="BA129" i="3"/>
  <c r="BL133" i="3"/>
  <c r="AZ133" i="3" s="1"/>
  <c r="BL134" i="3"/>
  <c r="BA457" i="3"/>
  <c r="BA459" i="3"/>
  <c r="AZ459" i="3" s="1"/>
  <c r="BA460" i="3"/>
  <c r="AZ460" i="3" s="1"/>
  <c r="BA461" i="3"/>
  <c r="AZ461" i="3" s="1"/>
  <c r="BL464" i="3"/>
  <c r="AZ464" i="3" s="1"/>
  <c r="BL466" i="3"/>
  <c r="G468" i="3"/>
  <c r="G469" i="3"/>
  <c r="BL476" i="3"/>
  <c r="AZ476" i="3" s="1"/>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A128" i="3"/>
  <c r="AZ128" i="3" s="1"/>
  <c r="G136"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BA118" i="3"/>
  <c r="BL122" i="3"/>
  <c r="BA126" i="3"/>
  <c r="BA134" i="3"/>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AZ29" i="3" s="1"/>
  <c r="G33" i="3"/>
  <c r="G34" i="3"/>
  <c r="BA37" i="3"/>
  <c r="G39" i="3"/>
  <c r="BL39" i="3"/>
  <c r="AZ39" i="3" s="1"/>
  <c r="G43" i="3"/>
  <c r="G44" i="3"/>
  <c r="BA45" i="3"/>
  <c r="BA46" i="3"/>
  <c r="AZ46" i="3" s="1"/>
  <c r="BL49" i="3"/>
  <c r="BL50" i="3"/>
  <c r="AZ50" i="3" s="1"/>
  <c r="BL51" i="3"/>
  <c r="G53" i="3"/>
  <c r="BL53" i="3"/>
  <c r="AZ53" i="3" s="1"/>
  <c r="BA56" i="3"/>
  <c r="BA57" i="3"/>
  <c r="AZ57" i="3" s="1"/>
  <c r="BL58" i="3"/>
  <c r="G60" i="3"/>
  <c r="BA60" i="3"/>
  <c r="BA63" i="3"/>
  <c r="AZ63" i="3" s="1"/>
  <c r="BA66" i="3"/>
  <c r="AZ66" i="3" s="1"/>
  <c r="BL91" i="3"/>
  <c r="BA100" i="3"/>
  <c r="AZ100" i="3" s="1"/>
  <c r="V24" i="71"/>
  <c r="E23" i="71"/>
  <c r="E22" i="71" s="1"/>
  <c r="E21" i="71" s="1"/>
  <c r="E20" i="71" s="1"/>
  <c r="V20" i="71" s="1"/>
  <c r="BL167" i="3"/>
  <c r="AZ167" i="3" s="1"/>
  <c r="BL178" i="3"/>
  <c r="BA180" i="3"/>
  <c r="AZ180" i="3" s="1"/>
  <c r="BA185" i="3"/>
  <c r="AZ185" i="3" s="1"/>
  <c r="BL191" i="3"/>
  <c r="AZ191" i="3" s="1"/>
  <c r="BA193" i="3"/>
  <c r="BA196" i="3"/>
  <c r="AZ196" i="3" s="1"/>
  <c r="G203" i="3"/>
  <c r="BA205" i="3"/>
  <c r="AZ205" i="3" s="1"/>
  <c r="BL20" i="3"/>
  <c r="BA21" i="3"/>
  <c r="AZ25" i="3"/>
  <c r="AZ52" i="3"/>
  <c r="C44" i="71"/>
  <c r="D43" i="7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C47" i="71"/>
  <c r="D47" i="71" s="1"/>
  <c r="D46" i="71"/>
  <c r="BA137" i="3"/>
  <c r="AZ137" i="3" s="1"/>
  <c r="BL138" i="3"/>
  <c r="BA140" i="3"/>
  <c r="BA142" i="3"/>
  <c r="BL149" i="3"/>
  <c r="AZ149" i="3" s="1"/>
  <c r="BL150" i="3"/>
  <c r="AZ150" i="3" s="1"/>
  <c r="G151" i="3"/>
  <c r="BA152" i="3"/>
  <c r="AZ152" i="3" s="1"/>
  <c r="BA154" i="3"/>
  <c r="AZ154" i="3" s="1"/>
  <c r="BL162" i="3"/>
  <c r="AZ162" i="3" s="1"/>
  <c r="BA173" i="3"/>
  <c r="AZ173" i="3" s="1"/>
  <c r="BA174" i="3"/>
  <c r="BA182" i="3"/>
  <c r="AZ182" i="3" s="1"/>
  <c r="BA19" i="3"/>
  <c r="AZ19" i="3" s="1"/>
  <c r="BA27" i="3"/>
  <c r="BL30" i="3"/>
  <c r="BL31" i="3"/>
  <c r="G37" i="3"/>
  <c r="BL40" i="3"/>
  <c r="BL41" i="3"/>
  <c r="BL45" i="3"/>
  <c r="BA48" i="3"/>
  <c r="BA49" i="3"/>
  <c r="BA51" i="3"/>
  <c r="AZ51" i="3" s="1"/>
  <c r="G55" i="3"/>
  <c r="BL56" i="3"/>
  <c r="BA58" i="3"/>
  <c r="BL59" i="3"/>
  <c r="BL60" i="3"/>
  <c r="BA61" i="3"/>
  <c r="AZ61" i="3" s="1"/>
  <c r="BA68" i="3"/>
  <c r="BA73" i="3"/>
  <c r="BA80" i="3"/>
  <c r="BL84" i="3"/>
  <c r="BA90" i="3"/>
  <c r="BL94" i="3"/>
  <c r="AZ94" i="3" s="1"/>
  <c r="BA105" i="3"/>
  <c r="AZ105" i="3" s="1"/>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U31" i="34"/>
  <c r="S12" i="21"/>
  <c r="AA12" i="21"/>
  <c r="S12" i="35"/>
  <c r="AA12" i="35"/>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M6" i="1"/>
  <c r="O6" i="1"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51" i="15"/>
  <c r="F66" i="67"/>
  <c r="M59" i="15"/>
  <c r="F66" i="15"/>
  <c r="Q71" i="67"/>
  <c r="F64" i="15"/>
  <c r="C27" i="67"/>
  <c r="F71" i="67"/>
  <c r="C27" i="15"/>
  <c r="F65" i="15"/>
  <c r="N59" i="67"/>
  <c r="L59" i="67"/>
  <c r="L58" i="67"/>
  <c r="M59" i="67"/>
  <c r="B13" i="70"/>
  <c r="M7" i="67"/>
  <c r="J6" i="67" s="1"/>
  <c r="F50" i="67"/>
  <c r="F68" i="67"/>
  <c r="F64" i="67"/>
  <c r="F68" i="15"/>
  <c r="D9" i="69"/>
  <c r="D9" i="68"/>
  <c r="D3" i="73"/>
  <c r="D5" i="73"/>
  <c r="C16" i="15"/>
  <c r="D6" i="73"/>
  <c r="F43" i="15"/>
  <c r="F7" i="15"/>
  <c r="D7" i="73"/>
  <c r="L48" i="15"/>
  <c r="M29" i="15"/>
  <c r="C16" i="67"/>
  <c r="D4" i="73"/>
  <c r="U15" i="34" l="1"/>
  <c r="L58" i="15"/>
  <c r="Q60" i="15" s="1"/>
  <c r="P26" i="43"/>
  <c r="D63" i="40"/>
  <c r="D67" i="39"/>
  <c r="D69" i="39" s="1"/>
  <c r="A1" i="79"/>
  <c r="J53" i="15"/>
  <c r="L56" i="15" s="1"/>
  <c r="E15" i="6"/>
  <c r="E64" i="39" s="1"/>
  <c r="AZ14" i="3"/>
  <c r="E13" i="6"/>
  <c r="E14" i="6"/>
  <c r="E11" i="6"/>
  <c r="E60" i="39" s="1"/>
  <c r="E8" i="6"/>
  <c r="F27" i="6" s="1"/>
  <c r="M7" i="15"/>
  <c r="J6" i="15" s="1"/>
  <c r="J18" i="15" s="1"/>
  <c r="C6" i="15"/>
  <c r="C32" i="15" s="1"/>
  <c r="F50" i="15"/>
  <c r="C49" i="15" s="1"/>
  <c r="F71" i="15"/>
  <c r="AP6" i="1"/>
  <c r="C36" i="69" s="1"/>
  <c r="W13" i="34"/>
  <c r="AC13" i="34"/>
  <c r="I54" i="15"/>
  <c r="C48" i="68"/>
  <c r="C28" i="15"/>
  <c r="C36" i="68"/>
  <c r="N59" i="15"/>
  <c r="J57" i="15"/>
  <c r="J55" i="15" s="1"/>
  <c r="J58" i="15" s="1"/>
  <c r="Q50" i="15" s="1"/>
  <c r="C48" i="69"/>
  <c r="C31" i="12"/>
  <c r="C30" i="69"/>
  <c r="L59" i="15"/>
  <c r="Q74" i="15" s="1"/>
  <c r="AC15" i="34"/>
  <c r="C30" i="68"/>
  <c r="E63" i="39"/>
  <c r="E59" i="40"/>
  <c r="E10" i="6"/>
  <c r="E12" i="6"/>
  <c r="E57" i="40" s="1"/>
  <c r="J7" i="36"/>
  <c r="W7" i="36" s="1"/>
  <c r="AZ126" i="3"/>
  <c r="AC39" i="37"/>
  <c r="W39" i="37"/>
  <c r="U45" i="33"/>
  <c r="AB45" i="33"/>
  <c r="AC24" i="36"/>
  <c r="W24" i="36"/>
  <c r="AB27" i="34"/>
  <c r="U27" i="34"/>
  <c r="U26" i="33"/>
  <c r="AB26" i="33"/>
  <c r="AC14" i="33"/>
  <c r="W14" i="33"/>
  <c r="F29" i="6"/>
  <c r="AC31" i="40"/>
  <c r="W31" i="40"/>
  <c r="AB9" i="33"/>
  <c r="U9" i="33"/>
  <c r="S46" i="21"/>
  <c r="AA46" i="21"/>
  <c r="D83" i="71"/>
  <c r="C82" i="71"/>
  <c r="D82" i="71" s="1"/>
  <c r="O65" i="71"/>
  <c r="D66" i="71"/>
  <c r="O66" i="71"/>
  <c r="C36" i="71"/>
  <c r="D35" i="71"/>
  <c r="P6" i="1"/>
  <c r="C13" i="12" s="1"/>
  <c r="C40" i="71"/>
  <c r="D39" i="71"/>
  <c r="D60" i="71"/>
  <c r="T60" i="71"/>
  <c r="T52" i="71"/>
  <c r="D52" i="71"/>
  <c r="D44" i="71"/>
  <c r="T44" i="71"/>
  <c r="AZ21" i="3"/>
  <c r="AZ45" i="3"/>
  <c r="AZ249" i="3"/>
  <c r="AZ121" i="3"/>
  <c r="AZ223" i="3"/>
  <c r="AZ428" i="3"/>
  <c r="U45" i="39"/>
  <c r="AB45" i="39"/>
  <c r="W12" i="35"/>
  <c r="AC12" i="35"/>
  <c r="U13" i="36"/>
  <c r="AB13" i="36"/>
  <c r="AA32" i="40"/>
  <c r="S32" i="40"/>
  <c r="AC23" i="36"/>
  <c r="W23" i="36"/>
  <c r="W26" i="33"/>
  <c r="AC26" i="33"/>
  <c r="AB32" i="36"/>
  <c r="U32" i="36"/>
  <c r="U44" i="33"/>
  <c r="AB44" i="33"/>
  <c r="U45" i="21"/>
  <c r="AB45" i="21"/>
  <c r="AZ559" i="3"/>
  <c r="S14" i="39"/>
  <c r="AA14" i="39"/>
  <c r="S12" i="36"/>
  <c r="AA12" i="36"/>
  <c r="B20" i="31"/>
  <c r="B21" i="31" s="1"/>
  <c r="AZ141" i="3"/>
  <c r="C70" i="71"/>
  <c r="D70" i="71" s="1"/>
  <c r="D71" i="71"/>
  <c r="N65" i="71"/>
  <c r="N66" i="71"/>
  <c r="T32" i="71"/>
  <c r="D32" i="71"/>
  <c r="AZ58" i="3"/>
  <c r="AZ49" i="3"/>
  <c r="AZ41" i="3"/>
  <c r="AZ31" i="3"/>
  <c r="AZ197" i="3"/>
  <c r="AZ118" i="3"/>
  <c r="AZ332" i="3"/>
  <c r="AZ483" i="3"/>
  <c r="AZ457" i="3"/>
  <c r="AZ274" i="3"/>
  <c r="AZ243" i="3"/>
  <c r="AZ368" i="3"/>
  <c r="AZ353" i="3"/>
  <c r="AZ453" i="3"/>
  <c r="AA44" i="39"/>
  <c r="S44" i="39"/>
  <c r="U34" i="36"/>
  <c r="AB34" i="36"/>
  <c r="AZ583" i="3"/>
  <c r="AB23" i="36"/>
  <c r="U23" i="36"/>
  <c r="AA26" i="33"/>
  <c r="S26" i="33"/>
  <c r="AA32" i="36"/>
  <c r="S32" i="36"/>
  <c r="S44" i="33"/>
  <c r="AA44" i="33"/>
  <c r="AZ558" i="3"/>
  <c r="AZ560" i="3"/>
  <c r="AB31" i="21"/>
  <c r="U31" i="21"/>
  <c r="AA27" i="33"/>
  <c r="S27" i="33"/>
  <c r="W12" i="36"/>
  <c r="AC12" i="36"/>
  <c r="D17" i="53"/>
  <c r="B36" i="72" s="1"/>
  <c r="AZ80" i="3"/>
  <c r="AZ261" i="3"/>
  <c r="AZ474" i="3"/>
  <c r="AC45" i="39"/>
  <c r="T28" i="71"/>
  <c r="D28" i="71"/>
  <c r="U28" i="71" s="1"/>
  <c r="C27" i="71"/>
  <c r="D79" i="71"/>
  <c r="C78" i="71"/>
  <c r="D78" i="71" s="1"/>
  <c r="C56" i="71"/>
  <c r="D55" i="71"/>
  <c r="AZ238" i="3"/>
  <c r="AZ422" i="3"/>
  <c r="W38" i="40"/>
  <c r="AC38" i="40"/>
  <c r="AB39" i="37"/>
  <c r="U39" i="37"/>
  <c r="AB24" i="36"/>
  <c r="U24" i="36"/>
  <c r="S31" i="34"/>
  <c r="AA31" i="34"/>
  <c r="U14" i="33"/>
  <c r="AB14" i="33"/>
  <c r="AA45" i="21"/>
  <c r="S45" i="21"/>
  <c r="G29" i="6"/>
  <c r="G30" i="6" s="1"/>
  <c r="G31" i="6" s="1"/>
  <c r="S31" i="40"/>
  <c r="AA31" i="40"/>
  <c r="AC9" i="33"/>
  <c r="W9" i="33"/>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8" i="40"/>
  <c r="E62" i="39"/>
  <c r="M14" i="1"/>
  <c r="D5" i="43"/>
  <c r="C7" i="43"/>
  <c r="C5" i="43" s="1"/>
  <c r="D10" i="52"/>
  <c r="D125" i="9"/>
  <c r="D11" i="52" s="1"/>
  <c r="B7" i="74"/>
  <c r="C7" i="74" s="1"/>
  <c r="F59" i="67"/>
  <c r="H7" i="37"/>
  <c r="AB7" i="37" s="1"/>
  <c r="T42" i="37" s="1"/>
  <c r="G42" i="37" s="1"/>
  <c r="H7" i="33"/>
  <c r="J7" i="33"/>
  <c r="D65" i="40"/>
  <c r="E63" i="40"/>
  <c r="F48" i="35"/>
  <c r="S7" i="36"/>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73" i="15"/>
  <c r="Q61" i="67"/>
  <c r="Q74" i="67"/>
  <c r="AE11" i="1"/>
  <c r="AE9" i="1"/>
  <c r="F27" i="68"/>
  <c r="AE7" i="1"/>
  <c r="AE8" i="1"/>
  <c r="AE12" i="1"/>
  <c r="AE10" i="1"/>
  <c r="G1" i="73"/>
  <c r="F1" i="15" l="1"/>
  <c r="Q52" i="15"/>
  <c r="AB7" i="36"/>
  <c r="T36" i="36" s="1"/>
  <c r="G36" i="36" s="1"/>
  <c r="AC7" i="36"/>
  <c r="V36" i="36" s="1"/>
  <c r="I36" i="36" s="1"/>
  <c r="E16" i="6"/>
  <c r="E51" i="40"/>
  <c r="E27" i="6"/>
  <c r="K26" i="6" s="1"/>
  <c r="M26" i="6" s="1"/>
  <c r="I26" i="6" s="1"/>
  <c r="S26" i="6" s="1"/>
  <c r="J5" i="15"/>
  <c r="J24" i="15" s="1"/>
  <c r="Q61" i="15"/>
  <c r="W7" i="37"/>
  <c r="F67" i="39"/>
  <c r="S10" i="39"/>
  <c r="H10" i="40"/>
  <c r="AB10" i="40" s="1"/>
  <c r="F10" i="40"/>
  <c r="S10" i="40" s="1"/>
  <c r="J10" i="39"/>
  <c r="W10" i="39" s="1"/>
  <c r="H10" i="39"/>
  <c r="U10" i="39" s="1"/>
  <c r="J10" i="40"/>
  <c r="AC10" i="40" s="1"/>
  <c r="AC6" i="3"/>
  <c r="E3" i="6"/>
  <c r="C34" i="34" s="1"/>
  <c r="H6" i="3"/>
  <c r="R36" i="36"/>
  <c r="R37" i="36" s="1"/>
  <c r="D56" i="71"/>
  <c r="T56" i="71"/>
  <c r="T36" i="71"/>
  <c r="D36" i="71"/>
  <c r="E29" i="6"/>
  <c r="F30" i="6"/>
  <c r="F31" i="6" s="1"/>
  <c r="C26" i="71"/>
  <c r="D26" i="71" s="1"/>
  <c r="D27"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C39" i="43"/>
  <c r="C42" i="43"/>
  <c r="E42" i="43" s="1"/>
  <c r="C38" i="43"/>
  <c r="AA10" i="40"/>
  <c r="U10" i="40"/>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AE6" i="1"/>
  <c r="F41" i="67"/>
  <c r="M27" i="15"/>
  <c r="M27" i="67"/>
  <c r="F41" i="15"/>
  <c r="F69" i="67" l="1"/>
  <c r="K22" i="6"/>
  <c r="AB10" i="39"/>
  <c r="K23" i="6"/>
  <c r="L18" i="9"/>
  <c r="D14" i="12"/>
  <c r="D17" i="12" s="1"/>
  <c r="C17" i="12" s="1"/>
  <c r="D3" i="37"/>
  <c r="D19" i="11"/>
  <c r="C19" i="11" s="1"/>
  <c r="C20" i="11" s="1"/>
  <c r="C28" i="11" s="1"/>
  <c r="C27" i="11" s="1"/>
  <c r="D37" i="11"/>
  <c r="AC10" i="39"/>
  <c r="D3" i="33"/>
  <c r="E6" i="6"/>
  <c r="D10" i="69" s="1"/>
  <c r="H34" i="34"/>
  <c r="F34" i="34"/>
  <c r="J34" i="34"/>
  <c r="W10" i="40"/>
  <c r="E6" i="3"/>
  <c r="F25" i="12"/>
  <c r="C26" i="12" s="1"/>
  <c r="D25" i="12" s="1"/>
  <c r="K15" i="1"/>
  <c r="K16" i="1" s="1"/>
  <c r="E30" i="6"/>
  <c r="E31" i="6" s="1"/>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D10" i="68"/>
  <c r="C14" i="67"/>
  <c r="C17" i="15"/>
  <c r="C17" i="67"/>
  <c r="H22" i="6" l="1"/>
  <c r="H25" i="6"/>
  <c r="AC34" i="34"/>
  <c r="V49" i="34" s="1"/>
  <c r="I49" i="34" s="1"/>
  <c r="I53" i="34" s="1"/>
  <c r="J53" i="34" s="1"/>
  <c r="W34" i="34"/>
  <c r="AA34" i="34"/>
  <c r="R49" i="34" s="1"/>
  <c r="S34" i="34"/>
  <c r="AB34" i="34"/>
  <c r="T49" i="34" s="1"/>
  <c r="G49" i="34" s="1"/>
  <c r="U34" i="34"/>
  <c r="C44" i="68"/>
  <c r="D41" i="68" s="1"/>
  <c r="C26" i="68"/>
  <c r="D22" i="68" s="1"/>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53" i="34" l="1"/>
  <c r="H53" i="34" s="1"/>
  <c r="G54" i="34"/>
  <c r="H54" i="34" s="1"/>
  <c r="E49" i="34"/>
  <c r="R50" i="34"/>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49" i="34" l="1"/>
  <c r="C50" i="34"/>
  <c r="E53" i="34"/>
  <c r="F53" i="34" s="1"/>
  <c r="I54" i="34"/>
  <c r="J54" i="34" s="1"/>
  <c r="E54" i="34"/>
  <c r="F54" i="34" s="1"/>
  <c r="F26" i="43"/>
  <c r="H26" i="43"/>
  <c r="J26" i="43"/>
  <c r="E26" i="43"/>
  <c r="N370" i="46"/>
  <c r="G26" i="43"/>
  <c r="B116" i="43"/>
  <c r="N94" i="46"/>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118" i="43" l="1"/>
  <c r="D116" i="43"/>
  <c r="C33" i="43"/>
  <c r="C32" i="12"/>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E33" i="43" l="1"/>
  <c r="C30" i="43" s="1"/>
  <c r="C34" i="43"/>
  <c r="E34" i="43" s="1"/>
  <c r="C31" i="43"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B2" i="76" l="1"/>
  <c r="B3" i="76" s="1"/>
  <c r="B3" i="43"/>
  <c r="C6" i="68"/>
  <c r="C7" i="68" s="1"/>
  <c r="C5"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23" i="68" l="1"/>
  <c r="C20"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11" i="1"/>
  <c r="AO9" i="1"/>
  <c r="AO8" i="1"/>
  <c r="C28" i="68" l="1"/>
  <c r="C27" i="68" s="1"/>
  <c r="C25" i="68"/>
  <c r="C2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C57" i="68" s="1"/>
  <c r="C56"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B3" i="68" s="1"/>
  <c r="D103" i="9"/>
  <c r="D6" i="71"/>
  <c r="C5" i="71"/>
  <c r="D5" i="71" s="1"/>
  <c r="M24" i="43" s="1"/>
  <c r="C42" i="40"/>
  <c r="C43" i="40"/>
  <c r="E47" i="40"/>
  <c r="F47" i="40" s="1"/>
  <c r="E46" i="40"/>
  <c r="F46" i="40" s="1"/>
  <c r="I47" i="40"/>
  <c r="J47" i="40" s="1"/>
  <c r="C19" i="9"/>
  <c r="C20" i="9"/>
  <c r="G19" i="9" l="1"/>
  <c r="G21" i="9" s="1"/>
  <c r="D22" i="9"/>
  <c r="C21" i="9"/>
  <c r="C102"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2" i="9" l="1"/>
  <c r="Q48" i="9"/>
  <c r="P54" i="9"/>
  <c r="P53" i="9"/>
  <c r="P48" i="9"/>
  <c r="P52" i="9" s="1"/>
  <c r="C32" i="9"/>
  <c r="C35" i="9" s="1"/>
  <c r="C34" i="9" s="1"/>
  <c r="P55" i="9" l="1"/>
  <c r="D14" i="74"/>
  <c r="E14" i="74" s="1"/>
  <c r="P57" i="9"/>
  <c r="P59" i="9" s="1"/>
  <c r="P60" i="9" s="1"/>
  <c r="D48" i="9"/>
  <c r="M52" i="9"/>
  <c r="G14" i="74" l="1"/>
  <c r="B6" i="74" s="1"/>
  <c r="B5" i="74"/>
  <c r="F14" i="74"/>
  <c r="D5" i="74" l="1"/>
  <c r="D6" i="74"/>
  <c r="B21" i="72"/>
  <c r="D7" i="53"/>
  <c r="M67" i="9"/>
  <c r="L67" i="9"/>
  <c r="H5" i="52"/>
  <c r="H119" i="9"/>
  <c r="B52" i="72"/>
  <c r="G4" i="52"/>
  <c r="M55" i="9"/>
  <c r="D59" i="9"/>
  <c r="B49" i="72"/>
  <c r="D5" i="52"/>
  <c r="D119" i="9"/>
  <c r="N69" i="9"/>
  <c r="M69" i="9"/>
  <c r="M63" i="9"/>
  <c r="L63" i="9"/>
  <c r="B51" i="72"/>
  <c r="F4" i="52"/>
  <c r="B31" i="72"/>
  <c r="D15" i="53"/>
  <c r="M66" i="9"/>
  <c r="L66" i="9"/>
  <c r="C96" i="9"/>
  <c r="E96" i="9"/>
  <c r="E97" i="9"/>
  <c r="M64" i="9"/>
  <c r="L64" i="9"/>
  <c r="C73" i="9"/>
  <c r="C78" i="9"/>
  <c r="M68" i="9"/>
  <c r="L68" i="9"/>
  <c r="C85" i="9"/>
  <c r="C95" i="9"/>
  <c r="C97" i="9"/>
  <c r="D58" i="9"/>
  <c r="D56" i="9"/>
  <c r="M54" i="9"/>
  <c r="C81" i="9"/>
  <c r="N61" i="9"/>
  <c r="N59" i="9"/>
  <c r="N60" i="9"/>
  <c r="B30" i="72"/>
  <c r="B20" i="72"/>
  <c r="D8" i="52"/>
  <c r="D54" i="9"/>
  <c r="C64" i="9"/>
  <c r="C63" i="9"/>
  <c r="C67" i="9"/>
  <c r="C68" i="9"/>
  <c r="C72" i="9"/>
  <c r="C79" i="9"/>
  <c r="C80" i="9"/>
  <c r="E80" i="9"/>
  <c r="E81" i="9"/>
  <c r="D55" i="9"/>
  <c r="M53" i="9"/>
  <c r="N57" i="9"/>
  <c r="N58" i="9"/>
  <c r="E4" i="52"/>
  <c r="B48" i="72"/>
  <c r="D122" i="9"/>
  <c r="D123" i="9"/>
  <c r="D9" i="52"/>
  <c r="D13" i="53"/>
  <c r="D14" i="53"/>
  <c r="B32" i="72"/>
  <c r="C86" i="9"/>
  <c r="C93" i="9"/>
  <c r="D5" i="53"/>
  <c r="D6" i="53"/>
  <c r="B22" i="72"/>
  <c r="I4" i="52"/>
  <c r="C105" i="9"/>
  <c r="E118" i="9"/>
  <c r="D118" i="9"/>
  <c r="D4" i="52"/>
  <c r="B47" i="72"/>
  <c r="H108" i="9"/>
  <c r="C6" i="74"/>
  <c r="M48" i="9"/>
  <c r="H102" i="9"/>
  <c r="C5" i="74"/>
  <c r="H107" i="9"/>
  <c r="M49" i="9"/>
  <c r="L65" i="9"/>
  <c r="M65" i="9"/>
  <c r="G118" i="9"/>
  <c r="F118" i="9"/>
  <c r="F119" i="9"/>
  <c r="F5" i="52"/>
  <c r="B53" i="72"/>
  <c r="D53" i="9"/>
  <c r="H101" i="9"/>
  <c r="D45" i="9"/>
  <c r="D52" i="9"/>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9F4B337-4C1F-4E17-8C53-09F4FDC95E4F}">
      <text>
        <r>
          <rPr>
            <b/>
            <sz val="9"/>
            <color indexed="81"/>
            <rFont val="宋体"/>
            <family val="3"/>
            <charset val="134"/>
          </rPr>
          <t>权重验证</t>
        </r>
        <r>
          <rPr>
            <sz val="9"/>
            <color indexed="81"/>
            <rFont val="宋体"/>
            <family val="3"/>
            <charset val="134"/>
          </rPr>
          <t xml:space="preserve">
</t>
        </r>
      </text>
    </comment>
    <comment ref="C59" authorId="1" shapeId="0" xr:uid="{E9C2D356-81CE-4924-8FC1-24ED8ACCAB7D}">
      <text>
        <r>
          <rPr>
            <b/>
            <sz val="12"/>
            <color indexed="81"/>
            <rFont val="宋体"/>
            <family val="3"/>
            <charset val="134"/>
          </rPr>
          <t>价值时点所在月度</t>
        </r>
        <r>
          <rPr>
            <sz val="12"/>
            <color indexed="81"/>
            <rFont val="宋体"/>
            <family val="3"/>
            <charset val="134"/>
          </rPr>
          <t xml:space="preserve">
</t>
        </r>
      </text>
    </comment>
    <comment ref="B103" authorId="1" shapeId="0" xr:uid="{FBC54D8D-2852-4D7E-9178-F265DC365D4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<sst xmlns="http://schemas.openxmlformats.org/spreadsheetml/2006/main" count="8306" uniqueCount="3480">
  <si>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</si>
  <si>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</si>
  <si>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</si>
  <si>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</si>
  <si>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</si>
  <si>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</si>
  <si>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</si>
  <si>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</si>
  <si>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</si>
  <si>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</si>
  <si>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</si>
  <si>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</si>
  <si>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</si>
  <si>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</si>
  <si>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</si>
  <si>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</si>
  <si>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</si>
  <si>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</si>
  <si>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</si>
  <si>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</si>
  <si>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</si>
  <si>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</si>
  <si>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</si>
  <si>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</si>
  <si>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</si>
  <si>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</si>
  <si>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</si>
  <si>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</si>
  <si>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</si>
  <si>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</si>
  <si>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</si>
  <si>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</si>
  <si>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</si>
  <si>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</si>
  <si>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</si>
  <si>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</si>
  <si>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</si>
  <si>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</si>
  <si>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</si>
  <si>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</si>
  <si>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</si>
  <si>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</si>
  <si>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</si>
  <si>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</si>
  <si>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</si>
  <si>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</si>
  <si>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</si>
  <si>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</si>
  <si>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</si>
  <si>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</si>
  <si>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</si>
  <si>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</si>
  <si>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</si>
  <si>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</si>
  <si>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</si>
  <si>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</si>
  <si>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</si>
  <si>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</si>
  <si>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</si>
  <si>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</si>
  <si>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</si>
  <si>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</si>
  <si>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</si>
  <si>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</si>
  <si>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</si>
  <si>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</si>
  <si>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</si>
  <si>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</si>
  <si>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</si>
  <si>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</si>
  <si>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</si>
  <si>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</si>
  <si>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</si>
  <si>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</si>
  <si>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</si>
  <si>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</si>
  <si>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</si>
  <si>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</si>
  <si>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</si>
  <si>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</si>
  <si>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</si>
  <si>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</si>
  <si>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</si>
  <si>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</si>
  <si>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</si>
  <si>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</si>
  <si>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</si>
  <si>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</si>
  <si>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</si>
  <si>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</si>
  <si>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</si>
  <si>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</si>
  <si>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</si>
  <si>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</si>
  <si>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</si>
  <si>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</si>
  <si>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</si>
  <si>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</si>
  <si>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</si>
  <si>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</si>
  <si>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</si>
  <si>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</si>
  <si>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</si>
  <si>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</si>
  <si>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</si>
  <si>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</si>
  <si>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</si>
  <si>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</si>
  <si>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</si>
  <si>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</si>
  <si>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</si>
  <si>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</si>
  <si>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</si>
  <si>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</si>
  <si>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</si>
  <si>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</si>
  <si>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</si>
  <si>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</si>
  <si>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</si>
  <si>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</si>
  <si>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</si>
  <si>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</si>
  <si>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</si>
  <si>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</si>
  <si>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</si>
  <si>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</si>
  <si>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</si>
  <si>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</si>
  <si>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</si>
  <si>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</si>
  <si>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</si>
  <si>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</si>
  <si>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</si>
  <si>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</si>
  <si>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</si>
  <si>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</si>
  <si>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</si>
  <si>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</si>
  <si>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</si>
  <si>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</si>
  <si>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</si>
  <si>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</si>
  <si>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</si>
  <si>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</si>
  <si>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</si>
  <si>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</si>
  <si>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</si>
  <si>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</si>
  <si>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</si>
  <si>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</si>
  <si>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</si>
  <si>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</si>
  <si>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</si>
  <si>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</si>
  <si>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</si>
  <si>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</si>
  <si>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</si>
  <si>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</si>
  <si>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</si>
  <si>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</si>
  <si>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</si>
  <si>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</si>
  <si>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</si>
  <si>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</si>
  <si>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</si>
  <si>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</si>
  <si>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</si>
  <si>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</si>
  <si>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</si>
  <si>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</si>
  <si>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</si>
  <si>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</si>
  <si>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</si>
  <si>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</si>
  <si>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</si>
  <si>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</si>
  <si>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</si>
  <si>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</si>
  <si>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</si>
  <si>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</si>
  <si>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</si>
  <si>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</si>
  <si>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</si>
  <si>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</si>
  <si>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</si>
  <si>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</si>
  <si>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</si>
  <si>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</si>
  <si>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</si>
  <si>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</si>
  <si>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</si>
  <si>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</si>
  <si>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</si>
  <si>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</si>
  <si>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</si>
  <si>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</si>
  <si>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</si>
  <si>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</si>
  <si>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</si>
  <si>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</si>
  <si>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</si>
  <si>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</si>
  <si>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</si>
  <si>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</si>
  <si>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</si>
  <si>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</si>
  <si>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</si>
  <si>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</si>
  <si>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</si>
  <si>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</si>
  <si>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</si>
  <si>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</si>
  <si>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</si>
  <si>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</si>
  <si>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</si>
  <si>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</si>
  <si>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</si>
  <si>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</si>
  <si>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</si>
  <si>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</si>
  <si>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</si>
  <si>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</si>
  <si>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</si>
  <si>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</si>
  <si>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</si>
  <si>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</si>
  <si>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</si>
  <si>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</si>
  <si>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</si>
  <si>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</si>
  <si>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</si>
  <si>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</si>
  <si>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</si>
  <si>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</si>
  <si>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</si>
  <si>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</si>
  <si>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</si>
  <si>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</si>
  <si>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</si>
  <si>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</si>
  <si>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</si>
  <si>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</si>
  <si>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</si>
  <si>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</si>
  <si>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</si>
  <si>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</si>
  <si>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</si>
  <si>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</si>
  <si>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</si>
  <si>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</si>
  <si>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</si>
  <si>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</si>
  <si>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</si>
  <si>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</si>
  <si>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</si>
  <si>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</si>
  <si>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</si>
  <si>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</si>
  <si>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</si>
  <si>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</si>
  <si>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</si>
  <si>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</si>
  <si>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</si>
  <si>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</si>
  <si>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</si>
  <si>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</si>
  <si>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</si>
  <si>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</si>
  <si>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</si>
  <si>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</si>
  <si>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</si>
  <si>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</si>
  <si>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</si>
  <si>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</si>
  <si>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</si>
  <si>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</si>
  <si>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</si>
  <si>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</si>
  <si>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</si>
  <si>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</si>
  <si>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</si>
  <si>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</si>
  <si>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</si>
  <si>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</si>
  <si>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</si>
  <si>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</si>
  <si>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</si>
  <si>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</si>
  <si>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</si>
  <si>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</si>
  <si>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</si>
  <si>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</si>
  <si>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</si>
  <si>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</si>
  <si>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</si>
  <si>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</si>
  <si>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</si>
  <si>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</si>
  <si>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</si>
  <si>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</si>
  <si>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</si>
  <si>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</si>
  <si>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</si>
  <si>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</si>
  <si>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</si>
  <si>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</si>
  <si>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</si>
  <si>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</si>
  <si>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</si>
  <si>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</si>
  <si>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</si>
  <si>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</si>
  <si>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</si>
  <si>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</si>
  <si>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</si>
  <si>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</si>
  <si>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</si>
  <si>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</si>
  <si>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</si>
  <si>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</si>
  <si>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</si>
  <si>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</si>
  <si>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</si>
  <si>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</si>
  <si>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</si>
  <si>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</si>
  <si>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</si>
  <si>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</si>
  <si>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</si>
  <si>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</si>
  <si>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</si>
  <si>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</si>
  <si>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</si>
  <si>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</si>
  <si>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</si>
  <si>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</si>
  <si>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</si>
  <si>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</si>
  <si>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</si>
  <si>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</si>
  <si>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</si>
  <si>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</si>
  <si>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</si>
  <si>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</si>
  <si>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</si>
  <si>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</si>
  <si>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</si>
  <si>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</si>
  <si>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</si>
  <si>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</si>
  <si>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</si>
  <si>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</si>
  <si>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</si>
  <si>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</si>
  <si>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</si>
  <si>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</si>
  <si>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</si>
  <si>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</si>
  <si>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</si>
  <si>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</si>
  <si>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</si>
  <si>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</si>
  <si>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</si>
  <si>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</si>
  <si>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</si>
  <si>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</si>
  <si>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</si>
  <si>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</si>
  <si>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</si>
  <si>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</si>
  <si>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</si>
  <si>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</si>
  <si>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</si>
  <si>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</si>
  <si>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</si>
  <si>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</si>
  <si>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</si>
  <si>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</si>
  <si>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</si>
  <si>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</si>
  <si>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</si>
  <si>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</si>
  <si>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</si>
  <si>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</si>
  <si>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</si>
  <si>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</si>
  <si>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</si>
  <si>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</si>
  <si>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</si>
  <si>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</si>
  <si>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</si>
  <si>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</si>
  <si>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</si>
  <si>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</si>
  <si>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</si>
  <si>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</si>
  <si>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</si>
  <si>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</si>
  <si>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</si>
  <si>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</si>
  <si>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</si>
  <si>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</si>
  <si>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</si>
  <si>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</si>
  <si>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</si>
  <si>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</si>
  <si>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</si>
  <si>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</si>
  <si>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</si>
  <si>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</si>
  <si>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</si>
  <si>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</si>
  <si>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</si>
  <si>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</si>
  <si>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</si>
  <si>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</si>
  <si>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</si>
  <si>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</si>
  <si>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</si>
  <si>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</si>
  <si>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</si>
  <si>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</si>
  <si>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</si>
  <si>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</si>
  <si>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</si>
  <si>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</si>
  <si>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</si>
  <si>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</si>
  <si>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</si>
  <si>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</si>
  <si>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</si>
  <si>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</si>
  <si>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</si>
  <si>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</si>
  <si>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</si>
  <si>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</si>
  <si>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</si>
  <si>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</si>
  <si>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</si>
  <si>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</si>
  <si>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</si>
  <si>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</si>
  <si>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</si>
  <si>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</si>
  <si>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</si>
  <si>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</si>
  <si>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</si>
  <si>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</si>
  <si>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</si>
  <si>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</si>
  <si>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</si>
  <si>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</si>
  <si>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</si>
  <si>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</si>
  <si>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</si>
  <si>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</si>
  <si>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</si>
  <si>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</si>
  <si>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</si>
  <si>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</si>
  <si>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</si>
  <si>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</si>
  <si>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</si>
  <si>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</si>
  <si>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</si>
  <si>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</si>
  <si>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</si>
  <si>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</si>
  <si>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</si>
  <si>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</si>
  <si>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</si>
  <si>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</si>
  <si>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</si>
  <si>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</si>
  <si>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</si>
  <si>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</si>
  <si>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</si>
  <si>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</si>
  <si>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</si>
  <si>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</si>
  <si>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</si>
  <si>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</si>
  <si>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</si>
  <si>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</si>
  <si>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</si>
  <si>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</si>
  <si>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</si>
  <si>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</si>
  <si>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</si>
  <si>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</si>
  <si>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</si>
  <si>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</si>
  <si>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</si>
  <si>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</si>
  <si>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</si>
  <si>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</si>
  <si>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</si>
  <si>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</si>
  <si>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</si>
  <si>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</si>
  <si>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</si>
  <si>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</si>
  <si>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</si>
  <si>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</si>
  <si>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</si>
  <si>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</si>
  <si>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</si>
  <si>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</si>
  <si>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</si>
  <si>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</si>
  <si>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</si>
  <si>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</si>
  <si>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</si>
  <si>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</si>
  <si>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</si>
  <si>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</si>
  <si>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</si>
  <si>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</si>
  <si>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</si>
  <si>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</si>
  <si>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</si>
  <si>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</si>
  <si>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</si>
  <si>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</si>
  <si>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</si>
  <si>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</si>
  <si>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</si>
  <si>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</si>
  <si>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</si>
  <si>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</si>
  <si>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</si>
  <si>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</si>
  <si>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</si>
  <si>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</si>
  <si>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</si>
  <si>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</si>
  <si>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</si>
  <si>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</si>
  <si>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</si>
  <si>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</si>
  <si>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</si>
  <si>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</si>
  <si>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</si>
  <si>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</si>
  <si>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</si>
  <si>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</si>
  <si>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</si>
  <si>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</si>
  <si>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</si>
  <si>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</si>
  <si>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</si>
  <si>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</si>
  <si>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</si>
  <si>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</si>
  <si>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</si>
  <si>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</si>
  <si>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</si>
  <si>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</si>
  <si>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</si>
  <si>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</si>
  <si>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</si>
  <si>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</si>
  <si>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</si>
  <si>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</si>
  <si>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</si>
  <si>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</si>
  <si>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</si>
  <si>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</si>
  <si>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</si>
  <si>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</si>
  <si>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</si>
  <si>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</si>
  <si>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</si>
  <si>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</si>
  <si>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</si>
  <si>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</si>
  <si>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</si>
  <si>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</si>
  <si>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</si>
  <si>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</si>
  <si>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</si>
  <si>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</si>
  <si>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</si>
  <si>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</si>
  <si>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</si>
  <si>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</si>
  <si>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</si>
  <si>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</si>
  <si>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</si>
  <si>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</si>
  <si>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</si>
  <si>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</si>
  <si>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</si>
  <si>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</si>
  <si>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</si>
  <si>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</si>
  <si>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</si>
  <si>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</si>
  <si>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</si>
  <si>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</si>
  <si>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</si>
  <si>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</si>
  <si>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</si>
  <si>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</si>
  <si>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</si>
  <si>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</si>
  <si>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</si>
  <si>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</si>
  <si>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</si>
  <si>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</si>
  <si>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</si>
  <si>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</si>
  <si>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</si>
  <si>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</si>
  <si>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</si>
  <si>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</si>
  <si>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</si>
  <si>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</si>
  <si>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</si>
  <si>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</si>
  <si>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</si>
  <si>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</si>
  <si>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</si>
  <si>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</si>
  <si>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</si>
  <si>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</si>
  <si>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</si>
  <si>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</si>
  <si>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</si>
  <si>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</si>
  <si>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</si>
  <si>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</si>
  <si>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</si>
  <si>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</si>
  <si>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</si>
  <si>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</si>
  <si>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</si>
  <si>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</si>
  <si>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</si>
  <si>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</si>
  <si>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</si>
  <si>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</si>
  <si>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</si>
  <si>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</si>
  <si>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</si>
  <si>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</si>
  <si>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</si>
  <si>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</si>
  <si>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</si>
  <si>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</si>
  <si>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</si>
  <si>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</si>
  <si>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</si>
  <si>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</si>
  <si>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</si>
  <si>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</si>
  <si>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</si>
  <si>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</si>
  <si>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</si>
  <si>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</si>
  <si>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</si>
  <si>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</si>
  <si>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</si>
  <si>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</si>
  <si>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</si>
  <si>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</si>
  <si>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</si>
  <si>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</si>
  <si>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</si>
  <si>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</si>
  <si>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</si>
  <si>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</si>
  <si>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</si>
  <si>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</si>
  <si>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</si>
  <si>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</si>
  <si>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</si>
  <si>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</si>
  <si>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</si>
  <si>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</si>
  <si>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</si>
  <si>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</si>
  <si>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</si>
  <si>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</si>
  <si>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</si>
  <si>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</si>
  <si>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</si>
  <si>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</si>
  <si>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</si>
  <si>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</si>
  <si>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</si>
  <si>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</si>
  <si>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</si>
  <si>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</si>
  <si>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</si>
  <si>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</si>
  <si>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</si>
  <si>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</si>
  <si>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</si>
  <si>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</si>
  <si>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</si>
  <si>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</si>
  <si>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</si>
  <si>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</si>
  <si>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</si>
  <si>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</si>
  <si>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</si>
  <si>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</si>
  <si>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</si>
  <si>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</si>
  <si>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</si>
  <si>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</si>
  <si>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</si>
  <si>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</si>
  <si>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</si>
  <si>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</si>
  <si>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</si>
  <si>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</si>
  <si>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</si>
  <si>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</si>
  <si>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</si>
  <si>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</si>
  <si>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</si>
  <si>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</si>
  <si>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</si>
  <si>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</si>
  <si>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</si>
  <si>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</si>
  <si>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</si>
  <si>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</si>
  <si>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</si>
  <si>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</si>
  <si>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</si>
  <si>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</si>
  <si>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</si>
  <si>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</si>
  <si>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</si>
  <si>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</si>
  <si>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</si>
  <si>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</si>
  <si>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</si>
  <si>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</si>
  <si>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</si>
  <si>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</si>
  <si>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</si>
  <si>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</si>
  <si>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</si>
  <si>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</si>
  <si>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</si>
  <si>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</si>
  <si>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</si>
  <si>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</si>
  <si>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</si>
  <si>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</si>
  <si>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</si>
  <si>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</si>
  <si>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</si>
  <si>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</si>
  <si>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</si>
  <si>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</si>
  <si>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</si>
  <si>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</si>
  <si>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</si>
  <si>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</si>
  <si>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</si>
  <si>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</si>
  <si>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</si>
  <si>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</si>
  <si>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</si>
  <si>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</si>
  <si>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</si>
  <si>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</si>
  <si>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</si>
  <si>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</si>
  <si>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</si>
  <si>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</si>
  <si>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</si>
  <si>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</si>
  <si>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</si>
  <si>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</si>
  <si>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</si>
  <si>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</si>
  <si>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</si>
  <si>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</si>
  <si>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</si>
  <si>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</si>
  <si>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</si>
  <si>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</si>
  <si>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</si>
  <si>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</si>
  <si>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</si>
  <si>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</si>
  <si>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</si>
  <si>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</si>
  <si>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</si>
  <si>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</si>
  <si>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</si>
  <si>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</si>
  <si>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</si>
  <si>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</si>
  <si>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</si>
  <si>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</si>
  <si>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</si>
  <si>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</si>
  <si>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</si>
  <si>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</si>
  <si>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</si>
  <si>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</si>
  <si>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</si>
  <si>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</si>
  <si>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</si>
  <si>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</si>
  <si>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</si>
  <si>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</si>
  <si>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</si>
  <si>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</si>
  <si>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</si>
  <si>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</si>
  <si>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</si>
  <si>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</si>
  <si>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</si>
  <si>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</si>
  <si>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</si>
  <si>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</si>
  <si>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</si>
  <si>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</si>
  <si>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</si>
  <si>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</si>
  <si>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</si>
  <si>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</si>
  <si>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</si>
  <si>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</si>
  <si>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</si>
  <si>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</si>
  <si>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</si>
  <si>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</si>
  <si>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</si>
  <si>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</si>
  <si>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</si>
  <si>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</si>
  <si>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</si>
  <si>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</si>
  <si>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</si>
  <si>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</si>
  <si>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</si>
  <si>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</si>
  <si>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</si>
  <si>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</si>
  <si>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</si>
  <si>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</si>
  <si>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</si>
  <si>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</si>
  <si>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</si>
  <si>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</si>
  <si>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</si>
  <si>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</si>
  <si>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</si>
  <si>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</si>
  <si>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</si>
  <si>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</si>
  <si>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</si>
  <si>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</si>
  <si>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</si>
  <si>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</si>
  <si>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</si>
  <si>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</si>
  <si>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</si>
  <si>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</si>
  <si>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</si>
  <si>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</si>
  <si>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</si>
  <si>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</si>
  <si>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</si>
  <si>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</si>
  <si>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</si>
  <si>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</si>
  <si>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</si>
  <si>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</si>
  <si>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</si>
  <si>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</si>
  <si>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</si>
  <si>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</si>
  <si>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</si>
  <si>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</si>
  <si>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</si>
  <si>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</si>
  <si>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</si>
  <si>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</si>
  <si>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</si>
  <si>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</si>
  <si>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</si>
  <si>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</si>
  <si>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</si>
  <si>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</si>
  <si>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</si>
  <si>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</si>
  <si>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</si>
  <si>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</si>
  <si>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</si>
  <si>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</si>
  <si>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</si>
  <si>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</si>
  <si>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</si>
  <si>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</si>
  <si>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</si>
  <si>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</si>
  <si>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</si>
  <si>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</si>
  <si>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</si>
  <si>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</si>
  <si>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</si>
  <si>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</si>
  <si>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</si>
  <si>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</si>
  <si>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</si>
  <si>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</si>
  <si>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</si>
  <si>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</si>
  <si>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</si>
  <si>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</si>
  <si>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</si>
  <si>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</si>
  <si>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</si>
  <si>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</si>
  <si>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</si>
  <si>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</si>
  <si>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</si>
  <si>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</si>
  <si>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</si>
  <si>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</si>
  <si>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</si>
  <si>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</si>
  <si>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</si>
  <si>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</si>
  <si>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</si>
  <si>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</si>
  <si>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</si>
  <si>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</si>
  <si>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</si>
  <si>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</si>
  <si>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</si>
  <si>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</si>
  <si>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</si>
  <si>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</si>
  <si>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</si>
  <si>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</si>
  <si>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</si>
  <si>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</si>
  <si>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</si>
  <si>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</si>
  <si>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</si>
  <si>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</si>
  <si>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</si>
  <si>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</si>
  <si>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</si>
  <si>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</si>
  <si>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</si>
  <si>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</si>
  <si>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</si>
  <si>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</si>
  <si>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</si>
  <si>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</si>
  <si>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</si>
  <si>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</si>
  <si>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</si>
  <si>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</si>
  <si>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</si>
  <si>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</si>
  <si>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</si>
  <si>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</si>
  <si>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</si>
  <si>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</si>
  <si>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</si>
  <si>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</si>
  <si>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</si>
  <si>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</si>
  <si>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</si>
  <si>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</si>
  <si>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</si>
  <si>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</si>
  <si>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</si>
  <si>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</si>
  <si>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</si>
  <si>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</si>
  <si>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</si>
  <si>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</si>
  <si>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</si>
  <si>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</si>
  <si>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</si>
  <si>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</si>
  <si>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</si>
  <si>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</si>
  <si>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</si>
  <si>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</si>
  <si>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</si>
  <si>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</si>
  <si>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</si>
  <si>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</si>
  <si>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</si>
  <si>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</si>
  <si>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</si>
  <si>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</si>
  <si>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</si>
  <si>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</si>
  <si>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</si>
  <si>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</si>
  <si>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</si>
  <si>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</si>
  <si>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</si>
  <si>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</si>
  <si>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</si>
  <si>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</si>
  <si>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</si>
  <si>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</si>
  <si>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</si>
  <si>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</si>
  <si>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</si>
  <si>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</si>
  <si>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</si>
  <si>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</si>
  <si>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</si>
  <si>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</si>
  <si>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</si>
  <si>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</si>
  <si>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</si>
  <si>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</si>
  <si>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</si>
  <si>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</si>
  <si>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</si>
  <si>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</si>
  <si>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</si>
  <si>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</si>
  <si>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</si>
  <si>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</si>
  <si>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</si>
  <si>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</si>
  <si>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</si>
  <si>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</si>
  <si>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</si>
  <si>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</si>
  <si>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</si>
  <si>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</si>
  <si>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</si>
  <si>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</si>
  <si>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</si>
  <si>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</si>
  <si>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</si>
  <si>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</si>
  <si>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</si>
  <si>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</si>
  <si>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</si>
  <si>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</si>
  <si>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</si>
  <si>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</si>
  <si>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</si>
  <si>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</si>
  <si>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</si>
  <si>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</si>
  <si>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</si>
  <si>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</si>
  <si>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</si>
  <si>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</si>
  <si>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</si>
  <si>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</si>
  <si>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</si>
  <si>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</si>
  <si>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</si>
  <si>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</si>
  <si>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</si>
  <si>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</si>
  <si>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</si>
  <si>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</si>
  <si>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</si>
  <si>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</si>
  <si>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</si>
  <si>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</si>
  <si>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</si>
  <si>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</si>
  <si>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</si>
  <si>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</si>
  <si>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</si>
  <si>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</si>
  <si>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</si>
  <si>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</si>
  <si>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</si>
  <si>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</si>
  <si>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</si>
  <si>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</si>
  <si>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</si>
  <si>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</si>
  <si>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</si>
  <si>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</si>
  <si>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</si>
  <si>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</si>
  <si>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</si>
  <si>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</si>
  <si>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</si>
  <si>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</si>
  <si>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</si>
  <si>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</si>
  <si>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</si>
  <si>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</si>
  <si>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</si>
  <si>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</si>
  <si>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</si>
  <si>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</si>
  <si>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</si>
  <si>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</si>
  <si>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</si>
  <si>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</si>
  <si>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</si>
  <si>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</si>
  <si>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</si>
  <si>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</si>
  <si>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</si>
  <si>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</si>
  <si>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</si>
  <si>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</si>
  <si>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</si>
  <si>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</si>
  <si>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</si>
  <si>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</si>
  <si>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</si>
  <si>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</si>
  <si>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</si>
  <si>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</si>
  <si>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</si>
  <si>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</si>
  <si>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</si>
  <si>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</si>
  <si>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</si>
  <si>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</si>
  <si>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</si>
  <si>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</si>
  <si>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</si>
  <si>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</si>
  <si>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</si>
  <si>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</si>
  <si>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</si>
  <si>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</si>
  <si>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</si>
  <si>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</si>
  <si>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</si>
  <si>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</si>
  <si>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</si>
  <si>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</si>
  <si>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</si>
  <si>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</si>
  <si>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</si>
  <si>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</si>
  <si>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</si>
  <si>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</si>
  <si>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</si>
  <si>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</si>
  <si>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</si>
  <si>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</si>
  <si>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</si>
  <si>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</si>
  <si>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</si>
  <si>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</si>
  <si>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</si>
  <si>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</si>
  <si>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</si>
  <si>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</si>
  <si>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</si>
  <si>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</si>
  <si>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</si>
  <si>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</si>
  <si>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</si>
  <si>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</si>
  <si>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</si>
  <si>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</si>
  <si>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</si>
  <si>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</si>
  <si>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</si>
  <si>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</si>
  <si>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</si>
  <si>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</si>
  <si>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</si>
  <si>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</si>
  <si>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</si>
  <si>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</si>
  <si>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</si>
  <si>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</si>
  <si>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</si>
  <si>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</si>
  <si>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</si>
  <si>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</si>
  <si>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</si>
  <si>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</si>
  <si>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</si>
  <si>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</si>
  <si>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</si>
  <si>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</si>
  <si>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</si>
  <si>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</si>
  <si>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</si>
  <si>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</si>
  <si>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</si>
  <si>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</si>
  <si>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</si>
  <si>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</si>
  <si>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</si>
  <si>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</si>
  <si>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</si>
  <si>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</si>
  <si>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</si>
  <si>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</si>
  <si>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</si>
  <si>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</si>
  <si>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</si>
  <si>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</si>
  <si>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</si>
  <si>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</si>
  <si>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</si>
  <si>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</si>
  <si>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</si>
  <si>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</si>
  <si>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</si>
  <si>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</si>
  <si>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</si>
  <si>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</si>
  <si>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</si>
  <si>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</si>
  <si>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</si>
  <si>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</si>
  <si>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</si>
  <si>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</si>
  <si>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</si>
  <si>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</si>
  <si>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</si>
  <si>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</si>
  <si>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</si>
  <si>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</si>
  <si>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</si>
  <si>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</si>
  <si>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</si>
  <si>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</si>
  <si>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</si>
  <si>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</si>
  <si>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</si>
  <si>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</si>
  <si>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</si>
  <si>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</si>
  <si>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</si>
  <si>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</si>
  <si>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</si>
  <si>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</si>
  <si>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</si>
  <si>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</si>
  <si>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</si>
  <si>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</si>
  <si>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</si>
  <si>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</si>
  <si>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</si>
  <si>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</si>
  <si>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</si>
  <si>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</si>
  <si>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</si>
  <si>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</si>
  <si>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</si>
  <si>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</si>
  <si>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</si>
  <si>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</si>
  <si>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</si>
  <si>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</si>
  <si>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</si>
  <si>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</si>
  <si>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</si>
  <si>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</si>
  <si>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</si>
  <si>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</si>
  <si>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</si>
  <si>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</si>
  <si>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</si>
  <si>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</si>
  <si>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</si>
  <si>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</si>
  <si>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</si>
  <si>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</si>
  <si>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</si>
  <si>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</si>
  <si>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</si>
  <si>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</si>
  <si>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</si>
  <si>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</si>
  <si>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</si>
  <si>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</si>
  <si>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</si>
  <si>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</si>
  <si>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</si>
  <si>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</si>
  <si>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</si>
  <si>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</si>
  <si>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</si>
  <si>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</si>
  <si>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</si>
  <si>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</si>
  <si>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</si>
  <si>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</si>
  <si>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</si>
  <si>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</si>
  <si>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</si>
  <si>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</si>
  <si>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</si>
  <si>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</si>
  <si>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</si>
  <si>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</si>
  <si>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</si>
  <si>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</si>
  <si>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</si>
  <si>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</si>
  <si>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</si>
  <si>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</si>
  <si>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</si>
  <si>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</si>
  <si>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</si>
  <si>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</si>
  <si>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</si>
  <si>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</si>
  <si>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</si>
  <si>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</si>
  <si>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</si>
  <si>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</si>
  <si>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</si>
  <si>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</si>
  <si>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</si>
  <si>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</si>
  <si>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</si>
  <si>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</si>
  <si>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</si>
  <si>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</si>
  <si>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</si>
  <si>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</si>
  <si>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</si>
  <si>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</si>
  <si>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</si>
  <si>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</si>
  <si>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</si>
  <si>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</si>
  <si>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</si>
  <si>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</si>
  <si>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</si>
  <si>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</si>
  <si>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</si>
  <si>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</si>
  <si>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</si>
  <si>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</si>
  <si>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</si>
  <si>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</si>
  <si>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</si>
  <si>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</si>
  <si>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</si>
  <si>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</si>
  <si>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</si>
  <si>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</si>
  <si>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</si>
  <si>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</si>
  <si>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</si>
  <si>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</si>
  <si>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</si>
  <si>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</si>
  <si>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</si>
  <si>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</si>
  <si>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</si>
  <si>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</si>
  <si>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</si>
  <si>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</si>
  <si>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</si>
  <si>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</si>
  <si>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</si>
  <si>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</si>
  <si>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</si>
  <si>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</si>
  <si>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</si>
  <si>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</si>
  <si>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</si>
  <si>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</si>
  <si>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</si>
  <si>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</si>
  <si>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</si>
  <si>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</si>
  <si>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</si>
  <si>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</si>
  <si>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</si>
  <si>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</si>
  <si>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</si>
  <si>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</si>
  <si>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</si>
  <si>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</si>
  <si>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</si>
  <si>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</si>
  <si>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</si>
  <si>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</si>
  <si>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</si>
  <si>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</si>
  <si>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</si>
  <si>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</si>
  <si>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</si>
  <si>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</si>
  <si>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</si>
  <si>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</si>
  <si>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</si>
  <si>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</si>
  <si>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</si>
  <si>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</si>
  <si>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</si>
  <si>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</si>
  <si>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</si>
  <si>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</si>
  <si>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</si>
  <si>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</si>
  <si>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</si>
  <si>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</si>
  <si>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</si>
  <si>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</si>
  <si>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</si>
  <si>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</si>
  <si>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</si>
  <si>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</si>
  <si>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</si>
  <si>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</si>
  <si>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</si>
  <si>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</si>
  <si>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</si>
  <si>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</si>
  <si>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</si>
  <si>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</si>
  <si>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</si>
  <si>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</si>
  <si>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</si>
  <si>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</si>
  <si>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</si>
  <si>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</si>
  <si>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</si>
  <si>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</si>
  <si>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</si>
  <si>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</si>
  <si>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</si>
  <si>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</si>
  <si>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</si>
  <si>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</si>
  <si>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</si>
  <si>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</si>
  <si>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</si>
  <si>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</si>
  <si>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</si>
  <si>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</si>
  <si>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</si>
  <si>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</si>
  <si>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</si>
  <si>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</si>
  <si>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</si>
  <si>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</si>
  <si>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</si>
  <si>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</si>
  <si>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</si>
  <si>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</si>
  <si>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</si>
  <si>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</si>
  <si>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</si>
  <si>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</si>
  <si>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</si>
  <si>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</si>
  <si>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</si>
  <si>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</si>
  <si>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</si>
  <si>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</si>
  <si>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</si>
  <si>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</si>
  <si>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</si>
  <si>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</si>
  <si>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</si>
  <si>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</si>
  <si>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</si>
  <si>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</si>
  <si>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</si>
  <si>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</si>
  <si>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</si>
  <si>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</si>
  <si>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</si>
  <si>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</si>
  <si>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</si>
  <si>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</si>
  <si>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</si>
  <si>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</si>
  <si>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</si>
  <si>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</si>
  <si>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</si>
  <si>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</si>
  <si>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</si>
  <si>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</si>
  <si>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</si>
  <si>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</si>
  <si>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</si>
  <si>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</si>
  <si>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</si>
  <si>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</si>
  <si>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</si>
  <si>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</si>
  <si>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</si>
  <si>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</si>
  <si>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</si>
  <si>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</si>
  <si>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</si>
  <si>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</si>
  <si>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</si>
  <si>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</si>
  <si>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</si>
  <si>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</si>
  <si>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</si>
  <si>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</si>
  <si>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</si>
  <si>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</si>
  <si>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</si>
  <si>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</si>
  <si>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</si>
  <si>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</si>
  <si>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</si>
  <si>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</si>
  <si>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</si>
  <si>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</si>
  <si>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</si>
  <si>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</si>
  <si>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</si>
  <si>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</si>
  <si>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</si>
  <si>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</si>
  <si>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</si>
  <si>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</si>
  <si>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</si>
  <si>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</si>
  <si>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</si>
  <si>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</si>
  <si>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</si>
  <si>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</si>
  <si>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</si>
  <si>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</si>
  <si>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</si>
  <si>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</si>
  <si>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</si>
  <si>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</si>
  <si>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</si>
  <si>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</si>
  <si>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</si>
  <si>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</si>
  <si>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</si>
  <si>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</si>
  <si>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</si>
  <si>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</si>
  <si>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</si>
  <si>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</si>
  <si>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</si>
  <si>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</si>
  <si>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</si>
  <si>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</si>
  <si>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</si>
  <si>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</si>
  <si>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</si>
  <si>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</si>
  <si>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</si>
  <si>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</si>
  <si>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</si>
  <si>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</si>
  <si>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</si>
  <si>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</si>
  <si>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</si>
  <si>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</si>
  <si>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</si>
  <si>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</si>
  <si>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</si>
  <si>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</si>
  <si>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</si>
  <si>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</si>
  <si>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</si>
  <si>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</si>
  <si>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</si>
  <si>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</si>
  <si>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</si>
  <si>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</si>
  <si>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</si>
  <si>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</si>
  <si>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</si>
  <si>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</si>
  <si>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</si>
  <si>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</si>
  <si>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</si>
  <si>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</si>
  <si>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</si>
  <si>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</si>
  <si>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</si>
  <si>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</si>
  <si>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</si>
  <si>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</si>
  <si>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</si>
  <si>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</si>
  <si>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</si>
  <si>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</si>
  <si>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</si>
  <si>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</si>
  <si>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</si>
  <si>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</si>
  <si>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</si>
  <si>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</si>
  <si>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</si>
  <si>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</si>
  <si>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</si>
  <si>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</si>
  <si>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</si>
  <si>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</si>
  <si>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</si>
  <si>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</si>
  <si>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</si>
  <si>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</si>
  <si>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</si>
  <si>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</si>
  <si>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</si>
  <si>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</si>
  <si>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</si>
  <si>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</si>
  <si>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</si>
  <si>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</si>
  <si>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</si>
  <si>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</si>
  <si>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</si>
  <si>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</si>
  <si>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</si>
  <si>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</si>
  <si>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</si>
  <si>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</si>
  <si>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</si>
  <si>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</si>
  <si>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</si>
  <si>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</si>
  <si>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</si>
  <si>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</si>
  <si>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</si>
  <si>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</si>
  <si>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</si>
  <si>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</si>
  <si>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</si>
  <si>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</si>
  <si>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</si>
  <si>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</si>
  <si>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</si>
  <si>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</si>
  <si>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</si>
  <si>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</si>
  <si>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</si>
  <si>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</si>
  <si>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</si>
  <si>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</si>
  <si>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</si>
  <si>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</si>
  <si>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</si>
  <si>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</si>
  <si>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</si>
  <si>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</si>
  <si>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</si>
  <si>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</si>
  <si>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</si>
  <si>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</si>
  <si>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</si>
  <si>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</si>
  <si>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</si>
  <si>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</si>
  <si>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</si>
  <si>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</si>
  <si>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</si>
  <si>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</si>
  <si>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</si>
  <si>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</si>
  <si>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</si>
  <si>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</si>
  <si>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</si>
  <si>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</si>
  <si>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</si>
  <si>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</si>
  <si>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</si>
  <si>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</si>
  <si>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</si>
  <si>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</si>
  <si>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</si>
  <si>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</si>
  <si>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</si>
  <si>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</si>
  <si>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</si>
  <si>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</si>
  <si>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</si>
  <si>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</si>
  <si>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</si>
  <si>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</si>
  <si>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</si>
  <si>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</si>
  <si>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</si>
  <si>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</si>
  <si>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</si>
  <si>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</si>
  <si>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</si>
  <si>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</si>
  <si>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</si>
  <si>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</si>
  <si>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</si>
  <si>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</si>
  <si>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</si>
  <si>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</si>
  <si>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</si>
  <si>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</si>
  <si>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</si>
  <si>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</si>
  <si>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</si>
  <si>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</si>
  <si>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</si>
  <si>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</si>
  <si>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</si>
  <si>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</si>
  <si>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</si>
  <si>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</si>
  <si>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</si>
  <si>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</si>
  <si>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</si>
  <si>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</si>
  <si>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</si>
  <si>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</si>
  <si>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</si>
  <si>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</si>
  <si>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</si>
  <si>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</si>
  <si>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</si>
  <si>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</si>
  <si>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</si>
  <si>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</si>
  <si>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</si>
  <si>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</si>
  <si>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</si>
  <si>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</si>
  <si>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</si>
  <si>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</si>
  <si>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</si>
  <si>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</si>
  <si>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</si>
  <si>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</si>
  <si>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</si>
  <si>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</si>
  <si>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</si>
  <si>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</si>
  <si>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</si>
  <si>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</si>
  <si>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</si>
  <si>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</si>
  <si>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</si>
  <si>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</si>
  <si>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</si>
  <si>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</si>
  <si>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</si>
  <si>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</si>
  <si>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</si>
  <si>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</si>
  <si>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</si>
  <si>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</si>
  <si>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</si>
  <si>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</si>
  <si>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</si>
  <si>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</si>
  <si>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</si>
  <si>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</si>
  <si>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</si>
  <si>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</si>
  <si>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</si>
  <si>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</si>
  <si>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</si>
  <si>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</si>
  <si>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</si>
  <si>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</si>
  <si>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</si>
  <si>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</si>
  <si>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</si>
  <si>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</si>
  <si>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</si>
  <si>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</si>
  <si>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</si>
  <si>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</si>
  <si>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</si>
  <si>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</si>
  <si>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</si>
  <si>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</si>
  <si>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</si>
  <si>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</si>
  <si>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</si>
  <si>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</si>
  <si>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</si>
  <si>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</si>
  <si>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</si>
  <si>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</si>
  <si>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</si>
  <si>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</si>
  <si>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</si>
  <si>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</si>
  <si>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</si>
  <si>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</si>
  <si>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</si>
  <si>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</si>
  <si>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</si>
  <si>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</si>
  <si>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</si>
  <si>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</si>
  <si>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</si>
  <si>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</si>
  <si>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</si>
  <si>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</si>
  <si>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</si>
  <si>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</si>
  <si>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</si>
  <si>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</si>
  <si>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</si>
  <si>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</si>
  <si>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</si>
  <si>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</si>
  <si>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</si>
  <si>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</si>
  <si>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</si>
  <si>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</si>
  <si>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</si>
  <si>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</si>
  <si>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</si>
  <si>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</si>
  <si>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</si>
  <si>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</si>
  <si>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</si>
  <si>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</si>
  <si>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</si>
  <si>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</si>
  <si>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</si>
  <si>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</si>
  <si>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</si>
  <si>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</si>
  <si>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</si>
  <si>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</si>
  <si>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</si>
  <si>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</si>
  <si>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</si>
  <si>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</si>
  <si>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</si>
  <si>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</si>
  <si>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</si>
  <si>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</si>
  <si>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</si>
  <si>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</si>
  <si>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</si>
  <si>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</si>
  <si>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</si>
  <si>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</si>
  <si>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</si>
  <si>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</si>
  <si>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</si>
  <si>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</si>
  <si>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</si>
  <si>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</si>
  <si>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</si>
  <si>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</si>
  <si>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</si>
  <si>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</si>
  <si>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</si>
  <si>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</si>
  <si>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</si>
  <si>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</si>
  <si>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</si>
  <si>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</si>
  <si>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</si>
  <si>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</si>
  <si>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</si>
  <si>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</si>
  <si>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</si>
  <si>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</si>
  <si>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</si>
  <si>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</si>
  <si>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</si>
  <si>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</si>
  <si>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</si>
  <si>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</si>
  <si>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</si>
  <si>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</si>
  <si>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</si>
  <si>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</si>
  <si>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</si>
  <si>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</si>
  <si>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</si>
  <si>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</si>
  <si>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</si>
  <si>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</si>
  <si>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</si>
  <si>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</si>
  <si>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</si>
  <si>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</si>
  <si>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</si>
  <si>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</si>
  <si>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</si>
  <si>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</si>
  <si>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</si>
  <si>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</si>
  <si>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</si>
  <si>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</si>
  <si>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</si>
  <si>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</si>
  <si>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</si>
  <si>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</si>
  <si>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</si>
  <si>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</si>
  <si>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</si>
  <si>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</si>
  <si>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</si>
  <si>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</si>
  <si>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</si>
  <si>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</si>
  <si>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</si>
  <si>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</si>
  <si>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</si>
  <si>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</si>
  <si>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</si>
  <si>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</si>
  <si>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</si>
  <si>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</si>
  <si>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</si>
  <si>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</si>
  <si>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</si>
  <si>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</si>
  <si>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</si>
  <si>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</si>
  <si>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</si>
  <si>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</si>
  <si>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</si>
  <si>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</si>
  <si>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</si>
  <si>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</si>
  <si>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</si>
  <si>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</si>
  <si>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</si>
  <si>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</si>
  <si>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</si>
  <si>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</si>
  <si>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</si>
  <si>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</si>
  <si>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</si>
  <si>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</si>
  <si>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</si>
  <si>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</si>
  <si>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</si>
  <si>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</si>
  <si>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</si>
  <si>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</si>
  <si>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</si>
  <si>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</si>
  <si>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</si>
  <si>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</si>
  <si>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</si>
  <si>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</si>
  <si>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</si>
  <si>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</si>
  <si>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</si>
  <si>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</si>
  <si>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</si>
  <si>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</si>
  <si>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</si>
  <si>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</si>
  <si>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</si>
  <si>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</si>
  <si>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</si>
  <si>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</si>
  <si>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</si>
  <si>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</si>
  <si>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</si>
  <si>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</si>
  <si>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</si>
  <si>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</si>
  <si>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</si>
  <si>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</si>
  <si>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</si>
  <si>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</si>
  <si>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</si>
  <si>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</si>
  <si>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</si>
  <si>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</si>
  <si>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</si>
  <si>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</si>
  <si>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</si>
  <si>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</si>
  <si>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</si>
  <si>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</si>
  <si>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</si>
  <si>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</si>
  <si>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</si>
  <si>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</si>
  <si>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</si>
  <si>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</si>
  <si>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</si>
  <si>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</si>
  <si>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</si>
  <si>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</si>
  <si>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</si>
  <si>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</si>
  <si>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</si>
  <si>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</si>
  <si>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</si>
  <si>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</si>
  <si>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</si>
  <si>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</si>
  <si>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</si>
  <si>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</si>
  <si>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</si>
  <si>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</si>
  <si>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</si>
  <si>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</si>
  <si>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</si>
  <si>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</si>
  <si>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</si>
  <si>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</si>
  <si>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</si>
  <si>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</si>
  <si>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</si>
  <si>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</si>
  <si>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</si>
  <si>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</si>
  <si>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</si>
  <si>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</si>
  <si>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</si>
  <si>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</si>
  <si>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</si>
  <si>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</si>
  <si>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</si>
  <si>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</si>
  <si>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</si>
  <si>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</si>
  <si>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</si>
  <si>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</si>
  <si>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</si>
  <si>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</si>
  <si>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</si>
  <si>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</si>
  <si>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</si>
  <si>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</si>
  <si>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</si>
  <si>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</si>
  <si>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</si>
  <si>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</si>
  <si>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</si>
  <si>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</si>
  <si>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</si>
  <si>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</si>
  <si>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</si>
  <si>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</si>
  <si>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</si>
  <si>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</si>
  <si>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</si>
  <si>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</si>
  <si>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</si>
  <si>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</si>
  <si>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</si>
  <si>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</si>
  <si>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</si>
  <si>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</si>
  <si>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</si>
  <si>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</si>
  <si>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</si>
  <si>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</si>
  <si>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</si>
  <si>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</si>
  <si>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</si>
  <si>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</si>
  <si>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</si>
  <si>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</si>
  <si>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</si>
  <si>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</si>
  <si>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</si>
  <si>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</si>
  <si>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</si>
  <si>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</si>
  <si>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</si>
  <si>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</si>
  <si>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</si>
  <si>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</si>
  <si>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</si>
  <si>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</si>
  <si>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</si>
  <si>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</si>
  <si>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</si>
  <si>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</si>
  <si>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</si>
  <si>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</si>
  <si>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</si>
  <si>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</si>
  <si>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</si>
  <si>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</si>
  <si>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</si>
  <si>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</si>
  <si>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</si>
  <si>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</si>
  <si>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</si>
  <si>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</si>
  <si>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</si>
  <si>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</si>
  <si>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</si>
  <si>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</si>
  <si>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</si>
  <si>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</si>
  <si>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</si>
  <si>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</si>
  <si>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</si>
  <si>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</si>
  <si>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</si>
  <si>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</si>
  <si>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</si>
  <si>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</si>
  <si>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</si>
  <si>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</si>
  <si>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</si>
  <si>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</si>
  <si>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</si>
  <si>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</si>
  <si>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</si>
  <si>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</si>
  <si>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</si>
  <si>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</si>
  <si>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</si>
  <si>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</si>
  <si>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</si>
  <si>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</si>
  <si>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</si>
  <si>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</si>
  <si>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</si>
  <si>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</si>
  <si>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</si>
  <si>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</si>
  <si>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</si>
  <si>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</si>
  <si>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</si>
  <si>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</si>
  <si>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</si>
  <si>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</si>
  <si>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</si>
  <si>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</si>
  <si>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</si>
  <si>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</si>
  <si>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</si>
  <si>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</si>
  <si>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</si>
  <si>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</si>
  <si>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</si>
  <si>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</si>
  <si>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</si>
  <si>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</si>
  <si>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</si>
  <si>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</si>
  <si>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</si>
  <si>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</si>
  <si>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</si>
  <si>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</si>
  <si>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</si>
  <si>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</si>
  <si>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</si>
  <si>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</si>
  <si>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</si>
  <si>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</si>
  <si>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</si>
  <si>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</si>
  <si>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</si>
  <si>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</si>
  <si>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</si>
  <si>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</si>
  <si>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</si>
  <si>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</si>
  <si>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</si>
  <si>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</si>
  <si>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</si>
  <si>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</si>
  <si>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</si>
  <si>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</si>
  <si>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</si>
  <si>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</si>
  <si>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</si>
  <si>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</si>
  <si>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</si>
  <si>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</si>
  <si>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</si>
  <si>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</si>
  <si>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</si>
  <si>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</si>
  <si>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</si>
  <si>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</si>
  <si>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</si>
  <si>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</si>
  <si>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</si>
  <si>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</si>
  <si>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</si>
  <si>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</si>
  <si>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</si>
  <si>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</si>
  <si>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</si>
  <si>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</si>
  <si>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</si>
  <si>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</si>
  <si>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</si>
  <si>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</si>
  <si>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</si>
  <si>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</si>
  <si>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</si>
  <si>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</si>
  <si>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</si>
  <si>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</si>
  <si>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</si>
  <si>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</si>
  <si>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</si>
  <si>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</si>
  <si>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</si>
  <si>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</si>
  <si>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</si>
  <si>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</si>
  <si>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</si>
  <si>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</si>
  <si>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</si>
  <si>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</si>
  <si>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</si>
  <si>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</si>
  <si>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</si>
  <si>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</si>
  <si>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</si>
  <si>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</si>
  <si>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</si>
  <si>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</si>
  <si>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</si>
  <si>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</si>
  <si>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</si>
  <si>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</si>
  <si>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</si>
  <si>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</si>
  <si>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</si>
  <si>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</si>
  <si>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</si>
  <si>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</si>
  <si>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</si>
  <si>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</si>
  <si>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</si>
  <si>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</si>
  <si>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</si>
  <si>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</si>
  <si>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</si>
  <si>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</si>
  <si>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</si>
  <si>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</si>
  <si>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</si>
  <si>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</si>
  <si>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</si>
  <si>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</si>
  <si>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</si>
  <si>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</si>
  <si>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</si>
  <si>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</si>
  <si>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</si>
  <si>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</si>
  <si>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</si>
  <si>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</si>
  <si>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</si>
  <si>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</si>
  <si>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</si>
  <si>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</si>
  <si>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</si>
  <si>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</si>
  <si>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</si>
  <si>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</si>
  <si>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</si>
  <si>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</si>
  <si>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</si>
  <si>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</si>
  <si>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</si>
  <si>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</si>
  <si>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</si>
  <si>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</si>
  <si>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</si>
  <si>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</si>
  <si>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</si>
  <si>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</si>
  <si>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</si>
  <si>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</si>
  <si>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</si>
  <si>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</si>
  <si>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</si>
  <si>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</si>
  <si>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</si>
  <si>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</si>
  <si>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</si>
  <si>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</si>
  <si>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</si>
  <si>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</si>
  <si>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</si>
  <si>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</si>
  <si>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</si>
  <si>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</si>
  <si>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</si>
  <si>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</si>
  <si>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</si>
  <si>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</si>
  <si>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</si>
  <si>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</si>
  <si>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</si>
  <si>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</si>
  <si>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</si>
  <si>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</si>
  <si>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</si>
  <si>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</si>
  <si>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</si>
  <si>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</si>
  <si>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</si>
  <si>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</si>
  <si>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</si>
  <si>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</si>
  <si>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</si>
  <si>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</si>
  <si>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</si>
  <si>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</si>
  <si>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</si>
  <si>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</si>
  <si>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</si>
  <si>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</si>
  <si>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</si>
  <si>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</si>
  <si>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</si>
  <si>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</si>
  <si>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</si>
  <si>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</si>
  <si>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</si>
  <si>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</si>
  <si>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</si>
  <si>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</si>
  <si>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</si>
  <si>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</si>
  <si>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</si>
  <si>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</si>
  <si>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</si>
  <si>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</si>
  <si>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</si>
  <si>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</si>
  <si>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</si>
  <si>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</si>
  <si>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</si>
  <si>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</si>
  <si>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</si>
  <si>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</si>
  <si>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</si>
  <si>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</si>
  <si>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</si>
  <si>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</si>
  <si>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</si>
  <si>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</si>
  <si>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</si>
  <si>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</si>
  <si>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</si>
  <si>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</si>
  <si>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</si>
  <si>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</si>
  <si>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</si>
  <si>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</si>
  <si>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</si>
  <si>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</si>
  <si>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</si>
  <si>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</si>
  <si>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</si>
  <si>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</si>
  <si>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</si>
  <si>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</si>
  <si>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</si>
  <si>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</si>
  <si>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</si>
  <si>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</si>
  <si>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</si>
  <si>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</si>
  <si>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</si>
  <si>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</si>
  <si>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</si>
  <si>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</si>
  <si>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</si>
  <si>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</si>
  <si>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</si>
  <si>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</si>
  <si>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</si>
  <si>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</si>
  <si>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</si>
  <si>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</si>
  <si>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</si>
  <si>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</si>
  <si>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</si>
  <si>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</si>
  <si>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</si>
  <si>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</si>
  <si>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</si>
  <si>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</si>
  <si>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</si>
  <si>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</si>
  <si>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</si>
  <si>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</si>
  <si>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</si>
  <si>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</si>
  <si>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</si>
  <si>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</si>
  <si>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</si>
  <si>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</si>
  <si>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</si>
  <si>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</si>
  <si>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</si>
  <si>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</si>
  <si>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</si>
  <si>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</si>
  <si>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</si>
  <si>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</si>
  <si>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</si>
  <si>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</si>
  <si>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</si>
  <si>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</si>
  <si>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</si>
  <si>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</si>
  <si>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</si>
  <si>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</si>
  <si>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</si>
  <si>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</si>
  <si>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</si>
  <si>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</si>
  <si>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</si>
  <si>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</si>
  <si>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</si>
  <si>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</si>
  <si>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</si>
  <si>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</si>
  <si>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</si>
  <si>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</si>
  <si>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</si>
  <si>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</si>
  <si>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</si>
  <si>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</si>
  <si>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</si>
  <si>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</si>
  <si>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</si>
  <si>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</si>
  <si>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</si>
  <si>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</si>
  <si>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</si>
  <si>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</si>
  <si>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</si>
  <si>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</si>
  <si>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</si>
  <si>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</si>
  <si>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</si>
  <si>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</si>
  <si>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</si>
  <si>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</si>
  <si>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</si>
  <si>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</si>
  <si>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</si>
  <si>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</si>
  <si>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</si>
  <si>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</si>
  <si>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</si>
  <si>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</si>
  <si>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</si>
  <si>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</si>
  <si>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</si>
  <si>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</si>
  <si>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</si>
  <si>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</si>
  <si>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</si>
  <si>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</si>
  <si>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</si>
  <si>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</si>
  <si>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</si>
  <si>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</si>
  <si>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</si>
  <si>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</si>
  <si>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</si>
  <si>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</si>
  <si>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</si>
  <si>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</si>
  <si>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</si>
  <si>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</si>
  <si>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</si>
  <si>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</si>
  <si>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</si>
  <si>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</si>
  <si>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</si>
  <si>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</si>
  <si>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</si>
  <si>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</si>
  <si>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</si>
  <si>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</si>
  <si>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</si>
  <si>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</si>
  <si>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</si>
  <si>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</si>
  <si>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</si>
  <si>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</si>
  <si>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</si>
  <si>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</si>
  <si>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</si>
  <si>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</si>
  <si>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</si>
  <si>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</si>
  <si>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</si>
  <si>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</si>
  <si>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</si>
  <si>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</si>
  <si>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</si>
  <si>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</si>
  <si>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</si>
  <si>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</si>
  <si>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</si>
  <si>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</si>
  <si>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</si>
  <si>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</si>
  <si>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</si>
  <si>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</si>
  <si>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</si>
  <si>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</si>
  <si>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</si>
  <si>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</si>
  <si>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</si>
  <si>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</si>
  <si>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</si>
  <si>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</si>
  <si>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</si>
  <si>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</si>
  <si>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</si>
  <si>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</si>
  <si>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</si>
  <si>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</si>
  <si>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</si>
  <si>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</si>
  <si>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</si>
  <si>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</si>
  <si>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</si>
  <si>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</si>
  <si>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</si>
  <si>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</si>
  <si>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</si>
  <si>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</si>
  <si>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</si>
  <si>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</si>
  <si>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</si>
  <si>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</si>
  <si>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</si>
  <si>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</si>
  <si>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</si>
  <si>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</si>
  <si>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</si>
  <si>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</si>
  <si>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</si>
  <si>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</si>
  <si>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</si>
  <si>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</si>
  <si>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</si>
  <si>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</si>
  <si>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</si>
  <si>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</si>
  <si>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</si>
  <si>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</si>
  <si>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</si>
  <si>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</si>
  <si>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</si>
  <si>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</si>
  <si>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</si>
  <si>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</si>
  <si>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</si>
  <si>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</si>
  <si>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</si>
  <si>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</si>
  <si>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</si>
  <si>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</si>
  <si>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</si>
  <si>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</si>
  <si>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</si>
  <si>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</si>
  <si>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</si>
  <si>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</si>
  <si>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</si>
  <si>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</si>
  <si>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</si>
  <si>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</si>
  <si>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</si>
  <si>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</si>
  <si>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</si>
  <si>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</si>
  <si>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</si>
  <si>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</si>
  <si>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</si>
  <si>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</si>
  <si>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</si>
  <si>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</si>
  <si>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</si>
  <si>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</si>
  <si>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</si>
  <si>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</si>
  <si>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</si>
  <si>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</si>
  <si>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</si>
  <si>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</si>
  <si>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</si>
  <si>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</si>
  <si>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</si>
  <si>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</si>
  <si>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</si>
  <si>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</si>
  <si>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</si>
  <si>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</si>
  <si>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</si>
  <si>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</si>
  <si>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</si>
  <si>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</si>
  <si>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</si>
  <si>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</si>
  <si>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</si>
  <si>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</si>
  <si>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</si>
  <si>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</si>
  <si>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</si>
  <si>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</si>
  <si>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</si>
  <si>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</si>
  <si>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</si>
  <si>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</si>
  <si>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</si>
  <si>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</si>
  <si>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</si>
  <si>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</si>
  <si>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</si>
  <si>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</si>
  <si>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</si>
  <si>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</si>
  <si>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</si>
  <si>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</si>
  <si>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</si>
  <si>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</si>
  <si>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</si>
  <si>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</si>
  <si>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</si>
  <si>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</si>
  <si>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</si>
  <si>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</si>
  <si>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</si>
  <si>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</si>
  <si>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</si>
  <si>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</si>
  <si>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</si>
  <si>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</si>
  <si>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</si>
  <si>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</si>
  <si>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</si>
  <si>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</si>
  <si>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</si>
  <si>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</si>
  <si>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</si>
  <si>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</si>
  <si>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</si>
  <si>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</si>
  <si>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</si>
  <si>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</si>
  <si>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</si>
  <si>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</si>
  <si>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</si>
  <si>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</si>
  <si>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</si>
  <si>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</si>
  <si>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</si>
  <si>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</si>
  <si>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</si>
  <si>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</si>
  <si>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</si>
  <si>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</si>
  <si>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</si>
  <si>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</si>
  <si>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</si>
  <si>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</si>
  <si>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</si>
  <si>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</si>
  <si>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</si>
  <si>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</si>
  <si>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</si>
  <si>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</si>
  <si>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</si>
  <si>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</si>
  <si>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</si>
  <si>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</si>
  <si>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</si>
  <si>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</si>
  <si>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</si>
  <si>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</si>
  <si>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</si>
  <si>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</si>
  <si>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</si>
  <si>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</si>
  <si>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</si>
  <si>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</si>
  <si>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</si>
  <si>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</si>
  <si>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</si>
  <si>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</si>
  <si>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</si>
  <si>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</si>
  <si>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</si>
  <si>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</si>
  <si>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</si>
  <si>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</si>
  <si>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</si>
  <si>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</si>
  <si>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</si>
  <si>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</si>
  <si>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</si>
  <si>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</si>
  <si>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</si>
  <si>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</si>
  <si>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</si>
  <si>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</si>
  <si>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</si>
  <si>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</si>
  <si>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</si>
  <si>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</si>
  <si>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</si>
  <si>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</si>
  <si>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</si>
  <si>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</si>
  <si>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</si>
  <si>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</si>
  <si>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</si>
  <si>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</si>
  <si>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</si>
  <si>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</si>
  <si>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</si>
  <si>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</si>
  <si>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</si>
  <si>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</si>
  <si>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</si>
  <si>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</si>
  <si>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</si>
  <si>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</si>
  <si>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</si>
  <si>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</si>
  <si>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</si>
  <si>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</si>
  <si>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</si>
  <si>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</si>
  <si>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</si>
  <si>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</si>
  <si>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</si>
  <si>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</si>
  <si>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</si>
  <si>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</si>
  <si>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</si>
  <si>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</si>
  <si>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</si>
  <si>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</si>
  <si>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</si>
  <si>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</si>
  <si>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</si>
  <si>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</si>
  <si>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</si>
  <si>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</si>
  <si>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</si>
  <si>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</si>
  <si>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</si>
  <si>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</si>
  <si>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</si>
  <si>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</si>
  <si>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</si>
  <si>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</si>
  <si>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</si>
  <si>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</si>
  <si>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</si>
  <si>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</si>
  <si>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</si>
  <si>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</si>
  <si>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</si>
  <si>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</si>
  <si>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</si>
  <si>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</si>
  <si>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</si>
  <si>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</si>
  <si>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</si>
  <si>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</si>
  <si>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</si>
  <si>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</si>
  <si>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</si>
  <si>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</si>
  <si>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</si>
  <si>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</si>
  <si>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</si>
  <si>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</si>
  <si>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</si>
  <si>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</si>
  <si>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</si>
  <si>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</si>
  <si>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</si>
  <si>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</si>
  <si>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</si>
  <si>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</si>
  <si>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</si>
  <si>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</si>
  <si>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</si>
  <si>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</si>
  <si>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</si>
  <si>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</si>
  <si>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</si>
  <si>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</si>
  <si>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</si>
  <si>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</si>
  <si>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</si>
  <si>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</si>
  <si>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</si>
  <si>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</si>
  <si>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</si>
  <si>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</si>
  <si>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</si>
  <si>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</si>
  <si>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</si>
  <si>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</si>
  <si>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</si>
  <si>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</si>
  <si>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</si>
  <si>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</si>
  <si>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</si>
  <si>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</si>
  <si>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</si>
  <si>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</si>
  <si>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</si>
  <si>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</si>
  <si>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</si>
  <si>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</si>
  <si>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</si>
  <si>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</si>
  <si>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</si>
  <si>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</si>
  <si>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</si>
  <si>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</si>
  <si>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</si>
  <si>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</si>
  <si>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</si>
  <si>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</si>
  <si>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</si>
  <si>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</si>
  <si>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</si>
  <si>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</si>
  <si>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</si>
  <si>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</si>
  <si>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</si>
  <si>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</si>
  <si>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</si>
  <si>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</si>
  <si>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</si>
  <si>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</si>
  <si>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</si>
  <si>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</si>
  <si>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</si>
  <si>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</si>
  <si>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</si>
  <si>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</si>
  <si>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</si>
  <si>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</si>
  <si>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</si>
  <si>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</si>
  <si>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</si>
  <si>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</si>
  <si>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</si>
  <si>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</si>
  <si>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</si>
  <si>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</si>
  <si>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</si>
  <si>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</si>
  <si>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</si>
  <si>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</si>
  <si>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</si>
  <si>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</si>
  <si>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</si>
  <si>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</si>
  <si>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</si>
  <si>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</si>
  <si>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</si>
  <si>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</si>
  <si>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</si>
  <si>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</si>
  <si>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</si>
  <si>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</si>
  <si>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</si>
  <si>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</si>
  <si>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</si>
  <si>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</si>
  <si>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</si>
  <si>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</si>
  <si>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</si>
  <si>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</si>
  <si>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</si>
  <si>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</si>
  <si>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</si>
  <si>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</si>
  <si>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</si>
  <si>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</si>
  <si>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</si>
  <si>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</si>
  <si>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</si>
  <si>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</si>
  <si>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</si>
  <si>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</si>
  <si>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</si>
  <si>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</si>
  <si>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</si>
  <si>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</si>
  <si>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</si>
  <si>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</si>
  <si>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</si>
  <si>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</si>
  <si>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</si>
  <si>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</si>
  <si>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</si>
  <si>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</si>
  <si>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</si>
  <si>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</si>
  <si>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</si>
  <si>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</si>
  <si>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</si>
  <si>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</si>
  <si>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</si>
  <si>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</si>
  <si>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</si>
  <si>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</si>
  <si>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</si>
  <si>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</si>
  <si>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</si>
  <si>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</si>
  <si>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</si>
  <si>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</si>
  <si>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</si>
  <si>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</si>
  <si>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</si>
  <si>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</si>
  <si>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</si>
  <si>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</si>
  <si>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</si>
  <si>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</si>
  <si>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</si>
  <si>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</si>
  <si>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</si>
  <si>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</si>
  <si>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</si>
  <si>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</si>
  <si>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</si>
  <si>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</si>
  <si>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</si>
  <si>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</si>
  <si>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</si>
  <si>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</si>
  <si>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</si>
  <si>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</si>
  <si>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</si>
  <si>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</si>
  <si>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</si>
  <si>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</si>
  <si>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</si>
  <si>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</si>
  <si>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</si>
  <si>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</si>
  <si>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</si>
  <si>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</si>
  <si>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</si>
  <si>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</si>
  <si>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</si>
  <si>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</si>
  <si>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</si>
  <si>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</si>
  <si>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</si>
  <si>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</si>
  <si>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</si>
  <si>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</si>
  <si>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</si>
  <si>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</si>
  <si>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</si>
  <si>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</si>
  <si>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</si>
  <si>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</si>
  <si>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</si>
  <si>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</si>
  <si>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</si>
  <si>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</si>
  <si>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</si>
  <si>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</si>
  <si>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</si>
  <si>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</si>
  <si>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</si>
  <si>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</si>
  <si>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</si>
  <si>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</si>
  <si>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</si>
  <si>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</si>
  <si>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</si>
  <si>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</si>
  <si>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</si>
  <si>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</si>
  <si>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</si>
  <si>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</si>
  <si>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</si>
  <si>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</si>
  <si>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</si>
  <si>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</si>
  <si>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</si>
  <si>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</si>
  <si>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</si>
  <si>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</si>
  <si>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</si>
  <si>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</si>
  <si>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</si>
  <si>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</si>
  <si>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</si>
  <si>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</si>
  <si>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</si>
  <si>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</si>
  <si>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</si>
  <si>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</si>
  <si>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</si>
  <si>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</si>
  <si>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</si>
  <si>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</si>
  <si>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</si>
  <si>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</si>
  <si>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</si>
  <si>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</si>
  <si>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</si>
  <si>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</si>
  <si>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</si>
  <si>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</si>
  <si>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</si>
  <si>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</si>
  <si>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</si>
  <si>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</si>
  <si>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</si>
  <si>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</si>
  <si>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</si>
  <si>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</si>
  <si>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</si>
  <si>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</si>
  <si>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</si>
  <si>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</si>
  <si>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</si>
  <si>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</si>
  <si>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</si>
  <si>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</si>
  <si>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</si>
  <si>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</si>
  <si>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</si>
  <si>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</si>
  <si>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</si>
  <si>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</si>
  <si>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</si>
  <si>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</si>
  <si>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</si>
  <si>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</si>
  <si>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</si>
  <si>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</si>
  <si>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</si>
  <si>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</si>
  <si>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</si>
  <si>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</si>
  <si>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</si>
  <si>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</si>
  <si>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</si>
  <si>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</si>
  <si>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</si>
  <si>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</si>
  <si>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</si>
  <si>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</si>
  <si>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</si>
  <si>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</si>
  <si>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</si>
  <si>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</si>
  <si>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</si>
  <si>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</si>
  <si>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</si>
  <si>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</si>
  <si>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</si>
  <si>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</si>
  <si>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</si>
  <si>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</si>
  <si>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</si>
  <si>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</si>
  <si>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</si>
  <si>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</si>
  <si>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</si>
  <si>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</si>
  <si>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</si>
  <si>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</si>
  <si>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</si>
  <si>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</si>
  <si>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</si>
  <si>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</si>
  <si>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</si>
  <si>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</si>
  <si>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</si>
  <si>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</si>
  <si>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</si>
  <si>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</si>
  <si>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</si>
  <si>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</si>
  <si>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</si>
  <si>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</si>
  <si>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</si>
  <si>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</si>
  <si>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</si>
  <si>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</si>
  <si>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</si>
  <si>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</si>
  <si>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</si>
  <si>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</si>
  <si>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</si>
  <si>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</si>
  <si>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</si>
  <si>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</si>
  <si>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</si>
  <si>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</si>
  <si>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</si>
  <si>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</si>
  <si>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</si>
  <si>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</si>
  <si>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</si>
  <si>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</si>
  <si>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</si>
  <si>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</si>
  <si>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</si>
  <si>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</si>
  <si>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</si>
  <si>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</si>
  <si>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</si>
  <si>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</si>
  <si>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</si>
  <si>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</si>
  <si>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</si>
  <si>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</si>
  <si>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</si>
  <si>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</si>
  <si>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</si>
  <si>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</si>
  <si>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</si>
  <si>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</si>
  <si>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</si>
  <si>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</si>
  <si>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</si>
  <si>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</si>
  <si>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</si>
  <si>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</si>
  <si>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</si>
  <si>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</si>
  <si>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</si>
  <si>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</si>
  <si>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</si>
  <si>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</si>
  <si>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</si>
  <si>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</si>
  <si>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</si>
  <si>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</si>
  <si>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</si>
  <si>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</si>
  <si>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</si>
  <si>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</si>
  <si>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</si>
  <si>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</si>
  <si>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</si>
  <si>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</si>
  <si>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</si>
  <si>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</si>
  <si>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</si>
  <si>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</si>
  <si>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</si>
  <si>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</si>
  <si>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</si>
  <si>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</si>
  <si>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</si>
  <si>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</si>
  <si>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</si>
  <si>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</si>
  <si>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</si>
  <si>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</si>
  <si>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</si>
  <si>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</si>
  <si>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</si>
  <si>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</si>
  <si>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</si>
  <si>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</si>
  <si>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</si>
  <si>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</si>
  <si>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</si>
  <si>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</si>
  <si>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</si>
  <si>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</si>
  <si>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</si>
  <si>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</si>
  <si>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</si>
  <si>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</si>
  <si>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</si>
  <si>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</si>
  <si>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</si>
  <si>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</si>
  <si>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</si>
  <si>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</si>
  <si>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</si>
  <si>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</si>
  <si>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</si>
  <si>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</si>
  <si>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</si>
  <si>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</si>
  <si>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</si>
  <si>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</si>
  <si>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</si>
  <si>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</si>
  <si>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</si>
  <si>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</si>
  <si>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</si>
  <si>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</si>
  <si>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</si>
  <si>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</si>
  <si>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</si>
  <si>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</si>
  <si>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</si>
  <si>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</si>
  <si>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</si>
  <si>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</si>
  <si>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</si>
  <si>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</si>
  <si>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</si>
  <si>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</si>
  <si>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</si>
  <si>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</si>
  <si>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</si>
  <si>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</si>
  <si>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</si>
  <si>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</si>
  <si>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</si>
  <si>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</si>
  <si>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</si>
  <si>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</si>
  <si>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</si>
  <si>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</si>
  <si>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</si>
  <si>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</si>
  <si>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</si>
  <si>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</si>
  <si>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</si>
  <si>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</si>
  <si>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</si>
  <si>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</si>
  <si>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</si>
  <si>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</si>
  <si>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</si>
  <si>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</si>
  <si>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</si>
  <si>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</si>
  <si>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</si>
  <si>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</si>
  <si>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</si>
  <si>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</si>
  <si>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</si>
  <si>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</si>
  <si>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</si>
  <si>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</si>
  <si>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</si>
  <si>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</si>
  <si>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</si>
  <si>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</si>
  <si>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</si>
  <si>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</si>
  <si>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</si>
  <si>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</si>
  <si>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</si>
  <si>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</si>
  <si>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</si>
  <si>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</si>
  <si>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</si>
  <si>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</si>
  <si>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</si>
  <si>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</si>
  <si>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</si>
  <si>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</si>
  <si>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</si>
  <si>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</si>
  <si>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</si>
  <si>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</si>
  <si>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</si>
  <si>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</si>
  <si>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</si>
  <si>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</si>
  <si>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</si>
  <si>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</si>
  <si>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</si>
  <si>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</si>
  <si>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</si>
  <si>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</si>
  <si>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</si>
  <si>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</si>
  <si>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</si>
  <si>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</si>
  <si>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</si>
  <si>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</si>
  <si>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</si>
  <si>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</si>
  <si>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</si>
  <si>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</si>
  <si>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</si>
  <si>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</si>
  <si>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</si>
  <si>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</si>
  <si>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</si>
  <si>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</si>
  <si>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</si>
  <si>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</si>
  <si>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</si>
  <si>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</si>
  <si>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</si>
  <si>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</si>
  <si>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</si>
  <si>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</si>
  <si>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</si>
  <si>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</si>
  <si>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</si>
  <si>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</si>
  <si>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</si>
  <si>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</si>
  <si>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</si>
  <si>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</si>
  <si>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</si>
  <si>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</si>
  <si>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</si>
  <si>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</si>
  <si>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</si>
  <si>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</si>
  <si>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</si>
  <si>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</si>
  <si>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</si>
  <si>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</si>
  <si>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</si>
  <si>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</si>
  <si>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</si>
  <si>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</si>
  <si>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</si>
  <si>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</si>
  <si>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</si>
  <si>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</si>
  <si>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</si>
  <si>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</si>
  <si>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</si>
  <si>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</si>
  <si>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</si>
  <si>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</si>
  <si>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</si>
  <si>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</si>
  <si>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</si>
  <si>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</si>
  <si>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</si>
  <si>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</si>
  <si>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</si>
  <si>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</si>
  <si>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</si>
  <si>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</si>
  <si>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</si>
  <si>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</si>
  <si>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</si>
  <si>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</si>
  <si>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</si>
  <si>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</si>
  <si>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</si>
  <si>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</si>
  <si>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</si>
  <si>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</si>
  <si>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</si>
  <si>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</si>
  <si>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</si>
  <si>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</si>
  <si>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</si>
  <si>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</si>
  <si>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</si>
  <si>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</si>
  <si>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</si>
  <si>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</si>
  <si>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</si>
  <si>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</si>
  <si>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</si>
  <si>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</si>
  <si>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</si>
  <si>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</si>
  <si>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</si>
  <si>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</si>
  <si>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</si>
  <si>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</si>
  <si>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</si>
  <si>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</si>
  <si>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</si>
  <si>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</si>
  <si>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</si>
  <si>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</si>
  <si>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</si>
  <si>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</si>
  <si>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</si>
  <si>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</si>
  <si>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</si>
  <si>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</si>
  <si>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</si>
  <si>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</si>
  <si>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</si>
  <si>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</si>
  <si>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</si>
  <si>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</si>
  <si>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</si>
  <si>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</si>
  <si>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</si>
  <si>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</si>
  <si>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1-4</t>
    <phoneticPr fontId="3" type="noConversion"/>
  </si>
  <si>
    <t>地上</t>
  </si>
  <si>
    <t>成新度</t>
  </si>
  <si>
    <t>办公</t>
    <phoneticPr fontId="7" type="noConversion"/>
  </si>
  <si>
    <t>是</t>
  </si>
  <si>
    <t>估价对象容积率</t>
  </si>
  <si>
    <t>与级别开发程度一致</t>
  </si>
  <si>
    <t>较好</t>
  </si>
  <si>
    <t>好</t>
  </si>
  <si>
    <t>收益法</t>
  </si>
  <si>
    <t>按公示增长率计算</t>
  </si>
  <si>
    <t>中心城区</t>
  </si>
  <si>
    <t>未包含在土地购买价格中</t>
  </si>
  <si>
    <t>全部缴纳</t>
  </si>
  <si>
    <t>已包含在土地取得成本中</t>
  </si>
  <si>
    <t>押一</t>
  </si>
  <si>
    <t>钢混</t>
  </si>
  <si>
    <t>非生产用房</t>
  </si>
  <si>
    <t>否</t>
  </si>
  <si>
    <t>售价</t>
  </si>
  <si>
    <t>浙江大厦</t>
    <phoneticPr fontId="3" type="noConversion"/>
  </si>
  <si>
    <t>仟村商务大厦</t>
    <phoneticPr fontId="3" type="noConversion"/>
  </si>
  <si>
    <t>远大中心</t>
    <phoneticPr fontId="3" type="noConversion"/>
  </si>
  <si>
    <t>正常</t>
  </si>
  <si>
    <t>挂牌</t>
  </si>
  <si>
    <t>挂牌</t>
    <phoneticPr fontId="31" type="noConversion"/>
  </si>
  <si>
    <t>一般</t>
  </si>
  <si>
    <t>直线</t>
    <phoneticPr fontId="3" type="noConversion"/>
  </si>
  <si>
    <t>观察</t>
    <phoneticPr fontId="3" type="noConversion"/>
  </si>
  <si>
    <t>七通</t>
  </si>
  <si>
    <t>办公</t>
    <phoneticPr fontId="31" type="noConversion"/>
  </si>
  <si>
    <t>建成年代</t>
    <phoneticPr fontId="31" type="noConversion"/>
  </si>
  <si>
    <t>高区</t>
    <phoneticPr fontId="3" type="noConversion"/>
  </si>
  <si>
    <t>中区</t>
    <phoneticPr fontId="3" type="noConversion"/>
  </si>
  <si>
    <t>低区</t>
    <phoneticPr fontId="3" type="noConversion"/>
  </si>
  <si>
    <t>高层办公楼</t>
    <phoneticPr fontId="3" type="noConversion"/>
  </si>
  <si>
    <t>钢混</t>
    <phoneticPr fontId="3" type="noConversion"/>
  </si>
  <si>
    <t>甲级</t>
    <phoneticPr fontId="3" type="noConversion"/>
  </si>
  <si>
    <t>精装修</t>
  </si>
  <si>
    <t>精装修</t>
    <phoneticPr fontId="31" type="noConversion"/>
  </si>
  <si>
    <t>普通装修</t>
  </si>
  <si>
    <t>普通装修</t>
    <phoneticPr fontId="31" type="noConversion"/>
  </si>
  <si>
    <t>专业</t>
    <phoneticPr fontId="3" type="noConversion"/>
  </si>
  <si>
    <t>五通</t>
    <phoneticPr fontId="3" type="noConversion"/>
  </si>
  <si>
    <t>标准</t>
    <phoneticPr fontId="3" type="noConversion"/>
  </si>
  <si>
    <t>精装修</t>
    <phoneticPr fontId="3" type="noConversion"/>
  </si>
  <si>
    <t>普通装修</t>
    <phoneticPr fontId="3" type="noConversion"/>
  </si>
  <si>
    <t>简单装修</t>
    <phoneticPr fontId="3" type="noConversion"/>
  </si>
  <si>
    <t>毛坯</t>
    <phoneticPr fontId="3" type="noConversion"/>
  </si>
  <si>
    <t>高层办公楼</t>
  </si>
  <si>
    <t>项目模式</t>
  </si>
  <si>
    <t>甲级</t>
  </si>
  <si>
    <t>五通</t>
  </si>
  <si>
    <t>标准</t>
  </si>
  <si>
    <t>比较法-办公</t>
  </si>
  <si>
    <t>紫光发展</t>
    <phoneticPr fontId="3" type="noConversion"/>
  </si>
  <si>
    <t>设计大厦</t>
    <phoneticPr fontId="3" type="noConversion"/>
  </si>
  <si>
    <t>租金</t>
  </si>
  <si>
    <r>
      <rPr>
        <sz val="11"/>
        <color indexed="8"/>
        <rFont val="宋体"/>
        <family val="3"/>
        <charset val="134"/>
      </rPr>
      <t>普通</t>
    </r>
    <r>
      <rPr>
        <sz val="11"/>
        <color indexed="8"/>
        <rFont val="Arial"/>
        <family val="2"/>
      </rPr>
      <t xml:space="preserve"> </t>
    </r>
    <phoneticPr fontId="31" type="noConversion"/>
  </si>
  <si>
    <t xml:space="preserve">普通 </t>
  </si>
  <si>
    <r>
      <rPr>
        <sz val="11"/>
        <color indexed="8"/>
        <rFont val="宋体"/>
        <family val="3"/>
        <charset val="134"/>
      </rPr>
      <t>普通</t>
    </r>
    <r>
      <rPr>
        <sz val="11"/>
        <color indexed="8"/>
        <rFont val="Arial"/>
        <family val="2"/>
      </rPr>
      <t xml:space="preserve"> </t>
    </r>
    <phoneticPr fontId="134" type="noConversion"/>
  </si>
  <si>
    <t>独栋办公</t>
    <phoneticPr fontId="3" type="noConversion"/>
  </si>
  <si>
    <t>高层办公楼</t>
    <phoneticPr fontId="134" type="noConversion"/>
  </si>
  <si>
    <t>渔阳大厦</t>
    <phoneticPr fontId="3" type="noConversion"/>
  </si>
  <si>
    <t>单套模式</t>
  </si>
  <si>
    <t>收益法 (元)</t>
  </si>
  <si>
    <t>总价（元）</t>
    <phoneticPr fontId="8" type="noConversion"/>
  </si>
  <si>
    <r>
      <rPr>
        <sz val="10"/>
        <color indexed="8"/>
        <rFont val="宋体"/>
        <family val="3"/>
        <charset val="134"/>
      </rPr>
      <t>元</t>
    </r>
    <r>
      <rPr>
        <sz val="10"/>
        <color indexed="8"/>
        <rFont val="Arial"/>
        <family val="2"/>
      </rPr>
      <t xml:space="preserve"> </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</si>
</sst>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quotePrefix="1"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47" fillId="0" borderId="1" xfId="0" quotePrefix="1"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2" fillId="7"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79" fillId="6" borderId="0" xfId="0" applyFont="1" applyFill="1" applyProtection="1">
      <alignment vertical="center"/>
      <protection locked="0"/>
    </xf>
    <xf numFmtId="0" fontId="272"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a:extLst>
            <a:ext uri="{FF2B5EF4-FFF2-40B4-BE49-F238E27FC236}">
              <a16:creationId xmlns:a16="http://schemas.microsoft.com/office/drawing/2014/main" id="{630EF7BB-9BF5-36FF-4805-5046BBE32110}"/>
            </a:ext>
          </a:extLst>
        </xdr:cNvPr>
        <xdr:cNvPicPr>
          <a:picLocks noChangeAspect="1"/>
        </xdr:cNvPicPr>
      </xdr:nvPicPr>
      <xdr:blipFill>
        <a:blip xmlns:r="http://schemas.openxmlformats.org/officeDocument/2006/relationships" r:embed="rId1"/>
        <a:stretch>
          <a:fillRect/>
        </a:stretch>
      </xdr:blipFill>
      <xdr:spPr>
        <a:xfrm>
          <a:off x="0" y="0"/>
          <a:ext cx="10075736" cy="6290338"/>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macro="" textlink="">
      <xdr:nvSpPr>
        <xdr:cNvPr id="3" name="星形: 五角 2">
          <a:extLst>
            <a:ext uri="{FF2B5EF4-FFF2-40B4-BE49-F238E27FC236}">
              <a16:creationId xmlns:a16="http://schemas.microsoft.com/office/drawing/2014/main" id="{251DD944-A2D6-6F6B-467C-144585CC3DB7}"/>
            </a:ext>
          </a:extLst>
        </xdr:cNvPr>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macro="" textlink="">
      <xdr:nvSpPr>
        <xdr:cNvPr id="4" name="对话气泡: 矩形 3">
          <a:extLst>
            <a:ext uri="{FF2B5EF4-FFF2-40B4-BE49-F238E27FC236}">
              <a16:creationId xmlns:a16="http://schemas.microsoft.com/office/drawing/2014/main" id="{F11DE3A7-0F9C-F6F4-BF8C-09E2FF355711}"/>
            </a:ext>
          </a:extLst>
        </xdr:cNvPr>
        <xdr:cNvSpPr/>
      </xdr:nvSpPr>
      <xdr:spPr>
        <a:xfrm>
          <a:off x="4267199"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p>
      </xdr:txBody>
    </xdr:sp>
    <xdr:clientData/>
  </xdr:twoCellAnchor>
  <xdr:twoCellAnchor>
    <xdr:from>
      <xdr:col>4</xdr:col>
      <xdr:colOff>285750</xdr:colOff>
      <xdr:row>28</xdr:row>
      <xdr:rowOff>133350</xdr:rowOff>
    </xdr:from>
    <xdr:to>
      <xdr:col>5</xdr:col>
      <xdr:colOff>600075</xdr:colOff>
      <xdr:row>30</xdr:row>
      <xdr:rowOff>57150</xdr:rowOff>
    </xdr:to>
    <xdr:sp macro="" textlink="">
      <xdr:nvSpPr>
        <xdr:cNvPr id="5" name="对话气泡: 矩形 4">
          <a:extLst>
            <a:ext uri="{FF2B5EF4-FFF2-40B4-BE49-F238E27FC236}">
              <a16:creationId xmlns:a16="http://schemas.microsoft.com/office/drawing/2014/main" id="{DC09922F-9A94-48FE-AFA9-22009B487115}"/>
            </a:ext>
          </a:extLst>
        </xdr:cNvPr>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p>
      </xdr:txBody>
    </xdr:sp>
    <xdr:clientData/>
  </xdr:twoCellAnchor>
  <xdr:twoCellAnchor>
    <xdr:from>
      <xdr:col>4</xdr:col>
      <xdr:colOff>161925</xdr:colOff>
      <xdr:row>33</xdr:row>
      <xdr:rowOff>161925</xdr:rowOff>
    </xdr:from>
    <xdr:to>
      <xdr:col>5</xdr:col>
      <xdr:colOff>476250</xdr:colOff>
      <xdr:row>35</xdr:row>
      <xdr:rowOff>85725</xdr:rowOff>
    </xdr:to>
    <xdr:sp macro="" textlink="">
      <xdr:nvSpPr>
        <xdr:cNvPr id="6" name="对话气泡: 矩形 5">
          <a:extLst>
            <a:ext uri="{FF2B5EF4-FFF2-40B4-BE49-F238E27FC236}">
              <a16:creationId xmlns:a16="http://schemas.microsoft.com/office/drawing/2014/main" id="{EFF3CE0D-2455-4A38-9A70-77DEF8549216}"/>
            </a:ext>
          </a:extLst>
        </xdr:cNvPr>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p>
      </xdr:txBody>
    </xdr:sp>
    <xdr:clientData/>
  </xdr:twoCellAnchor>
  <xdr:twoCellAnchor>
    <xdr:from>
      <xdr:col>5</xdr:col>
      <xdr:colOff>638175</xdr:colOff>
      <xdr:row>20</xdr:row>
      <xdr:rowOff>95250</xdr:rowOff>
    </xdr:from>
    <xdr:to>
      <xdr:col>7</xdr:col>
      <xdr:colOff>266700</xdr:colOff>
      <xdr:row>22</xdr:row>
      <xdr:rowOff>19050</xdr:rowOff>
    </xdr:to>
    <xdr:sp macro="" textlink="">
      <xdr:nvSpPr>
        <xdr:cNvPr id="7" name="对话气泡: 矩形 6">
          <a:extLst>
            <a:ext uri="{FF2B5EF4-FFF2-40B4-BE49-F238E27FC236}">
              <a16:creationId xmlns:a16="http://schemas.microsoft.com/office/drawing/2014/main" id="{B6397485-A5E9-4DA1-906B-96F3FF81005B}"/>
            </a:ext>
          </a:extLst>
        </xdr:cNvPr>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p>
      </xdr:txBody>
    </xdr:sp>
    <xdr:clientData/>
  </xdr:twoCellAnchor>
  <xdr:twoCellAnchor>
    <xdr:from>
      <xdr:col>8</xdr:col>
      <xdr:colOff>495300</xdr:colOff>
      <xdr:row>19</xdr:row>
      <xdr:rowOff>57150</xdr:rowOff>
    </xdr:from>
    <xdr:to>
      <xdr:col>10</xdr:col>
      <xdr:colOff>123825</xdr:colOff>
      <xdr:row>20</xdr:row>
      <xdr:rowOff>152400</xdr:rowOff>
    </xdr:to>
    <xdr:sp macro="" textlink="">
      <xdr:nvSpPr>
        <xdr:cNvPr id="8" name="对话气泡: 矩形 7">
          <a:extLst>
            <a:ext uri="{FF2B5EF4-FFF2-40B4-BE49-F238E27FC236}">
              <a16:creationId xmlns:a16="http://schemas.microsoft.com/office/drawing/2014/main" id="{E426F7D9-F41A-4558-8796-2EBB23F88E54}"/>
            </a:ext>
          </a:extLst>
        </xdr:cNvPr>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p>
      </xdr:txBody>
    </xdr:sp>
    <xdr:clientData/>
  </xdr:twoCellAnchor>
  <xdr:twoCellAnchor>
    <xdr:from>
      <xdr:col>8</xdr:col>
      <xdr:colOff>647700</xdr:colOff>
      <xdr:row>16</xdr:row>
      <xdr:rowOff>66675</xdr:rowOff>
    </xdr:from>
    <xdr:to>
      <xdr:col>10</xdr:col>
      <xdr:colOff>276225</xdr:colOff>
      <xdr:row>17</xdr:row>
      <xdr:rowOff>161925</xdr:rowOff>
    </xdr:to>
    <xdr:sp macro="" textlink="">
      <xdr:nvSpPr>
        <xdr:cNvPr id="9" name="对话气泡: 矩形 8">
          <a:extLst>
            <a:ext uri="{FF2B5EF4-FFF2-40B4-BE49-F238E27FC236}">
              <a16:creationId xmlns:a16="http://schemas.microsoft.com/office/drawing/2014/main" id="{733D0A6E-6350-418E-B192-84995F1C8EE9}"/>
            </a:ext>
          </a:extLst>
        </xdr:cNvPr>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a:extLst>
            <a:ext uri="{FF2B5EF4-FFF2-40B4-BE49-F238E27FC236}">
              <a16:creationId xmlns:a16="http://schemas.microsoft.com/office/drawing/2014/main" id="{E964544B-9438-0FFC-AB06-FBCD054B3902}"/>
            </a:ext>
          </a:extLst>
        </xdr:cNvPr>
        <xdr:cNvGrpSpPr/>
      </xdr:nvGrpSpPr>
      <xdr:grpSpPr>
        <a:xfrm>
          <a:off x="0" y="6238876"/>
          <a:ext cx="6762750" cy="10172700"/>
          <a:chOff x="0" y="6238875"/>
          <a:chExt cx="9620250" cy="13353329"/>
        </a:xfrm>
      </xdr:grpSpPr>
      <xdr:pic>
        <xdr:nvPicPr>
          <xdr:cNvPr id="10" name="图片 9">
            <a:extLst>
              <a:ext uri="{FF2B5EF4-FFF2-40B4-BE49-F238E27FC236}">
                <a16:creationId xmlns:a16="http://schemas.microsoft.com/office/drawing/2014/main" id="{2EB455C2-6183-461E-8027-B3D95AC435D8}"/>
              </a:ext>
            </a:extLst>
          </xdr:cNvPr>
          <xdr:cNvPicPr>
            <a:picLocks noChangeAspect="1"/>
          </xdr:cNvPicPr>
        </xdr:nvPicPr>
        <xdr:blipFill>
          <a:blip xmlns:r="http://schemas.openxmlformats.org/officeDocument/2006/relationships" r:embed="rId2"/>
          <a:stretch>
            <a:fillRect/>
          </a:stretch>
        </xdr:blipFill>
        <xdr:spPr>
          <a:xfrm>
            <a:off x="0" y="6238875"/>
            <a:ext cx="9553575" cy="4443194"/>
          </a:xfrm>
          <a:prstGeom prst="rect">
            <a:avLst/>
          </a:prstGeom>
        </xdr:spPr>
      </xdr:pic>
      <xdr:pic>
        <xdr:nvPicPr>
          <xdr:cNvPr id="11" name="图片 10">
            <a:extLst>
              <a:ext uri="{FF2B5EF4-FFF2-40B4-BE49-F238E27FC236}">
                <a16:creationId xmlns:a16="http://schemas.microsoft.com/office/drawing/2014/main" id="{D539A7C4-AF65-4AFD-9418-2D40AC4E52F9}"/>
              </a:ext>
            </a:extLst>
          </xdr:cNvPr>
          <xdr:cNvPicPr>
            <a:picLocks noChangeAspect="1"/>
          </xdr:cNvPicPr>
        </xdr:nvPicPr>
        <xdr:blipFill>
          <a:blip xmlns:r="http://schemas.openxmlformats.org/officeDocument/2006/relationships" r:embed="rId3"/>
          <a:stretch>
            <a:fillRect/>
          </a:stretch>
        </xdr:blipFill>
        <xdr:spPr>
          <a:xfrm>
            <a:off x="0" y="10516020"/>
            <a:ext cx="9620250" cy="4523231"/>
          </a:xfrm>
          <a:prstGeom prst="rect">
            <a:avLst/>
          </a:prstGeom>
        </xdr:spPr>
      </xdr:pic>
      <xdr:pic>
        <xdr:nvPicPr>
          <xdr:cNvPr id="12" name="图片 11">
            <a:extLst>
              <a:ext uri="{FF2B5EF4-FFF2-40B4-BE49-F238E27FC236}">
                <a16:creationId xmlns:a16="http://schemas.microsoft.com/office/drawing/2014/main" id="{AF47F5D4-B089-4B2D-AD2B-1502060E6772}"/>
              </a:ext>
            </a:extLst>
          </xdr:cNvPr>
          <xdr:cNvPicPr>
            <a:picLocks noChangeAspect="1"/>
          </xdr:cNvPicPr>
        </xdr:nvPicPr>
        <xdr:blipFill>
          <a:blip xmlns:r="http://schemas.openxmlformats.org/officeDocument/2006/relationships" r:embed="rId4"/>
          <a:stretch>
            <a:fillRect/>
          </a:stretch>
        </xdr:blipFill>
        <xdr:spPr>
          <a:xfrm>
            <a:off x="0" y="14887575"/>
            <a:ext cx="9603342" cy="4704629"/>
          </a:xfrm>
          <a:prstGeom prst="rect">
            <a:avLst/>
          </a:prstGeom>
        </xdr:spPr>
      </xdr:pic>
    </xdr:grpSp>
    <xdr:clientData/>
  </xdr:twoCellAnchor>
  <xdr:twoCellAnchor>
    <xdr:from>
      <xdr:col>10</xdr:col>
      <xdr:colOff>9525</xdr:colOff>
      <xdr:row>36</xdr:row>
      <xdr:rowOff>57150</xdr:rowOff>
    </xdr:from>
    <xdr:to>
      <xdr:col>18</xdr:col>
      <xdr:colOff>103677</xdr:colOff>
      <xdr:row>83</xdr:row>
      <xdr:rowOff>27871</xdr:rowOff>
    </xdr:to>
    <xdr:grpSp>
      <xdr:nvGrpSpPr>
        <xdr:cNvPr id="17" name="组合 16">
          <a:extLst>
            <a:ext uri="{FF2B5EF4-FFF2-40B4-BE49-F238E27FC236}">
              <a16:creationId xmlns:a16="http://schemas.microsoft.com/office/drawing/2014/main" id="{F42306A9-2AC5-5D34-81D7-4B52EAA1449C}"/>
            </a:ext>
          </a:extLst>
        </xdr:cNvPr>
        <xdr:cNvGrpSpPr/>
      </xdr:nvGrpSpPr>
      <xdr:grpSpPr>
        <a:xfrm>
          <a:off x="6867525" y="6229350"/>
          <a:ext cx="5580552" cy="8028871"/>
          <a:chOff x="6619875" y="6267450"/>
          <a:chExt cx="6914052" cy="9552871"/>
        </a:xfrm>
      </xdr:grpSpPr>
      <xdr:pic>
        <xdr:nvPicPr>
          <xdr:cNvPr id="14" name="图片 13">
            <a:extLst>
              <a:ext uri="{FF2B5EF4-FFF2-40B4-BE49-F238E27FC236}">
                <a16:creationId xmlns:a16="http://schemas.microsoft.com/office/drawing/2014/main" id="{A4BED8D9-20AE-4846-9AFE-04AFB377A72B}"/>
              </a:ext>
            </a:extLst>
          </xdr:cNvPr>
          <xdr:cNvPicPr>
            <a:picLocks noChangeAspect="1"/>
          </xdr:cNvPicPr>
        </xdr:nvPicPr>
        <xdr:blipFill>
          <a:blip xmlns:r="http://schemas.openxmlformats.org/officeDocument/2006/relationships" r:embed="rId5"/>
          <a:stretch>
            <a:fillRect/>
          </a:stretch>
        </xdr:blipFill>
        <xdr:spPr>
          <a:xfrm>
            <a:off x="6619876" y="6267450"/>
            <a:ext cx="6868412" cy="3228975"/>
          </a:xfrm>
          <a:prstGeom prst="rect">
            <a:avLst/>
          </a:prstGeom>
        </xdr:spPr>
      </xdr:pic>
      <xdr:pic>
        <xdr:nvPicPr>
          <xdr:cNvPr id="15" name="图片 14">
            <a:extLst>
              <a:ext uri="{FF2B5EF4-FFF2-40B4-BE49-F238E27FC236}">
                <a16:creationId xmlns:a16="http://schemas.microsoft.com/office/drawing/2014/main" id="{813078CC-AD01-49F7-848F-C7FC236F6FE6}"/>
              </a:ext>
            </a:extLst>
          </xdr:cNvPr>
          <xdr:cNvPicPr>
            <a:picLocks noChangeAspect="1"/>
          </xdr:cNvPicPr>
        </xdr:nvPicPr>
        <xdr:blipFill>
          <a:blip xmlns:r="http://schemas.openxmlformats.org/officeDocument/2006/relationships" r:embed="rId6"/>
          <a:stretch>
            <a:fillRect/>
          </a:stretch>
        </xdr:blipFill>
        <xdr:spPr>
          <a:xfrm>
            <a:off x="6619875" y="9420224"/>
            <a:ext cx="6869507" cy="3123561"/>
          </a:xfrm>
          <a:prstGeom prst="rect">
            <a:avLst/>
          </a:prstGeom>
        </xdr:spPr>
      </xdr:pic>
      <xdr:pic>
        <xdr:nvPicPr>
          <xdr:cNvPr id="16" name="图片 15">
            <a:extLst>
              <a:ext uri="{FF2B5EF4-FFF2-40B4-BE49-F238E27FC236}">
                <a16:creationId xmlns:a16="http://schemas.microsoft.com/office/drawing/2014/main" id="{21C61045-A53B-4664-AB44-9F334177BE3D}"/>
              </a:ext>
            </a:extLst>
          </xdr:cNvPr>
          <xdr:cNvPicPr>
            <a:picLocks noChangeAspect="1"/>
          </xdr:cNvPicPr>
        </xdr:nvPicPr>
        <xdr:blipFill>
          <a:blip xmlns:r="http://schemas.openxmlformats.org/officeDocument/2006/relationships" r:embed="rId7"/>
          <a:stretch>
            <a:fillRect/>
          </a:stretch>
        </xdr:blipFill>
        <xdr:spPr>
          <a:xfrm>
            <a:off x="6619875" y="12468225"/>
            <a:ext cx="6914052" cy="335209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估价对象为北京市房地产，为所有。根据《国有土地使用证》[]，估价对象（分摊）出让国有建设用地使用权面积为231.72平方米，建筑面积为1836.72平方米。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估价对象为北京市房地产,属开发建设的，该项目尚在开发建设中。根据《国有土地使用证》[]，估价对象（分摊）出让国有建设用地使用权面积为231.72平方米，规划建筑面积为1836.72平方米。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2025年11月6日（评估专业人员实地查勘之日）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1836.72</v>
      </c>
    </row>
    <row r="44" spans="1:2">
      <c r="A44" s="1119" t="s">
        <v>575</v>
      </c>
      <c r="B44" s="1120" t="str">
        <f>'预评函-3'!C2</f>
        <v>(分摊)土地面积</v>
      </c>
    </row>
    <row r="45" spans="1:2">
      <c r="A45" s="1119" t="s">
        <v>547</v>
      </c>
      <c r="B45" s="1120">
        <f>'预评函-3'!C4</f>
        <v>231.72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0" t="s">
        <v>2571</v>
      </c>
      <c r="J2" s="3220"/>
      <c r="K2" s="3220"/>
      <c r="L2" s="3220"/>
      <c r="M2" s="3220"/>
      <c r="N2" s="3220"/>
      <c r="O2" s="3220"/>
      <c r="P2" s="3220"/>
      <c r="Q2" s="3220"/>
      <c r="R2" s="3220"/>
    </row>
    <row r="3" spans="1:18">
      <c r="A3" s="2762" t="s">
        <v>2492</v>
      </c>
      <c r="B3" s="2763">
        <f>项目基本情况!D3</f>
        <v>45967</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5" sqref="M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45967</v>
      </c>
      <c r="C3" s="2186" t="s">
        <v>2171</v>
      </c>
      <c r="D3" s="2185">
        <f>B3</f>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24"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25"/>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3321</v>
      </c>
      <c r="B13" s="2218" t="s">
        <v>2190</v>
      </c>
      <c r="C13" s="803"/>
      <c r="D13" s="803"/>
      <c r="E13" s="803">
        <v>55596</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26.38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c r="A17" s="305" t="s">
        <v>2195</v>
      </c>
      <c r="B17" s="294" t="s">
        <v>2196</v>
      </c>
      <c r="C17" s="8">
        <f>'数据-汇总表'!E3</f>
        <v>1836.72</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231.72</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5"/>
      <c r="B30" s="294" t="s">
        <v>2218</v>
      </c>
      <c r="C30" s="3246"/>
      <c r="D30" s="3247"/>
      <c r="E30" s="2442"/>
      <c r="F30" s="2442"/>
      <c r="G30" s="2442"/>
      <c r="H30" s="2442"/>
      <c r="I30" s="2442"/>
      <c r="J30" s="2245"/>
      <c r="K30" s="2402"/>
      <c r="L30" s="2399"/>
      <c r="M30" s="2399"/>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2919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347.09-115.37</f>
        <v>231.71999999999997</v>
      </c>
      <c r="B3" s="11">
        <f>IF(C3="否",G5-AT5,G5)</f>
        <v>1836.72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1836.72</v>
      </c>
      <c r="H5" s="13">
        <f t="shared" ref="H5:AT5" si="0">SUM(H13:H656)</f>
        <v>1836.72</v>
      </c>
      <c r="I5" s="13">
        <f t="shared" si="0"/>
        <v>1836.72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1836.72</v>
      </c>
      <c r="BA5" s="15">
        <f t="shared" si="1"/>
        <v>1836.72</v>
      </c>
      <c r="BB5" s="15">
        <f t="shared" si="1"/>
        <v>1836.72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231.72</v>
      </c>
      <c r="F6" s="13" t="s">
        <v>0</v>
      </c>
      <c r="G6" s="13" t="s">
        <v>1</v>
      </c>
      <c r="H6" s="17">
        <f>SUMIF(I$12:AB$12,"总值",I6:AB6)</f>
        <v>231.72</v>
      </c>
      <c r="I6" s="13">
        <f t="shared" ref="I6:AB6" si="2">ROUND($A$3*I5/$B$3,2)</f>
        <v>231.72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231.72</v>
      </c>
      <c r="AZ6" s="13" t="s">
        <v>2</v>
      </c>
      <c r="BA6" s="13">
        <f>ROUND($AY$6*BA5/$AZ$5,2)</f>
        <v>231.72</v>
      </c>
      <c r="BB6" s="13">
        <f>ROUND($AY$6*BB5/$AZ$5,2)</f>
        <v>231.72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3412</v>
      </c>
      <c r="D13" s="1513" t="s">
        <v>3416</v>
      </c>
      <c r="E13" s="13">
        <f>IF($C$3="是",ROUND($A$3*G13/$B$3,2),ROUND($A$3*(G13-AT13)/$B$3,2))</f>
        <v>231.72</v>
      </c>
      <c r="F13" s="29"/>
      <c r="G13" s="30">
        <f>H13+AC13+AT13</f>
        <v>1836.72</v>
      </c>
      <c r="H13" s="17">
        <f>SUMIF(I$12:AB$12,"总值",I13:AB13)</f>
        <v>1836.72</v>
      </c>
      <c r="I13" s="1514">
        <v>1836.72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1-4</v>
      </c>
      <c r="AY13" s="1260">
        <f>ROUND($AY$6*AZ13/$AZ$5,2)</f>
        <v>231.72</v>
      </c>
      <c r="AZ13" s="13">
        <f>BA13+BL13</f>
        <v>1836.72</v>
      </c>
      <c r="BA13" s="13">
        <f>SUM(BB13:BK13)</f>
        <v>1836.72</v>
      </c>
      <c r="BB13" s="13">
        <f>IF($D13="是",I13-J13,0)</f>
        <v>1836.72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7"/>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9"/>
      <c r="G2" s="2432"/>
      <c r="H2" s="2433"/>
      <c r="I2" s="2146" t="s">
        <v>1132</v>
      </c>
      <c r="J2" s="2439"/>
      <c r="K2" s="2439"/>
      <c r="L2" s="2439"/>
      <c r="M2" s="2439"/>
      <c r="N2" s="2440"/>
      <c r="O2" s="2439"/>
      <c r="P2" s="2439"/>
    </row>
    <row r="3" spans="1:16" ht="15.75" thickBot="1">
      <c r="A3" s="3260" t="s">
        <v>1105</v>
      </c>
      <c r="B3" s="3260"/>
      <c r="C3" s="3260"/>
      <c r="D3" s="41">
        <f>'数据-基础表'!AY6</f>
        <v>231.72</v>
      </c>
      <c r="E3" s="41">
        <f>'数据-基础表'!AZ5</f>
        <v>1836.72</v>
      </c>
      <c r="F3" s="2439"/>
      <c r="G3" s="42"/>
      <c r="H3" s="43" t="s">
        <v>1106</v>
      </c>
      <c r="I3" s="802">
        <f>ROUND('数据-基础表'!B3/'数据-基础表'!A3,2)</f>
        <v>7.93</v>
      </c>
      <c r="J3" s="2439"/>
      <c r="K3" s="2439"/>
      <c r="L3" s="2439"/>
      <c r="M3" s="2439"/>
      <c r="N3" s="2440"/>
      <c r="O3" s="2439"/>
      <c r="P3" s="2439"/>
    </row>
    <row r="4" spans="1:16" ht="15">
      <c r="A4" s="3261"/>
      <c r="B4" s="3262"/>
      <c r="C4" s="3263"/>
      <c r="D4" s="1524" t="s">
        <v>1107</v>
      </c>
      <c r="E4" s="1525" t="s">
        <v>1108</v>
      </c>
      <c r="F4" s="2439"/>
      <c r="G4" s="2434" t="s">
        <v>1133</v>
      </c>
      <c r="H4" s="43" t="s">
        <v>1113</v>
      </c>
      <c r="I4" s="802">
        <f>ROUND(SUMIF('数据-基础表'!I9:AS9,"地上",'数据-基础表'!I5:AS5)/'数据-基础表'!A3,2)</f>
        <v>7.93</v>
      </c>
      <c r="J4" s="2439"/>
      <c r="K4" s="2439"/>
      <c r="L4" s="2439"/>
      <c r="M4" s="2439"/>
      <c r="N4" s="2440"/>
      <c r="O4" s="2439"/>
      <c r="P4" s="2439"/>
    </row>
    <row r="5" spans="1:16">
      <c r="A5" s="42" t="s">
        <v>1109</v>
      </c>
      <c r="B5" s="3264" t="s">
        <v>1110</v>
      </c>
      <c r="C5" s="3264"/>
      <c r="D5" s="43">
        <f>ROUND($D$3*E5/$E$3,2)</f>
        <v>0</v>
      </c>
      <c r="E5" s="44">
        <f>SUMIF('数据-基础表'!$11:$11,"住宅",'数据-基础表'!$5:$5)</f>
        <v>0</v>
      </c>
      <c r="F5" s="2439"/>
      <c r="G5" s="42"/>
      <c r="H5" s="43" t="s">
        <v>1106</v>
      </c>
      <c r="I5" s="802">
        <f>ROUND(E31/D31,2)</f>
        <v>7.93</v>
      </c>
      <c r="J5" s="2439"/>
      <c r="K5" s="2439"/>
      <c r="L5" s="2439"/>
      <c r="M5" s="2439"/>
      <c r="N5" s="2439"/>
      <c r="O5" s="2439"/>
      <c r="P5" s="2439"/>
    </row>
    <row r="6" spans="1:16" ht="15" thickBot="1">
      <c r="A6" s="1527"/>
      <c r="B6" s="3264" t="s">
        <v>1111</v>
      </c>
      <c r="C6" s="3264"/>
      <c r="D6" s="43">
        <f>ROUND($D$3*E6/$E$3,2)</f>
        <v>231.72</v>
      </c>
      <c r="E6" s="44">
        <f>E3-E5</f>
        <v>1836.72</v>
      </c>
      <c r="F6" s="2439"/>
      <c r="G6" s="1529" t="s">
        <v>1112</v>
      </c>
      <c r="H6" s="45" t="s">
        <v>1113</v>
      </c>
      <c r="I6" s="2435">
        <f>ROUND(F31/D31,2)</f>
        <v>7.93</v>
      </c>
      <c r="J6" s="2439"/>
      <c r="K6" s="2439"/>
      <c r="L6" s="2439"/>
      <c r="M6" s="2439"/>
      <c r="N6" s="2439"/>
      <c r="O6" s="2439"/>
      <c r="P6" s="2439"/>
    </row>
    <row r="7" spans="1:16" ht="15.75" thickBot="1">
      <c r="A7" s="3256"/>
      <c r="B7" s="3257"/>
      <c r="C7" s="325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231.72</v>
      </c>
      <c r="E8" s="46">
        <f>SUMIF('数据-基础表'!BB10:BK10,"地上",'数据-基础表'!BB5:BK5)</f>
        <v>1836.72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231.72</v>
      </c>
      <c r="E16" s="48">
        <f>SUM(E8:E15)</f>
        <v>1836.72</v>
      </c>
      <c r="F16" s="2439"/>
      <c r="G16" s="2439"/>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3415</v>
      </c>
      <c r="D19" s="43">
        <f>ROUND($D$3*E19/$E$3,2)</f>
        <v>231.72</v>
      </c>
      <c r="E19" s="51">
        <f t="shared" ref="E19:E26" si="1">SUM(F19:G19)</f>
        <v>1836.72</v>
      </c>
      <c r="F19" s="2557">
        <f>'数据-基础表'!I5</f>
        <v>1836.72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231.72</v>
      </c>
      <c r="S19" s="51">
        <f t="shared" si="5"/>
        <v>1836.72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231.72</v>
      </c>
      <c r="E27" s="1073">
        <f>IF(SUM(E19:E26)='数据-基础表'!BA5,SUM(E19:E26),IF(F27="地上面积有误","面积有误","地下面积有误"))</f>
        <v>1836.72</v>
      </c>
      <c r="F27" s="1072">
        <f>IF(SUM(F19:F26)=E8,SUM(F19:F26),"地上面积有误")</f>
        <v>1836.72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231.72</v>
      </c>
      <c r="S27" s="43">
        <f>IF(SUM(S19:S26)=$E$3,SUM(S19:S26),SUM(S19:S26)&amp;"误差"&amp;ROUND(SUM(S19:S26)-E3,2))</f>
        <v>1836.72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231.72</v>
      </c>
      <c r="E31" s="643">
        <f>E27+E30</f>
        <v>1836.72</v>
      </c>
      <c r="F31" s="644">
        <f>F27+F30</f>
        <v>1836.72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55596</v>
      </c>
      <c r="F6" s="61">
        <f>SUMIF(项目基本情况!C$12:I$12,C6,项目基本情况!C$15:I$15)</f>
        <v>26.38</v>
      </c>
      <c r="G6" s="62">
        <f>IF(ISERROR(ROUND(POWER(1+H6,D6-F6)*(POWER(1+H6,F6)-1)/(POWER(1+H6,D6)-1),3)),0,ROUND(POWER(1+H6,D6-F6)*(POWER(1+H6,F6)-1)/(POWER(1+H6,D6)-1),3))</f>
        <v>0.79300000000000004</v>
      </c>
      <c r="H6" s="691">
        <v>0.05</v>
      </c>
      <c r="I6" s="691">
        <v>5.5E-2</v>
      </c>
      <c r="J6" s="63">
        <v>7.0000000000000007E-2</v>
      </c>
      <c r="K6" s="970">
        <f>SUMIF('数据-汇总表'!C$19:C$33,A6,'数据-汇总表'!E$19:E$33)</f>
        <v>1836.72</v>
      </c>
      <c r="L6" s="692">
        <v>4000</v>
      </c>
      <c r="M6" s="64">
        <f t="shared" ref="M6:M14" si="0">ROUND(K6*L6/10000,0)</f>
        <v>735</v>
      </c>
      <c r="N6" s="690">
        <f>N21</f>
        <v>0.69</v>
      </c>
      <c r="O6" s="64" t="str">
        <f>IF($N$5="成新度","——",ROUND(M6*N6,0))</f>
        <v>——</v>
      </c>
      <c r="P6" s="65" t="str">
        <f>IF($N$5="成新度","——",M6-O6)</f>
        <v>——</v>
      </c>
      <c r="Q6" s="693">
        <v>0.15</v>
      </c>
      <c r="R6" s="66">
        <f ca="1">SUMIF('数据-汇总表'!C$19:C$33,A6,'数据-汇总表'!R$19:R$27)</f>
        <v>231.72</v>
      </c>
      <c r="S6" s="49">
        <f>IF('数据-汇总表'!$I$17="按面积比例",SUMIF('数据-汇总表'!C$19:C$33,A6,'数据-汇总表'!K$19:K$33),SUMIF('数据-汇总表'!C$19:C$33,A6,'数据-汇总表'!N$19:N$33))</f>
        <v>0</v>
      </c>
      <c r="T6" s="1092">
        <f>ROUND($L$14*S6/10000,0)</f>
        <v>0</v>
      </c>
      <c r="U6" s="3126">
        <f>租金比较法!C50</f>
        <v>4.4000000000000004</v>
      </c>
      <c r="V6" s="67">
        <v>0.02</v>
      </c>
      <c r="W6" s="67">
        <v>0.1</v>
      </c>
      <c r="X6" s="979"/>
      <c r="Y6" s="68">
        <f>N6</f>
        <v>0.69</v>
      </c>
      <c r="Z6" s="69"/>
      <c r="AA6" s="63"/>
      <c r="AB6" s="63"/>
      <c r="AC6" s="979"/>
      <c r="AD6" s="70"/>
      <c r="AE6" s="980">
        <f ca="1">IF(AN6="",0,SUMIF(INDIRECT("'"&amp;AN6&amp;"'"&amp;"!E:E"),$AE$5,INDIRECT("'"&amp;AN6&amp;"'"&amp;"!F:F")))</f>
        <v>26.38</v>
      </c>
      <c r="AF6" s="74"/>
      <c r="AG6" s="130">
        <f>IF(AF6="",0,AE6-AF6)</f>
        <v>0</v>
      </c>
      <c r="AH6" s="71"/>
      <c r="AI6" s="73">
        <v>365</v>
      </c>
      <c r="AJ6" s="74"/>
      <c r="AK6" s="75">
        <v>2E-3</v>
      </c>
      <c r="AL6" s="76">
        <v>1E-3</v>
      </c>
      <c r="AM6" s="77">
        <v>5.0000000000000001E-3</v>
      </c>
      <c r="AN6" s="1589" t="s">
        <v>3421</v>
      </c>
      <c r="AO6" s="50">
        <f ca="1">SUMIF(INDIRECT("'"&amp;AN6&amp;"'"&amp;"!A:A"),"总价",INDIRECT("'"&amp;AN6&amp;"'"&amp;"!B:B"))</f>
        <v>3701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0.79300000000000004</v>
      </c>
      <c r="H16" s="84">
        <f>ROUND(SUMPRODUCT(H6:H13,K6:K13)/SUMPRODUCT((H6:H13&gt;0)*(K6:K13)),3)</f>
        <v>0.05</v>
      </c>
      <c r="I16" s="85"/>
      <c r="J16" s="85"/>
      <c r="K16" s="86">
        <f>SUM(K6:K15)</f>
        <v>1836.72</v>
      </c>
      <c r="L16" s="87">
        <f>ROUND(M16*10000/SUM(K6:K14),0)</f>
        <v>4002</v>
      </c>
      <c r="M16" s="87">
        <f>SUM(M6:M14)</f>
        <v>735</v>
      </c>
      <c r="N16" s="88">
        <f>ROUND(SUMPRODUCT(M6:M14,N6:N14)/M16,3)</f>
        <v>0.69</v>
      </c>
      <c r="O16" s="87">
        <f>SUM(O6:O14)</f>
        <v>0</v>
      </c>
      <c r="P16" s="87">
        <f>SUM(P6:P14)</f>
        <v>0</v>
      </c>
      <c r="Q16" s="89">
        <f>ROUND(SUMPRODUCT(Q6:Q13,K6:K13)/SUMPRODUCT((Q6:Q13&gt;0)*(K6:K13)),2)</f>
        <v>0.15</v>
      </c>
      <c r="R16" s="974">
        <f ca="1">SUM(R6:R13)</f>
        <v>231.72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3171" t="s">
        <v>3439</v>
      </c>
      <c r="N19" s="2449">
        <f>ROUND(1-(1-0)*(2025-2000)/60,2)</f>
        <v>0.57999999999999996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1" t="s">
        <v>2291</v>
      </c>
      <c r="D20" s="2452"/>
      <c r="E20" s="2439"/>
      <c r="F20" s="2439"/>
      <c r="G20" s="2439"/>
      <c r="H20" s="2439"/>
      <c r="I20" s="2439"/>
      <c r="J20" s="2439"/>
      <c r="K20" s="2450"/>
      <c r="L20" s="2450"/>
      <c r="M20" s="3171" t="s">
        <v>3440</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0.69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4"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4"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3.1300000000000001E-2</v>
      </c>
      <c r="C40" s="2572"/>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5" t="s">
        <v>2277</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1836.72</v>
      </c>
      <c r="C1" s="2462"/>
      <c r="D1" s="2462"/>
      <c r="E1" s="2462"/>
      <c r="F1" s="2462"/>
      <c r="G1" s="2463"/>
      <c r="H1" s="2463"/>
      <c r="I1" s="2463"/>
      <c r="J1" s="2463"/>
      <c r="K1" s="2463"/>
    </row>
    <row r="2" spans="1:11" ht="16.5">
      <c r="A2" s="2300" t="s">
        <v>653</v>
      </c>
      <c r="B2" s="2300">
        <f>SUM(C14:C23)</f>
        <v>231.72</v>
      </c>
      <c r="C2" s="2462"/>
      <c r="D2" s="2462"/>
      <c r="E2" s="2462"/>
      <c r="F2" s="2462"/>
      <c r="G2" s="2463"/>
      <c r="H2" s="2463"/>
      <c r="I2" s="2463"/>
      <c r="J2" s="2463"/>
      <c r="K2" s="2463"/>
    </row>
    <row r="3" spans="1:11" ht="16.5">
      <c r="A3" s="2300" t="s">
        <v>662</v>
      </c>
      <c r="B3" s="2302">
        <f>项目基本情况!D3</f>
        <v>45967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4515.5761000000002</v>
      </c>
      <c r="C5" s="2300">
        <f ca="1">IF(B5=D14,结果表!H102,ROUND(B5*10000/$B$1,0))</f>
        <v>0</v>
      </c>
      <c r="D5" s="2300">
        <f ca="1">ROUND(B5*10000/$B$2,0)</f>
        <v>194872</v>
      </c>
      <c r="E5" s="2462"/>
      <c r="F5" s="2463"/>
      <c r="G5" s="2463"/>
      <c r="H5" s="2463"/>
      <c r="I5" s="2463"/>
      <c r="J5" s="2463"/>
      <c r="K5" s="2463"/>
    </row>
    <row r="6" spans="1:11" ht="16.5">
      <c r="A6" s="2300" t="s">
        <v>656</v>
      </c>
      <c r="B6" s="2300">
        <f ca="1">SUM(G14:G23)</f>
        <v>4515.5761000000002</v>
      </c>
      <c r="C6" s="2300">
        <f ca="1">IF(B6=G14,结果表!H108,ROUND(B6*10000/$B$1,0))</f>
        <v>0</v>
      </c>
      <c r="D6" s="2300">
        <f ca="1">ROUND(B6*10000/$B$2,0)</f>
        <v>194872</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6"/>
      <c r="F10" s="3140" t="s">
        <v>3347</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1836.72</v>
      </c>
      <c r="C14" s="2306">
        <f>'数据-汇总表'!D3</f>
        <v>231.72</v>
      </c>
      <c r="D14" s="2306">
        <f ca="1">结果表!G22/10000</f>
        <v>4515.5761000000002</v>
      </c>
      <c r="E14" s="2306">
        <f ca="1">ROUND(D14*10000/B14,0)</f>
        <v>24585</v>
      </c>
      <c r="F14" s="2306">
        <f ca="1">ROUND(D14*10000/C14,0)</f>
        <v>194872</v>
      </c>
      <c r="G14" s="2306">
        <f ca="1">D14</f>
        <v>4515.5761000000002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4" t="str">
        <f>项目基本情况!S2</f>
        <v>北京市房地产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4" t="s">
        <v>1265</v>
      </c>
      <c r="B4" s="1625" t="s">
        <v>1266</v>
      </c>
      <c r="C4" s="1626" t="s">
        <v>3466</v>
      </c>
      <c r="D4" s="1626" t="s">
        <v>3477</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337">
        <v>25</v>
      </c>
      <c r="C5" s="3340"/>
      <c r="D5" s="3328"/>
      <c r="E5" s="123" t="s">
        <v>1269</v>
      </c>
      <c r="F5" s="1627"/>
      <c r="G5" s="1627"/>
      <c r="H5" s="1627"/>
      <c r="I5" s="1281"/>
    </row>
    <row r="6" spans="1:12" ht="12.75">
      <c r="A6" s="3282"/>
      <c r="B6" s="3337"/>
      <c r="C6" s="3342"/>
      <c r="D6" s="3328"/>
      <c r="E6" s="123" t="s">
        <v>1270</v>
      </c>
      <c r="F6" s="1627"/>
      <c r="G6" s="1627"/>
      <c r="H6" s="1627"/>
      <c r="I6" s="1281"/>
    </row>
    <row r="7" spans="1:12" ht="12.75">
      <c r="A7" s="3282"/>
      <c r="B7" s="3337"/>
      <c r="C7" s="3341"/>
      <c r="D7" s="3328"/>
      <c r="E7" s="123" t="s">
        <v>1271</v>
      </c>
      <c r="F7" s="1627"/>
      <c r="G7" s="1627"/>
      <c r="H7" s="1627"/>
      <c r="I7" s="1281"/>
    </row>
    <row r="8" spans="1:12" ht="12.75">
      <c r="A8" s="3282" t="s">
        <v>1272</v>
      </c>
      <c r="B8" s="3337">
        <v>15</v>
      </c>
      <c r="C8" s="3340"/>
      <c r="D8" s="3328"/>
      <c r="E8" s="123" t="s">
        <v>1273</v>
      </c>
      <c r="F8" s="1627"/>
      <c r="G8" s="1627"/>
      <c r="H8" s="1627"/>
      <c r="I8" s="1281"/>
    </row>
    <row r="9" spans="1:12" ht="12.75">
      <c r="A9" s="3282"/>
      <c r="B9" s="3337"/>
      <c r="C9" s="3341"/>
      <c r="D9" s="3328"/>
      <c r="E9" s="123" t="s">
        <v>1274</v>
      </c>
      <c r="F9" s="1627"/>
      <c r="G9" s="1627"/>
      <c r="H9" s="1627"/>
      <c r="I9" s="1281"/>
    </row>
    <row r="10" spans="1:12" ht="12.75">
      <c r="A10" s="3282" t="s">
        <v>1275</v>
      </c>
      <c r="B10" s="3337">
        <v>15</v>
      </c>
      <c r="C10" s="3340"/>
      <c r="D10" s="3328"/>
      <c r="E10" s="123" t="s">
        <v>1276</v>
      </c>
      <c r="F10" s="1627"/>
      <c r="G10" s="1627"/>
      <c r="H10" s="1627"/>
      <c r="I10" s="1281"/>
    </row>
    <row r="11" spans="1:12" ht="12.75">
      <c r="A11" s="3282"/>
      <c r="B11" s="3337"/>
      <c r="C11" s="3341"/>
      <c r="D11" s="3328"/>
      <c r="E11" s="123" t="s">
        <v>1277</v>
      </c>
      <c r="F11" s="1627"/>
      <c r="G11" s="1627"/>
      <c r="H11" s="1627"/>
      <c r="I11" s="1281"/>
    </row>
    <row r="12" spans="1:12" ht="12.75">
      <c r="A12" s="3282" t="s">
        <v>1278</v>
      </c>
      <c r="B12" s="3337">
        <v>15</v>
      </c>
      <c r="C12" s="3340"/>
      <c r="D12" s="3328"/>
      <c r="E12" s="123" t="s">
        <v>1279</v>
      </c>
      <c r="F12" s="1627"/>
      <c r="G12" s="1627"/>
      <c r="H12" s="1627"/>
      <c r="I12" s="1281"/>
    </row>
    <row r="13" spans="1:12" ht="12.75">
      <c r="A13" s="3282"/>
      <c r="B13" s="3337"/>
      <c r="C13" s="3341"/>
      <c r="D13" s="3328"/>
      <c r="E13" s="123" t="s">
        <v>1280</v>
      </c>
      <c r="F13" s="1627"/>
      <c r="G13" s="1627"/>
      <c r="H13" s="1627"/>
      <c r="I13" s="1281"/>
    </row>
    <row r="14" spans="1:12" ht="12.75">
      <c r="A14" s="3282" t="s">
        <v>1281</v>
      </c>
      <c r="B14" s="3337">
        <v>30</v>
      </c>
      <c r="C14" s="3340">
        <v>6</v>
      </c>
      <c r="D14" s="3328">
        <v>4</v>
      </c>
      <c r="E14" s="123" t="s">
        <v>1282</v>
      </c>
      <c r="F14" s="1627"/>
      <c r="G14" s="1627"/>
      <c r="H14" s="1627"/>
      <c r="I14" s="1281"/>
    </row>
    <row r="15" spans="1:12" ht="12.75">
      <c r="A15" s="3282"/>
      <c r="B15" s="3337"/>
      <c r="C15" s="3342"/>
      <c r="D15" s="3328"/>
      <c r="E15" s="123" t="s">
        <v>1283</v>
      </c>
      <c r="F15" s="1627"/>
      <c r="G15" s="1627"/>
      <c r="H15" s="1627"/>
      <c r="I15" s="1281"/>
    </row>
    <row r="16" spans="1:12" ht="12.75">
      <c r="A16" s="3282"/>
      <c r="B16" s="3337"/>
      <c r="C16" s="3341"/>
      <c r="D16" s="332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9" t="s">
        <v>2131</v>
      </c>
      <c r="F18" s="3360"/>
      <c r="G18" s="3360"/>
      <c r="H18" s="3360"/>
      <c r="I18" s="3360"/>
      <c r="K18" s="294" t="s">
        <v>1289</v>
      </c>
      <c r="L18" s="294">
        <f>IF(C1="",'数据-汇总表'!E3,SUMIF(项目类型,C1,'数据-汇总表'!E17:E26)+SUMIF(项目类型,C1,'数据-汇总表'!I17:I26))</f>
        <v>1836.72</v>
      </c>
      <c r="M18" s="294">
        <f>IF(C1="",'数据-汇总表'!E3,SUMIF(项目类型,C1,'数据-汇总表'!E17:E26))</f>
        <v>1836.72</v>
      </c>
    </row>
    <row r="19" spans="1:36" ht="15">
      <c r="A19" s="1630" t="s">
        <v>1290</v>
      </c>
      <c r="B19" s="1631" t="s">
        <v>1291</v>
      </c>
      <c r="C19" s="126">
        <f ca="1">SUMIF(INDIRECT("'"&amp;C4&amp;"'"&amp;"!A:A"),结果表!B19,INDIRECT("'"&amp;C4&amp;"'"&amp;"!B:B"))</f>
        <v>5051.1637000000001</v>
      </c>
      <c r="D19" s="127">
        <f ca="1">SUMIF(INDIRECT("'"&amp;D4&amp;"'"&amp;"!A:A"),结果表!B19,INDIRECT("'"&amp;D4&amp;"'"&amp;"!B:B"))</f>
        <v>3712.2763</v>
      </c>
      <c r="E19" s="1630" t="s">
        <v>1292</v>
      </c>
      <c r="F19" s="1631" t="s">
        <v>1291</v>
      </c>
      <c r="G19" s="128">
        <f ca="1">ROUND(C19*$C$18+D19*$D$18,0)</f>
        <v>4516</v>
      </c>
      <c r="H19" s="1632" t="s">
        <v>1293</v>
      </c>
      <c r="I19" s="121"/>
      <c r="K19" s="294" t="s">
        <v>1294</v>
      </c>
      <c r="L19" s="294">
        <f>IF(C1="",'数据-汇总表'!D3,SUMIF(项目类型,C1,'数据-汇总表'!D17:D26)+SUMIF(项目类型,C1,'数据-汇总表'!H17:H27))</f>
        <v>231.72</v>
      </c>
      <c r="M19" s="294">
        <f>IF(C1="",'数据-汇总表'!D3,SUMIF(项目类型,C1,'数据-汇总表'!D17:D26))</f>
        <v>231.72</v>
      </c>
    </row>
    <row r="20" spans="1:36" ht="15">
      <c r="A20" s="1633"/>
      <c r="B20" s="43" t="s">
        <v>1295</v>
      </c>
      <c r="C20" s="129">
        <f ca="1">SUMIF(INDIRECT("'"&amp;C4&amp;"'"&amp;"!A:A"),结果表!B20,INDIRECT("'"&amp;C4&amp;"'"&amp;"!B:B"))</f>
        <v>27501</v>
      </c>
      <c r="D20" s="130">
        <f ca="1">SUMIF(INDIRECT("'"&amp;D4&amp;"'"&amp;"!A:A"),结果表!B20,INDIRECT("'"&amp;D4&amp;"'"&amp;"!B:B"))</f>
        <v>20211</v>
      </c>
      <c r="E20" s="1633"/>
      <c r="F20" s="43" t="s">
        <v>1295</v>
      </c>
      <c r="G20" s="131">
        <f ca="1">ROUND(C20*$C$18+D20*$D$18,0)</f>
        <v>24585</v>
      </c>
      <c r="H20" s="760" t="s">
        <v>1296</v>
      </c>
      <c r="I20" s="121"/>
    </row>
    <row r="21" spans="1:36" ht="15" customHeight="1" thickBot="1">
      <c r="A21" s="449"/>
      <c r="B21" s="93" t="s">
        <v>1297</v>
      </c>
      <c r="C21" s="678">
        <f ca="1">ROUND(C19*10000/L19,0)</f>
        <v>217986</v>
      </c>
      <c r="D21" s="679">
        <f ca="1">ROUND(D19*10000/L19,0)</f>
        <v>160205</v>
      </c>
      <c r="E21" s="449"/>
      <c r="F21" s="93" t="s">
        <v>1297</v>
      </c>
      <c r="G21" s="132">
        <f ca="1">ROUND(G19*10000/L19,0)</f>
        <v>194890</v>
      </c>
      <c r="H21" s="1634" t="s">
        <v>1296</v>
      </c>
      <c r="I21" s="121"/>
    </row>
    <row r="22" spans="1:36" ht="15" thickBot="1">
      <c r="A22" s="1564" t="s">
        <v>1298</v>
      </c>
      <c r="B22" s="1635"/>
      <c r="C22" s="1636"/>
      <c r="D22" s="680">
        <f ca="1">IF(C19&lt;D19,D19/C19-1,C19/D19-1)</f>
        <v>0.36066480288657399</v>
      </c>
      <c r="E22" s="121"/>
      <c r="F22" s="3520" t="s">
        <v>3478</v>
      </c>
      <c r="G22" s="121">
        <f ca="1">ROUND(G20*'数据-汇总表'!E3,0)</f>
        <v>45155761</v>
      </c>
      <c r="H22" s="3521" t="s">
        <v>3479</v>
      </c>
      <c r="I22" s="121"/>
    </row>
    <row r="23" spans="1:36" ht="13.5" thickBot="1">
      <c r="A23" s="646"/>
      <c r="B23" s="646"/>
      <c r="C23" s="646"/>
      <c r="D23" s="646"/>
      <c r="E23" s="121"/>
      <c r="F23" s="121"/>
      <c r="G23" s="121"/>
      <c r="H23" s="121"/>
      <c r="I23" s="121"/>
    </row>
    <row r="24" spans="1:36" ht="14.25">
      <c r="A24" s="3352" t="s">
        <v>1299</v>
      </c>
      <c r="B24" s="1631" t="s">
        <v>1291</v>
      </c>
      <c r="C24" s="128">
        <f>IF(B30=0,0,D30)</f>
        <v>0</v>
      </c>
      <c r="D24" s="1637"/>
      <c r="E24" s="121"/>
      <c r="F24" s="121"/>
      <c r="G24" s="121"/>
      <c r="H24" s="121"/>
      <c r="I24" s="121"/>
    </row>
    <row r="25" spans="1:36" ht="14.25">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24585</v>
      </c>
      <c r="D32" s="1641"/>
      <c r="E32" s="121"/>
      <c r="F32" s="121"/>
      <c r="G32" s="121"/>
      <c r="H32" s="121"/>
      <c r="I32" s="121"/>
    </row>
    <row r="33" spans="1:17" ht="15">
      <c r="A33" s="740" t="s">
        <v>1306</v>
      </c>
      <c r="B33" s="123"/>
      <c r="C33" s="1642"/>
      <c r="D33" s="1643"/>
      <c r="E33" s="1644" t="s">
        <v>1307</v>
      </c>
      <c r="F33" s="1645" t="str">
        <f>IF(D32="楼面单价","取值（单价）","取值（总价）")</f>
        <v>取值（总价）</v>
      </c>
      <c r="G33" s="121"/>
      <c r="H33" s="121"/>
      <c r="I33" s="121"/>
    </row>
    <row r="34" spans="1:17"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7"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7" ht="15.75" thickBot="1">
      <c r="A36" s="3329" t="s">
        <v>1312</v>
      </c>
      <c r="B36" s="1652" t="s">
        <v>1313</v>
      </c>
      <c r="C36" s="137"/>
      <c r="D36" s="1653"/>
      <c r="E36" s="1567"/>
      <c r="F36" s="1654"/>
      <c r="G36" s="121"/>
      <c r="H36" s="121"/>
      <c r="I36" s="121"/>
    </row>
    <row r="37" spans="1:17" ht="15.75" thickBot="1">
      <c r="A37" s="3330"/>
      <c r="B37" s="1555" t="s">
        <v>1314</v>
      </c>
      <c r="C37" s="139"/>
      <c r="D37" s="1071"/>
      <c r="E37" s="1071"/>
      <c r="F37" s="1654"/>
      <c r="G37" s="121"/>
      <c r="H37" s="121"/>
      <c r="I37" s="121"/>
    </row>
    <row r="38" spans="1:17" ht="15.75" thickBot="1">
      <c r="A38" s="3331"/>
      <c r="B38" s="1655" t="s">
        <v>1315</v>
      </c>
      <c r="C38" s="641"/>
      <c r="D38" s="1656" t="s">
        <v>1316</v>
      </c>
      <c r="E38" s="1071"/>
      <c r="F38" s="1654"/>
      <c r="G38" s="121"/>
      <c r="H38" s="121"/>
      <c r="I38" s="121"/>
    </row>
    <row r="39" spans="1:17" ht="15">
      <c r="A39" s="1633" t="s">
        <v>1317</v>
      </c>
      <c r="B39" s="1657" t="s">
        <v>1318</v>
      </c>
      <c r="C39" s="1658" t="s">
        <v>1319</v>
      </c>
      <c r="D39" s="1658" t="s">
        <v>1320</v>
      </c>
      <c r="E39" s="1659" t="s">
        <v>1321</v>
      </c>
      <c r="F39" s="1654"/>
      <c r="G39" s="121"/>
      <c r="H39" s="121"/>
      <c r="I39" s="121"/>
    </row>
    <row r="40" spans="1:17" ht="14.25">
      <c r="A40" s="1660" t="s">
        <v>1322</v>
      </c>
      <c r="B40" s="141"/>
      <c r="C40" s="142"/>
      <c r="D40" s="142"/>
      <c r="E40" s="143"/>
      <c r="F40" s="1654"/>
      <c r="G40" s="121"/>
      <c r="H40" s="121"/>
      <c r="I40" s="121"/>
    </row>
    <row r="41" spans="1:17" ht="14.25">
      <c r="A41" s="1660" t="s">
        <v>1323</v>
      </c>
      <c r="B41" s="141"/>
      <c r="C41" s="142"/>
      <c r="D41" s="142"/>
      <c r="E41" s="143"/>
      <c r="F41" s="1654"/>
      <c r="G41" s="121"/>
      <c r="H41" s="121"/>
      <c r="I41" s="121"/>
    </row>
    <row r="42" spans="1:17" ht="15" thickBot="1">
      <c r="A42" s="1661"/>
      <c r="B42" s="144"/>
      <c r="C42" s="145"/>
      <c r="D42" s="145"/>
      <c r="E42" s="146"/>
      <c r="F42" s="1654"/>
      <c r="G42" s="121"/>
      <c r="H42" s="121"/>
      <c r="I42" s="121"/>
    </row>
    <row r="43" spans="1:17" ht="12.75">
      <c r="A43" s="1467"/>
      <c r="B43" s="1467"/>
      <c r="C43" s="1467"/>
      <c r="D43" s="1467"/>
      <c r="E43" s="1467"/>
      <c r="F43" s="1662"/>
      <c r="G43" s="1662"/>
      <c r="H43" s="1662"/>
      <c r="I43" s="1663"/>
    </row>
    <row r="44" spans="1:17" ht="18.75">
      <c r="A44" s="1464" t="s">
        <v>1324</v>
      </c>
      <c r="B44" s="1664"/>
      <c r="C44" s="1664"/>
      <c r="D44" s="1665"/>
      <c r="E44" s="1665"/>
      <c r="F44" s="1666"/>
      <c r="G44" s="1666"/>
      <c r="H44" s="1666"/>
      <c r="I44" s="1666"/>
      <c r="J44" s="1667" t="s">
        <v>1325</v>
      </c>
      <c r="K44" s="4"/>
      <c r="L44" s="4"/>
      <c r="M44" s="4"/>
      <c r="N44" s="4"/>
      <c r="O44" s="4"/>
    </row>
    <row r="45" spans="1:17" ht="14.25" customHeight="1" thickBot="1">
      <c r="A45" s="3349" t="s">
        <v>1326</v>
      </c>
      <c r="B45" s="3350"/>
      <c r="C45" s="3351"/>
      <c r="D45" s="147" t="e">
        <f ca="1">ROUND(H101*F45,0)</f>
        <v>#REF!</v>
      </c>
      <c r="E45" s="148" t="s">
        <v>1327</v>
      </c>
      <c r="F45" s="149">
        <v>1</v>
      </c>
      <c r="G45" s="150" t="s">
        <v>1328</v>
      </c>
      <c r="H45" s="121"/>
      <c r="I45" s="121"/>
      <c r="J45" s="3269" t="s">
        <v>1329</v>
      </c>
      <c r="K45" s="3269"/>
      <c r="L45" s="3269"/>
      <c r="M45" s="3269"/>
      <c r="N45" s="3269"/>
      <c r="O45" s="3269"/>
      <c r="P45" s="3518"/>
    </row>
    <row r="46" spans="1:17" ht="14.25" customHeight="1">
      <c r="A46" s="3346" t="s">
        <v>1330</v>
      </c>
      <c r="B46" s="3347"/>
      <c r="C46" s="3347"/>
      <c r="D46" s="3347"/>
      <c r="E46" s="3347"/>
      <c r="F46" s="3347"/>
      <c r="G46" s="3348"/>
      <c r="H46" s="1668"/>
      <c r="I46" s="151"/>
      <c r="J46" s="2310">
        <v>1</v>
      </c>
      <c r="K46" s="3270" t="s">
        <v>1331</v>
      </c>
      <c r="L46" s="3270"/>
      <c r="M46" s="3271"/>
      <c r="N46" s="3271"/>
      <c r="O46" s="3271"/>
      <c r="P46" s="3518"/>
    </row>
    <row r="47" spans="1:17" ht="12" customHeight="1">
      <c r="A47" s="152" t="s">
        <v>1332</v>
      </c>
      <c r="B47" s="153"/>
      <c r="C47" s="154"/>
      <c r="D47" s="1024" t="s">
        <v>1333</v>
      </c>
      <c r="E47" s="294" t="s">
        <v>1334</v>
      </c>
      <c r="F47" s="155" t="s">
        <v>1335</v>
      </c>
      <c r="G47" s="2333" t="s">
        <v>1336</v>
      </c>
      <c r="H47" s="2334"/>
      <c r="I47" s="151"/>
      <c r="J47" s="2310">
        <v>2</v>
      </c>
      <c r="K47" s="3270" t="s">
        <v>1337</v>
      </c>
      <c r="L47" s="3270"/>
      <c r="M47" s="3272">
        <f>'数据-取费表'!B2</f>
        <v>45967</v>
      </c>
      <c r="N47" s="3272"/>
      <c r="O47" s="3272"/>
      <c r="P47" s="3518"/>
    </row>
    <row r="48" spans="1:17" ht="25.5">
      <c r="A48" s="3332" t="s">
        <v>1338</v>
      </c>
      <c r="B48" s="3333"/>
      <c r="C48" s="333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0" t="s">
        <v>1340</v>
      </c>
      <c r="L48" s="3270"/>
      <c r="M48" s="3273" t="e">
        <f ca="1">H101</f>
        <v>#REF!</v>
      </c>
      <c r="N48" s="3273"/>
      <c r="O48" s="3273"/>
      <c r="P48" s="1708">
        <f ca="1">ROUND(G20*B118,0)</f>
        <v>45155761</v>
      </c>
      <c r="Q48" s="684">
        <f ca="1">G20</f>
        <v>24585</v>
      </c>
    </row>
    <row r="49" spans="1:35" ht="25.5" customHeight="1">
      <c r="A49" s="2152" t="s">
        <v>1341</v>
      </c>
      <c r="B49" s="3318" t="s">
        <v>1342</v>
      </c>
      <c r="C49" s="3318"/>
      <c r="D49" s="1478">
        <v>0</v>
      </c>
      <c r="E49" s="316" t="s">
        <v>1343</v>
      </c>
      <c r="F49" s="2233" t="s">
        <v>28</v>
      </c>
      <c r="G49" s="3301"/>
      <c r="H49" s="2134" t="s">
        <v>2134</v>
      </c>
      <c r="I49" s="2135"/>
      <c r="J49" s="2310">
        <v>4</v>
      </c>
      <c r="K49" s="3270" t="str">
        <f>IF(项目基本情况!E8="房地产抵押价值","房地产抵押价值","抵押担保权已注销时的房地产抵押价值")</f>
        <v>房地产抵押价值</v>
      </c>
      <c r="L49" s="3270"/>
      <c r="M49" s="3273" t="str">
        <f ca="1">IF(项目基本情况!E8="房地产抵押价值",H107,H109)</f>
        <v>——</v>
      </c>
      <c r="N49" s="3273"/>
      <c r="O49" s="3273"/>
      <c r="P49" s="1708"/>
    </row>
    <row r="50" spans="1:35" ht="25.5" customHeight="1">
      <c r="A50" s="2338"/>
      <c r="B50" s="3318" t="s">
        <v>1344</v>
      </c>
      <c r="C50" s="3318"/>
      <c r="D50" s="2189"/>
      <c r="E50" s="323"/>
      <c r="F50" s="2233"/>
      <c r="G50" s="3302"/>
      <c r="H50" s="2136" t="s">
        <v>2135</v>
      </c>
      <c r="I50" s="2135"/>
      <c r="J50" s="3269" t="s">
        <v>1345</v>
      </c>
      <c r="K50" s="3269"/>
      <c r="L50" s="3269"/>
      <c r="M50" s="3269"/>
      <c r="N50" s="3269"/>
      <c r="O50" s="3269"/>
      <c r="P50" s="1708"/>
    </row>
    <row r="51" spans="1:35" ht="20.45" customHeight="1">
      <c r="A51" s="2339"/>
      <c r="B51" s="3318" t="s">
        <v>1346</v>
      </c>
      <c r="C51" s="3318"/>
      <c r="D51" s="1024"/>
      <c r="E51" s="319"/>
      <c r="F51" s="2233"/>
      <c r="G51" s="3303"/>
      <c r="H51" s="2136" t="s">
        <v>2136</v>
      </c>
      <c r="I51" s="2135"/>
      <c r="J51" s="2311" t="s">
        <v>1347</v>
      </c>
      <c r="K51" s="3270" t="s">
        <v>1348</v>
      </c>
      <c r="L51" s="3270"/>
      <c r="M51" s="2311" t="s">
        <v>1349</v>
      </c>
      <c r="N51" s="2311" t="s">
        <v>1350</v>
      </c>
      <c r="O51" s="2311" t="s">
        <v>1351</v>
      </c>
      <c r="P51" s="1708"/>
    </row>
    <row r="52" spans="1:35" ht="24" customHeight="1">
      <c r="A52" s="2153" t="s">
        <v>1352</v>
      </c>
      <c r="B52" s="3318" t="s">
        <v>1353</v>
      </c>
      <c r="C52" s="3318"/>
      <c r="D52" s="1024" t="e">
        <f ca="1">ROUND(D45*'数据-取费表'!B41/(1+'数据-取费表'!C42),0)</f>
        <v>#REF!</v>
      </c>
      <c r="E52" s="1256" t="s">
        <v>1354</v>
      </c>
      <c r="F52" s="2340">
        <f>'数据-取费表'!B41</f>
        <v>5.6000000000000001E-2</v>
      </c>
      <c r="G52" s="2341"/>
      <c r="H52" s="2331"/>
      <c r="I52" s="1669"/>
      <c r="J52" s="2310">
        <v>1</v>
      </c>
      <c r="K52" s="3295" t="s">
        <v>1355</v>
      </c>
      <c r="L52" s="3295"/>
      <c r="M52" s="2312" t="b">
        <f>D48</f>
        <v>0</v>
      </c>
      <c r="N52" s="2310" t="str">
        <f>E48</f>
        <v>销售额×税（费）率</v>
      </c>
      <c r="O52" s="2313">
        <f>F48</f>
        <v>5.6000000000000001E-2</v>
      </c>
      <c r="P52" s="1708">
        <f ca="1">ROUND(P48/(1+5%)*5.6%,0)</f>
        <v>2408307</v>
      </c>
    </row>
    <row r="53" spans="1:35" ht="12" customHeight="1">
      <c r="A53" s="2153" t="s">
        <v>1356</v>
      </c>
      <c r="B53" s="3319" t="s">
        <v>2282</v>
      </c>
      <c r="C53" s="3320"/>
      <c r="D53" s="1024" t="e">
        <f ca="1">ROUND(D45*'数据-取费表'!B41/(1+'数据-取费表'!C42),0)</f>
        <v>#REF!</v>
      </c>
      <c r="E53" s="1256" t="s">
        <v>1354</v>
      </c>
      <c r="F53" s="2340">
        <f>'数据-取费表'!B41</f>
        <v>5.6000000000000001E-2</v>
      </c>
      <c r="G53" s="2341"/>
      <c r="H53" s="2331"/>
      <c r="I53" s="1669"/>
      <c r="J53" s="2310">
        <v>2</v>
      </c>
      <c r="K53" s="3295" t="s">
        <v>1357</v>
      </c>
      <c r="L53" s="3295"/>
      <c r="M53" s="2312" t="e">
        <f t="shared" ref="M53:O54" ca="1" si="0">D55</f>
        <v>#REF!</v>
      </c>
      <c r="N53" s="2310" t="str">
        <f t="shared" si="0"/>
        <v>销售额×税（费）率</v>
      </c>
      <c r="O53" s="2313" t="str">
        <f t="shared" si="0"/>
        <v>免征</v>
      </c>
      <c r="P53" s="1708">
        <f ca="1">ROUND(G22*0.05%,0)</f>
        <v>22578</v>
      </c>
    </row>
    <row r="54" spans="1:35" ht="12" customHeight="1">
      <c r="A54" s="2153" t="s">
        <v>1358</v>
      </c>
      <c r="B54" s="3319" t="s">
        <v>2283</v>
      </c>
      <c r="C54" s="3320"/>
      <c r="D54" s="1024" t="e">
        <f ca="1">C68</f>
        <v>#REF!</v>
      </c>
      <c r="E54" s="319" t="s">
        <v>1359</v>
      </c>
      <c r="F54" s="2340">
        <f>'数据-取费表'!B41</f>
        <v>5.6000000000000001E-2</v>
      </c>
      <c r="G54" s="2341"/>
      <c r="H54" s="2342"/>
      <c r="I54" s="1669"/>
      <c r="J54" s="2310">
        <v>3</v>
      </c>
      <c r="K54" s="3295" t="s">
        <v>1360</v>
      </c>
      <c r="L54" s="3295"/>
      <c r="M54" s="2312" t="e">
        <f t="shared" ca="1" si="0"/>
        <v>#REF!</v>
      </c>
      <c r="N54" s="2310" t="str">
        <f t="shared" si="0"/>
        <v>增值额×税（费）率</v>
      </c>
      <c r="O54" s="2314" t="str">
        <f t="shared" si="0"/>
        <v>免征</v>
      </c>
      <c r="P54" s="1708">
        <f ca="1">ROUND(G22/(1+5%)*5%,0)</f>
        <v>2150274</v>
      </c>
    </row>
    <row r="55" spans="1:35" ht="24" customHeight="1">
      <c r="A55" s="3355" t="s">
        <v>1361</v>
      </c>
      <c r="B55" s="3333"/>
      <c r="C55" s="3333"/>
      <c r="D55" s="12" t="e">
        <f ca="1">IF(H55="个人住宅",0,ROUND(D45*I55,0))</f>
        <v>#REF!</v>
      </c>
      <c r="E55" s="1256" t="s">
        <v>1362</v>
      </c>
      <c r="F55" s="2340" t="str">
        <f>IF(H55="正常",I55,"免征")</f>
        <v>免征</v>
      </c>
      <c r="G55" s="2341"/>
      <c r="H55" s="2337"/>
      <c r="I55" s="157">
        <f>'数据-取费表'!B49</f>
        <v>5.0000000000000001E-4</v>
      </c>
      <c r="J55" s="2310">
        <f>IF(H59="非个人房产","",4)</f>
        <v>4</v>
      </c>
      <c r="K55" s="3295" t="str">
        <f>IF(H59="非个人房产","——","个人所得税")</f>
        <v>个人所得税</v>
      </c>
      <c r="L55" s="3295"/>
      <c r="M55" s="2315" t="e">
        <f ca="1">D59</f>
        <v>#REF!</v>
      </c>
      <c r="N55" s="1883" t="str">
        <f>E59</f>
        <v>差额计税</v>
      </c>
      <c r="O55" s="2316">
        <f>F59</f>
        <v>0.01</v>
      </c>
      <c r="P55" s="1708">
        <f ca="1">ROUND(G22*0.01/1.05,0)</f>
        <v>430055</v>
      </c>
    </row>
    <row r="56" spans="1:35" ht="24.75">
      <c r="A56" s="3355" t="s">
        <v>1363</v>
      </c>
      <c r="B56" s="3333"/>
      <c r="C56" s="3333"/>
      <c r="D56" s="12" t="e">
        <f ca="1">IF(H56="个人住宅",D57,D58)</f>
        <v>#REF!</v>
      </c>
      <c r="E56" s="1256" t="s">
        <v>1364</v>
      </c>
      <c r="F56" s="2340" t="str">
        <f>IF(H56="正常",F58,"免征")</f>
        <v>免征</v>
      </c>
      <c r="G56" s="2343" t="s">
        <v>1365</v>
      </c>
      <c r="H56" s="2344"/>
      <c r="I56" s="1670"/>
      <c r="J56" s="2310" t="str">
        <f>IF(项目基本情况!K6="上海银行",IF(J55="",4,J55+1),"")</f>
        <v/>
      </c>
      <c r="K56" s="3276" t="str">
        <f>IF(项目基本情况!K6="上海银行","其他处置费用","")</f>
        <v/>
      </c>
      <c r="L56" s="3277"/>
      <c r="M56" s="2312" t="str">
        <f>IF(项目基本情况!K6="上海银行",M69,"")</f>
        <v/>
      </c>
      <c r="N56" s="3276" t="str">
        <f>IF(项目基本情况!K6="上海银行","包含处置中涉及的律师、诉讼、拍卖、评估等费用","")</f>
        <v/>
      </c>
      <c r="O56" s="3279"/>
      <c r="P56" s="1708"/>
    </row>
    <row r="57" spans="1:35" ht="12.75">
      <c r="A57" s="2153" t="s">
        <v>1341</v>
      </c>
      <c r="B57" s="3319" t="s">
        <v>1366</v>
      </c>
      <c r="C57" s="3320"/>
      <c r="D57" s="1478">
        <v>0</v>
      </c>
      <c r="E57" s="316" t="s">
        <v>1343</v>
      </c>
      <c r="F57" s="294"/>
      <c r="G57" s="2341"/>
      <c r="H57" s="2345"/>
      <c r="I57" s="1670"/>
      <c r="J57" s="3295">
        <f>IF(AND(J55="",J56=""),4,IF(项目基本情况!K6="上海银行",结果表!J56+1,结果表!J55+1))</f>
        <v>5</v>
      </c>
      <c r="K57" s="3295" t="s">
        <v>1367</v>
      </c>
      <c r="L57" s="2317" t="s">
        <v>1368</v>
      </c>
      <c r="M57" s="2318"/>
      <c r="N57" s="2319">
        <f ca="1">SUMIF(M52:M56,"&lt;9e307")</f>
        <v>0</v>
      </c>
      <c r="O57" s="2320"/>
      <c r="P57" s="3519">
        <f ca="1">SUM(P52:P55)</f>
        <v>5011214</v>
      </c>
    </row>
    <row r="58" spans="1:35" ht="24.75">
      <c r="A58" s="2153" t="s">
        <v>1352</v>
      </c>
      <c r="B58" s="3319" t="s">
        <v>1369</v>
      </c>
      <c r="C58" s="3318"/>
      <c r="D58" s="12" t="e">
        <f ca="1">IF(H58="转让取得",C81,C97)</f>
        <v>#REF!</v>
      </c>
      <c r="E58" s="1256" t="s">
        <v>1364</v>
      </c>
      <c r="F58" s="294" t="s">
        <v>28</v>
      </c>
      <c r="G58" s="2341"/>
      <c r="H58" s="2344"/>
      <c r="I58" s="1670"/>
      <c r="J58" s="3295"/>
      <c r="K58" s="3295"/>
      <c r="L58" s="2317" t="s">
        <v>1370</v>
      </c>
      <c r="M58" s="2321"/>
      <c r="N58" s="2322" t="str">
        <f ca="1">NUMBERSTRING(INT(N57*10000),2)&amp;"元整"</f>
        <v>零元整</v>
      </c>
      <c r="O58" s="2323"/>
      <c r="P58" s="1708"/>
    </row>
    <row r="59" spans="1:35" ht="24.75" thickBot="1">
      <c r="A59" s="3299" t="s">
        <v>1371</v>
      </c>
      <c r="B59" s="3300"/>
      <c r="C59" s="3300"/>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7">
        <f>J57+1</f>
        <v>6</v>
      </c>
      <c r="K59" s="3295" t="s">
        <v>1372</v>
      </c>
      <c r="L59" s="2310" t="s">
        <v>1368</v>
      </c>
      <c r="M59" s="2324"/>
      <c r="N59" s="2325" t="e">
        <f ca="1">M49-N57</f>
        <v>#VALUE!</v>
      </c>
      <c r="O59" s="2326"/>
      <c r="P59" s="1708">
        <f ca="1">P48-P57</f>
        <v>40144547</v>
      </c>
    </row>
    <row r="60" spans="1:35" ht="12" customHeight="1">
      <c r="A60" s="1671"/>
      <c r="B60" s="646"/>
      <c r="C60" s="646"/>
      <c r="D60" s="646"/>
      <c r="E60" s="1466"/>
      <c r="F60" s="1670"/>
      <c r="G60" s="1670"/>
      <c r="H60" s="151"/>
      <c r="I60" s="121"/>
      <c r="J60" s="3298"/>
      <c r="K60" s="3295"/>
      <c r="L60" s="2317" t="s">
        <v>1370</v>
      </c>
      <c r="M60" s="2321"/>
      <c r="N60" s="2322" t="e">
        <f ca="1">NUMBERSTRING(INT(N59*10000),2)&amp;"元整"</f>
        <v>#VALUE!</v>
      </c>
      <c r="O60" s="2323"/>
      <c r="P60" s="1708">
        <f ca="1">ROUND(P59/B118,0)</f>
        <v>21857</v>
      </c>
    </row>
    <row r="61" spans="1:35" ht="13.5" thickBot="1">
      <c r="A61" s="3354" t="s">
        <v>1373</v>
      </c>
      <c r="B61" s="3354"/>
      <c r="C61" s="3354"/>
      <c r="D61" s="3354"/>
      <c r="E61" s="3354"/>
      <c r="F61" s="1670"/>
      <c r="G61" s="1670"/>
      <c r="H61" s="151"/>
      <c r="I61" s="121"/>
      <c r="J61" s="2310">
        <f>J59+1</f>
        <v>7</v>
      </c>
      <c r="K61" s="3295" t="s">
        <v>1374</v>
      </c>
      <c r="L61" s="3295"/>
      <c r="M61" s="2327"/>
      <c r="N61" s="2328" t="e">
        <f ca="1">ROUND(N59*10000/'数据-汇总表'!E3,0)</f>
        <v>#VALUE!</v>
      </c>
      <c r="O61" s="2329"/>
      <c r="P61" s="3518"/>
    </row>
    <row r="62" spans="1:35" ht="12.75">
      <c r="A62" s="3314" t="s">
        <v>1375</v>
      </c>
      <c r="B62" s="3315"/>
      <c r="C62" s="1865"/>
      <c r="D62" s="1865" t="s">
        <v>1376</v>
      </c>
      <c r="E62" s="158" t="s">
        <v>1377</v>
      </c>
      <c r="F62" s="1670"/>
      <c r="G62" s="1670"/>
      <c r="H62" s="151"/>
      <c r="I62" s="121"/>
      <c r="P62" s="3518"/>
    </row>
    <row r="63" spans="1:35" ht="12.75">
      <c r="A63" s="165" t="s">
        <v>330</v>
      </c>
      <c r="B63" s="159" t="s">
        <v>1378</v>
      </c>
      <c r="C63" s="2350" t="e">
        <f ca="1">ROUND((C64+C65)/(1+'数据-取费表'!C42),0)</f>
        <v>#REF!</v>
      </c>
      <c r="D63" s="159"/>
      <c r="E63" s="160"/>
      <c r="F63" s="1670"/>
      <c r="G63" s="1670"/>
      <c r="H63" s="151"/>
      <c r="I63" s="121"/>
      <c r="J63" s="327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7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7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7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7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78"/>
      <c r="K69" s="1245" t="s">
        <v>1393</v>
      </c>
      <c r="L69" s="1245"/>
      <c r="M69" s="294" t="e">
        <f ca="1">ROUND(SUM(M63:M68),0)</f>
        <v>#VALUE!</v>
      </c>
      <c r="N69" s="2332" t="e">
        <f ca="1">M69/M49</f>
        <v>#VALUE!</v>
      </c>
      <c r="Z69" s="1623"/>
      <c r="AI69" s="1561"/>
    </row>
    <row r="70" spans="1:35" s="642" customFormat="1" ht="1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0" t="s">
        <v>2129</v>
      </c>
      <c r="H90" s="3281"/>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1" t="s">
        <v>1422</v>
      </c>
      <c r="F92" s="3312"/>
      <c r="G92" s="3312"/>
      <c r="H92" s="331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1" t="str">
        <f>C4</f>
        <v>比较法-办公</v>
      </c>
      <c r="D101" s="2372" t="str">
        <f>D4</f>
        <v>收益法 (元)</v>
      </c>
      <c r="E101" s="3274" t="s">
        <v>1431</v>
      </c>
      <c r="F101" s="3275"/>
      <c r="G101" s="1687" t="s">
        <v>1432</v>
      </c>
      <c r="H101" s="2381" t="e">
        <f ca="1">H118</f>
        <v>#REF!</v>
      </c>
      <c r="I101" s="121"/>
    </row>
    <row r="102" spans="1:35" ht="18.75" customHeight="1">
      <c r="A102" s="3306" t="s">
        <v>1433</v>
      </c>
      <c r="B102" s="2370" t="s">
        <v>1432</v>
      </c>
      <c r="C102" s="2371">
        <f ca="1">IF(D32="楼面单价",ROUND(C19,0),C19)</f>
        <v>5051.1637000000001</v>
      </c>
      <c r="D102" s="2372">
        <f ca="1">IF(D32="楼面单价",ROUND(D19,0),D19)</f>
        <v>3712.2763</v>
      </c>
      <c r="E102" s="3274"/>
      <c r="F102" s="3275"/>
      <c r="G102" s="1687" t="s">
        <v>1434</v>
      </c>
      <c r="H102" s="2341" t="e">
        <f ca="1">I118</f>
        <v>#REF!</v>
      </c>
      <c r="I102" s="121"/>
    </row>
    <row r="103" spans="1:35" ht="42.75" customHeight="1">
      <c r="A103" s="3306"/>
      <c r="B103" s="2370" t="s">
        <v>1434</v>
      </c>
      <c r="C103" s="2373">
        <f ca="1">C20</f>
        <v>27501</v>
      </c>
      <c r="D103" s="2374">
        <f ca="1">D20</f>
        <v>20211</v>
      </c>
      <c r="E103" s="3267" t="s">
        <v>1435</v>
      </c>
      <c r="F103" s="3268"/>
      <c r="G103" s="1688" t="s">
        <v>1436</v>
      </c>
      <c r="H103" s="2381">
        <f>IF(D36="正常操作",H104+H105+H106,H105+H106)</f>
        <v>0</v>
      </c>
      <c r="I103" s="121"/>
    </row>
    <row r="104" spans="1:35" ht="18.75" customHeight="1">
      <c r="A104" s="330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7" t="str">
        <f>IF(项目基本情况!E8="已注销","——","3.房地产抵押价值")</f>
        <v>3.房地产抵押价值</v>
      </c>
      <c r="F107" s="3275"/>
      <c r="G107" s="1687" t="s">
        <v>1432</v>
      </c>
      <c r="H107" s="2381" t="e">
        <f ca="1">IF(E107="——","——",H101-H103)</f>
        <v>#REF!</v>
      </c>
      <c r="I107" s="121"/>
    </row>
    <row r="108" spans="1:35" ht="18.75" customHeight="1">
      <c r="A108" s="121"/>
      <c r="B108" s="121"/>
      <c r="C108" s="121"/>
      <c r="D108" s="121"/>
      <c r="E108" s="3307"/>
      <c r="F108" s="3275"/>
      <c r="G108" s="1687" t="s">
        <v>1434</v>
      </c>
      <c r="H108" s="2341">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4" t="str">
        <f>IF(E109="——","——",H101-H105-H106)</f>
        <v>——</v>
      </c>
      <c r="I109" s="121"/>
    </row>
    <row r="110" spans="1:35" ht="18.75" customHeight="1">
      <c r="A110" s="121"/>
      <c r="B110" s="121"/>
      <c r="C110" s="121"/>
      <c r="D110" s="121"/>
      <c r="E110" s="3307"/>
      <c r="F110" s="3275"/>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1836.72</v>
      </c>
      <c r="C118" s="2150">
        <f>M19</f>
        <v>231.72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2" t="s">
        <v>1452</v>
      </c>
      <c r="B119" s="3282"/>
      <c r="C119" s="3282"/>
      <c r="D119" s="3288" t="e">
        <f ca="1">NUMBERSTRING(INT(D118*10000),2)&amp;"元整"</f>
        <v>#REF!</v>
      </c>
      <c r="E119" s="3289"/>
      <c r="F119" s="3288" t="e">
        <f ca="1">NUMBERSTRING(INT(F118*10000),2)&amp;"元整"</f>
        <v>#REF!</v>
      </c>
      <c r="G119" s="3289"/>
      <c r="H119" s="3288" t="e">
        <f ca="1">NUMBERSTRING(INT(H118*10000),2)&amp;"元整"</f>
        <v>#REF!</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t="e">
        <f ca="1">H107</f>
        <v>#REF!</v>
      </c>
      <c r="E122" s="3284"/>
      <c r="F122" s="3284"/>
      <c r="G122" s="3284"/>
      <c r="H122" s="3284"/>
      <c r="I122" s="3285"/>
      <c r="AA122" s="684"/>
    </row>
    <row r="123" spans="1:27" ht="18.75" customHeight="1">
      <c r="A123" s="3282" t="s">
        <v>1452</v>
      </c>
      <c r="B123" s="3282"/>
      <c r="C123" s="3282"/>
      <c r="D123" s="3288" t="e">
        <f ca="1">NUMBERSTRING(INT(D122*10000),2)&amp;"元整"</f>
        <v>#REF!</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839.57659999999998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367344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367344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367344</v>
      </c>
      <c r="D10" s="795">
        <f ca="1">IF(B1="",'数据-汇总表'!E6,IF(INDIRECT("'数据-取费表'!c"&amp;$G$1)="住宅",INDIRECT("'数据-取费表'!s"&amp;$G$1),INDIRECT("'数据-取费表'!k"&amp;$G$1)+INDIRECT("'数据-取费表'!s"&amp;$G$1)))</f>
        <v>1836.72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367344</v>
      </c>
      <c r="D19" s="204">
        <f ca="1">D9+D10</f>
        <v>1836.72</v>
      </c>
      <c r="E19" s="203">
        <f>'数据-取费表'!B31</f>
        <v>200</v>
      </c>
      <c r="F19" s="223"/>
      <c r="G19" s="1714"/>
    </row>
    <row r="20" spans="1:7" s="206" customFormat="1" ht="13.5" customHeight="1">
      <c r="A20" s="247" t="s">
        <v>1574</v>
      </c>
      <c r="B20" s="202" t="s">
        <v>1575</v>
      </c>
      <c r="C20" s="224">
        <f ca="1">ROUND((C5+C19)*F20,0)</f>
        <v>14694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47172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23356</v>
      </c>
      <c r="D24" s="230"/>
      <c r="E24" s="230"/>
      <c r="F24" s="231"/>
      <c r="G24" s="232" t="s">
        <v>1586</v>
      </c>
    </row>
    <row r="25" spans="1:7" s="206" customFormat="1" ht="24">
      <c r="A25" s="734" t="s">
        <v>1476</v>
      </c>
      <c r="B25" s="207" t="s">
        <v>1587</v>
      </c>
      <c r="C25" s="230">
        <f ca="1">ROUND(IF('数据-取费表'!B22&lt;=1,C20*F22*'数据-取费表'!B22/2,C20*(POWER((1+F22),'数据-取费表'!B22/2)-1)),0)</f>
        <v>460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112407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112407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984683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8228506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7346880</v>
      </c>
      <c r="D34" s="209"/>
      <c r="E34" s="212"/>
      <c r="F34" s="249"/>
      <c r="G34" s="211"/>
    </row>
    <row r="35" spans="1:7" ht="13.5" customHeight="1">
      <c r="A35" s="734" t="s">
        <v>351</v>
      </c>
      <c r="B35" s="207" t="s">
        <v>1527</v>
      </c>
      <c r="C35" s="212">
        <f ca="1">ROUND(C34*F35,0)</f>
        <v>367344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367344</v>
      </c>
      <c r="D37" s="209">
        <f ca="1">D19</f>
        <v>1836.72</v>
      </c>
      <c r="E37" s="241">
        <f>'数据-取费表'!B35</f>
        <v>200</v>
      </c>
      <c r="F37" s="251"/>
      <c r="G37" s="253"/>
    </row>
    <row r="38" spans="1:7" ht="13.5" customHeight="1">
      <c r="A38" s="734" t="s">
        <v>354</v>
      </c>
      <c r="B38" s="207" t="s">
        <v>1533</v>
      </c>
      <c r="C38" s="212">
        <f ca="1">ROUND(C34*F38,0)</f>
        <v>146938</v>
      </c>
      <c r="D38" s="212"/>
      <c r="E38" s="212"/>
      <c r="F38" s="251">
        <f>'数据-取费表'!B36</f>
        <v>0.02</v>
      </c>
      <c r="G38" s="211" t="s">
        <v>1528</v>
      </c>
    </row>
    <row r="39" spans="1:7" s="206" customFormat="1" ht="13.5" customHeight="1">
      <c r="A39" s="247" t="s">
        <v>1534</v>
      </c>
      <c r="B39" s="202" t="s">
        <v>1535</v>
      </c>
      <c r="C39" s="224">
        <f ca="1">ROUND(C33*F20,0)</f>
        <v>164570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257552</v>
      </c>
      <c r="D42" s="230"/>
      <c r="E42" s="230"/>
      <c r="F42" s="231"/>
      <c r="G42" s="3361" t="s">
        <v>1591</v>
      </c>
    </row>
    <row r="43" spans="1:7" ht="13.5" customHeight="1">
      <c r="A43" s="734" t="s">
        <v>347</v>
      </c>
      <c r="B43" s="207" t="s">
        <v>1545</v>
      </c>
      <c r="C43" s="230">
        <f ca="1">ROUND(IF('数据-取费表'!B22&lt;=1,C39*F22*'数据-取费表'!B20/2,C39*(POWER((1+F22),'数据-取费表'!B20/2)-1)),0)</f>
        <v>5151</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1258961</v>
      </c>
      <c r="D45" s="227">
        <f ca="1">C47</f>
        <v>3.0000000000000001E-3</v>
      </c>
      <c r="E45" s="228" t="s">
        <v>1539</v>
      </c>
      <c r="F45" s="238">
        <f ca="1">F27</f>
        <v>0.15</v>
      </c>
      <c r="G45" s="239" t="s">
        <v>1548</v>
      </c>
    </row>
    <row r="46" spans="1:7" s="206" customFormat="1" ht="13.5" customHeight="1">
      <c r="A46" s="734" t="s">
        <v>346</v>
      </c>
      <c r="B46" s="240" t="s">
        <v>1549</v>
      </c>
      <c r="C46" s="241">
        <f ca="1">ROUND((C33+C39)*F27,0)</f>
        <v>1258961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10740700</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7411083</v>
      </c>
      <c r="D51" s="224"/>
      <c r="E51" s="224"/>
      <c r="F51" s="256"/>
      <c r="G51" s="226" t="s">
        <v>1560</v>
      </c>
    </row>
    <row r="52" spans="1:7" s="200" customFormat="1" ht="16.5" thickBot="1">
      <c r="A52" s="257" t="s">
        <v>1561</v>
      </c>
      <c r="B52" s="258"/>
      <c r="C52" s="259">
        <f ca="1">C31+C51</f>
        <v>8395766</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1836.72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1836.72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1836.72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24" sqref="I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3701</v>
      </c>
      <c r="C2" s="1289" t="s">
        <v>805</v>
      </c>
      <c r="D2" s="1289"/>
      <c r="E2" s="1295"/>
      <c r="F2" s="1296"/>
      <c r="G2" s="2478"/>
      <c r="H2" s="2468"/>
      <c r="I2" s="2468"/>
      <c r="J2" s="2468"/>
      <c r="K2" s="2469"/>
      <c r="L2" s="2468"/>
      <c r="M2" s="2468"/>
    </row>
    <row r="3" spans="1:37" ht="18" customHeight="1" thickBot="1">
      <c r="A3" s="1297" t="s">
        <v>806</v>
      </c>
      <c r="B3" s="1298">
        <f ca="1">IF(ISERROR(B2*10000/F43),0,ROUND(B2*10000/F43,0))</f>
        <v>20150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265</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265</v>
      </c>
      <c r="D6" s="147" t="s">
        <v>2109</v>
      </c>
      <c r="E6" s="294" t="s">
        <v>696</v>
      </c>
      <c r="F6" s="295">
        <f ca="1">INDIRECT("'数据-取费表'!u"&amp;$G$1)</f>
        <v>4.4000000000000004</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1836.72</v>
      </c>
      <c r="G7" s="1292"/>
      <c r="H7" s="296"/>
      <c r="I7" s="3367"/>
      <c r="J7" s="298"/>
      <c r="K7" s="299"/>
      <c r="L7" s="294" t="s">
        <v>697</v>
      </c>
      <c r="M7" s="295">
        <f ca="1">F7</f>
        <v>1836.72</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735</v>
      </c>
      <c r="D14" s="1257" t="s">
        <v>708</v>
      </c>
      <c r="E14" s="1255"/>
      <c r="F14" s="311"/>
      <c r="G14" s="1292"/>
      <c r="H14" s="928" t="s">
        <v>398</v>
      </c>
      <c r="I14" s="294" t="s">
        <v>709</v>
      </c>
      <c r="J14" s="21">
        <f ca="1">C29</f>
        <v>1076</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0.42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v>
      </c>
      <c r="D20" s="315" t="s">
        <v>729</v>
      </c>
      <c r="E20" s="294" t="s">
        <v>712</v>
      </c>
      <c r="F20" s="314">
        <f>'数据-取费表'!B37</f>
        <v>0.02</v>
      </c>
      <c r="G20" s="1303"/>
      <c r="H20" s="928" t="s">
        <v>680</v>
      </c>
      <c r="I20" s="147" t="s">
        <v>730</v>
      </c>
      <c r="J20" s="22">
        <f ca="1">ROUND(M20*M21/10000,2)</f>
        <v>0.42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44.84</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IF(项目基本情况!B11="自然人","——",ROUND(C6*F32/(1+'数据-取费表'!C42),2))</f>
        <v>14.13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30.29</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0.42</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ROUND(C29*F36,2)</f>
        <v>2.15</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0.74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1.33</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3637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19802</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-3678</v>
      </c>
      <c r="D46" s="1313" t="str">
        <f>C2</f>
        <v>万元</v>
      </c>
      <c r="E46" s="1307"/>
      <c r="F46" s="1307"/>
      <c r="I46" s="1314" t="s">
        <v>810</v>
      </c>
      <c r="J46" s="1315"/>
      <c r="K46" s="1316"/>
      <c r="L46" s="1317">
        <f ca="1">IF(M47="住宅",0,IF(L48&gt;J51,L60,J60))</f>
        <v>64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3637</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1076</v>
      </c>
      <c r="R49" s="1327" t="s">
        <v>818</v>
      </c>
    </row>
    <row r="50" spans="1:18" s="1292" customFormat="1" ht="13.5" thickBot="1">
      <c r="A50" s="922"/>
      <c r="B50" s="925"/>
      <c r="C50" s="1055"/>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2686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26.38</v>
      </c>
      <c r="K53" s="3364" t="s">
        <v>837</v>
      </c>
      <c r="L53" s="3365"/>
      <c r="O53" s="1325" t="s">
        <v>409</v>
      </c>
      <c r="P53" s="1326" t="s">
        <v>838</v>
      </c>
      <c r="Q53" s="1327">
        <f ca="1">Q47+Q48</f>
        <v>3701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742</v>
      </c>
      <c r="D56" s="1352"/>
      <c r="E56" s="1353"/>
      <c r="F56" s="1345"/>
      <c r="I56" s="1354" t="s">
        <v>842</v>
      </c>
      <c r="J56" s="1355" t="s">
        <v>3430</v>
      </c>
      <c r="K56" s="1328" t="s">
        <v>843</v>
      </c>
      <c r="L56" s="1331" t="str">
        <f ca="1">IF(L48&lt;J51,"——",L48-J53)</f>
        <v>——</v>
      </c>
      <c r="O56" s="1325" t="s">
        <v>403</v>
      </c>
      <c r="P56" s="1326" t="s">
        <v>817</v>
      </c>
      <c r="Q56" s="1327">
        <f ca="1">C40+J29</f>
        <v>3637</v>
      </c>
      <c r="R56" s="1327" t="s">
        <v>818</v>
      </c>
    </row>
    <row r="57" spans="1:18" s="1292" customFormat="1" ht="24.75" thickBot="1">
      <c r="A57" s="1356"/>
      <c r="B57" s="896" t="s">
        <v>767</v>
      </c>
      <c r="C57" s="230">
        <f ca="1">C29</f>
        <v>1076</v>
      </c>
      <c r="D57" s="1357"/>
      <c r="E57" s="1358"/>
      <c r="F57" s="1359"/>
      <c r="I57" s="1360" t="s">
        <v>844</v>
      </c>
      <c r="J57" s="1361">
        <f ca="1">IF(OR(M47="住宅",J51&lt;L48,J56="是"),"——",J51-L48)</f>
        <v>8.620000000000001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0.42</v>
      </c>
      <c r="D62" s="911" t="s">
        <v>786</v>
      </c>
      <c r="E62" s="896" t="s">
        <v>787</v>
      </c>
      <c r="F62" s="317">
        <f t="shared" si="0"/>
        <v>18</v>
      </c>
      <c r="I62" s="1367" t="s">
        <v>858</v>
      </c>
      <c r="J62" s="610" t="s">
        <v>859</v>
      </c>
      <c r="K62" s="610" t="s">
        <v>860</v>
      </c>
      <c r="L62" s="610" t="s">
        <v>861</v>
      </c>
      <c r="M62" s="1368" t="s">
        <v>862</v>
      </c>
      <c r="O62" s="1325" t="s">
        <v>409</v>
      </c>
      <c r="P62" s="1326" t="s">
        <v>863</v>
      </c>
      <c r="Q62" s="1327">
        <f ca="1">Q56+Q57</f>
        <v>3637</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0.74</v>
      </c>
      <c r="D65" s="910" t="s">
        <v>743</v>
      </c>
      <c r="E65" s="896" t="s">
        <v>744</v>
      </c>
      <c r="F65" s="321">
        <f t="shared" ca="1" si="0"/>
        <v>1E-3</v>
      </c>
      <c r="I65" s="1367" t="s">
        <v>867</v>
      </c>
      <c r="J65" s="610">
        <v>40</v>
      </c>
      <c r="K65" s="610">
        <v>30</v>
      </c>
      <c r="L65" s="610">
        <v>50</v>
      </c>
      <c r="M65" s="1369">
        <v>0.02</v>
      </c>
      <c r="O65" s="1325" t="s">
        <v>403</v>
      </c>
      <c r="P65" s="1326" t="s">
        <v>868</v>
      </c>
      <c r="Q65" s="1327">
        <f ca="1">C40+J29</f>
        <v>3637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2686</v>
      </c>
      <c r="R67" s="1327" t="s">
        <v>870</v>
      </c>
    </row>
    <row r="68" spans="1:18" s="1292" customFormat="1" ht="16.5" thickBot="1">
      <c r="A68" s="893" t="s">
        <v>395</v>
      </c>
      <c r="B68" s="894" t="s">
        <v>774</v>
      </c>
      <c r="C68" s="293">
        <f ca="1">ROUND(C67*(1-((1+F70)/(1+F68))^F69)/(F68-F70),0)</f>
        <v>-41</v>
      </c>
      <c r="D68" s="911" t="s">
        <v>758</v>
      </c>
      <c r="E68" s="896" t="s">
        <v>759</v>
      </c>
      <c r="F68" s="304">
        <f ca="1">F40</f>
        <v>5.5E-2</v>
      </c>
      <c r="O68" s="1334" t="s">
        <v>406</v>
      </c>
      <c r="P68" s="1371" t="s">
        <v>871</v>
      </c>
      <c r="Q68" s="1327">
        <f ca="1">ROUND(Q69-Q70*Q71,0)</f>
        <v>164</v>
      </c>
      <c r="R68" s="1327" t="s">
        <v>414</v>
      </c>
    </row>
    <row r="69" spans="1:18" s="1292" customFormat="1" ht="13.5" thickBot="1">
      <c r="A69" s="897"/>
      <c r="B69" s="898"/>
      <c r="C69" s="298"/>
      <c r="D69" s="916" t="s">
        <v>762</v>
      </c>
      <c r="E69" s="896" t="s">
        <v>763</v>
      </c>
      <c r="F69" s="324">
        <f ca="1">F41</f>
        <v>26.38</v>
      </c>
      <c r="O69" s="1334" t="s">
        <v>411</v>
      </c>
      <c r="P69" s="1371" t="s">
        <v>872</v>
      </c>
      <c r="Q69" s="1327">
        <f ca="1">C39</f>
        <v>216</v>
      </c>
      <c r="R69" s="1327" t="s">
        <v>818</v>
      </c>
    </row>
    <row r="70" spans="1:18" s="1292" customFormat="1" ht="13.5" thickBot="1">
      <c r="A70" s="900"/>
      <c r="B70" s="901"/>
      <c r="C70" s="302"/>
      <c r="D70" s="912"/>
      <c r="E70" s="896" t="s">
        <v>766</v>
      </c>
      <c r="F70" s="991"/>
      <c r="O70" s="1334" t="s">
        <v>412</v>
      </c>
      <c r="P70" s="1371" t="s">
        <v>873</v>
      </c>
      <c r="Q70" s="1327">
        <f ca="1">C13</f>
        <v>742</v>
      </c>
      <c r="R70" s="1327" t="s">
        <v>818</v>
      </c>
    </row>
    <row r="71" spans="1:18" s="1292" customFormat="1" ht="13.5" thickBot="1">
      <c r="A71" s="917" t="s">
        <v>396</v>
      </c>
      <c r="B71" s="918" t="s">
        <v>776</v>
      </c>
      <c r="C71" s="327">
        <f ca="1">ROUND(C68*10000/F71,0)</f>
        <v>-223</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52</v>
      </c>
      <c r="D75" s="1292"/>
      <c r="E75" s="1292"/>
      <c r="F75" s="1292"/>
      <c r="K75" s="1309"/>
      <c r="L75" s="1292"/>
      <c r="O75" s="1325" t="s">
        <v>409</v>
      </c>
      <c r="P75" s="1326" t="s">
        <v>838</v>
      </c>
      <c r="Q75" s="1327">
        <f ca="1">Q65+Q66</f>
        <v>3637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0.75900000000000001</v>
      </c>
    </row>
    <row r="80" spans="1:18">
      <c r="B80" s="331" t="s">
        <v>800</v>
      </c>
      <c r="C80" s="266">
        <f ca="1">ROUND(C75/C39,3)</f>
        <v>0.24099999999999999</v>
      </c>
    </row>
    <row r="81" spans="2:3">
      <c r="B81" s="262" t="s">
        <v>801</v>
      </c>
      <c r="C81" s="230"/>
    </row>
    <row r="82" spans="2:3">
      <c r="B82" s="265" t="s">
        <v>802</v>
      </c>
      <c r="C82" s="267">
        <f ca="1">1-C83</f>
        <v>0.79600000000000004</v>
      </c>
    </row>
    <row r="83" spans="2:3">
      <c r="B83" s="265" t="s">
        <v>803</v>
      </c>
      <c r="C83" s="266">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2" zoomScale="85" zoomScaleNormal="70" zoomScaleSheetLayoutView="85" workbookViewId="0">
      <selection activeCell="M35" sqref="M3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3476</v>
      </c>
      <c r="F1" s="1735" t="s">
        <v>3431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5051.1637000000001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27501</v>
      </c>
      <c r="C3" s="344" t="s">
        <v>1768</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4" t="s">
        <v>1771</v>
      </c>
      <c r="S4" s="3375"/>
      <c r="T4" s="3374" t="s">
        <v>1772</v>
      </c>
      <c r="U4" s="3375"/>
      <c r="V4" s="3403" t="s">
        <v>1773</v>
      </c>
      <c r="W4" s="3403"/>
      <c r="X4" s="1809"/>
      <c r="Y4" s="3374" t="s">
        <v>1775</v>
      </c>
      <c r="Z4" s="3375"/>
      <c r="AA4" s="3369" t="s">
        <v>1771</v>
      </c>
      <c r="AB4" s="3369" t="s">
        <v>1772</v>
      </c>
      <c r="AC4" s="3388" t="s">
        <v>1773</v>
      </c>
    </row>
    <row r="5" spans="1:29" ht="15">
      <c r="A5" s="348"/>
      <c r="B5" s="349"/>
      <c r="C5" s="3380" t="s">
        <v>1673</v>
      </c>
      <c r="D5" s="3381"/>
      <c r="E5" s="3378" t="s">
        <v>3432</v>
      </c>
      <c r="F5" s="3379"/>
      <c r="G5" s="3384" t="s">
        <v>3433</v>
      </c>
      <c r="H5" s="3381"/>
      <c r="I5" s="3384" t="s">
        <v>3434</v>
      </c>
      <c r="J5" s="3381"/>
      <c r="K5" s="537"/>
      <c r="L5" s="2486"/>
      <c r="M5" s="2487"/>
      <c r="N5" s="2487"/>
      <c r="O5" s="2487"/>
      <c r="P5" s="3397"/>
      <c r="Q5" s="3398"/>
      <c r="R5" s="3376"/>
      <c r="S5" s="3377"/>
      <c r="T5" s="3376"/>
      <c r="U5" s="3377"/>
      <c r="V5" s="3404"/>
      <c r="W5" s="3404"/>
      <c r="X5" s="1265"/>
      <c r="Y5" s="3376"/>
      <c r="Z5" s="3377"/>
      <c r="AA5" s="3370"/>
      <c r="AB5" s="3370"/>
      <c r="AC5" s="3389"/>
    </row>
    <row r="6" spans="1:29" ht="15.75" thickBot="1">
      <c r="A6" s="350"/>
      <c r="B6" s="351"/>
      <c r="C6" s="3382" t="s">
        <v>1677</v>
      </c>
      <c r="D6" s="3383"/>
      <c r="E6" s="3385" t="s">
        <v>1677</v>
      </c>
      <c r="F6" s="3386"/>
      <c r="G6" s="3382" t="s">
        <v>1677</v>
      </c>
      <c r="H6" s="3383"/>
      <c r="I6" s="3382" t="s">
        <v>1677</v>
      </c>
      <c r="J6" s="3383"/>
      <c r="K6" s="537" t="s">
        <v>1678</v>
      </c>
      <c r="L6" s="2486"/>
      <c r="M6" s="2487"/>
      <c r="N6" s="2487"/>
      <c r="O6" s="2487"/>
      <c r="P6" s="3399"/>
      <c r="Q6" s="3400"/>
      <c r="R6" s="3376"/>
      <c r="S6" s="3377"/>
      <c r="T6" s="3401"/>
      <c r="U6" s="3402"/>
      <c r="V6" s="3404"/>
      <c r="W6" s="3404"/>
      <c r="X6" s="1265"/>
      <c r="Y6" s="3401"/>
      <c r="Z6" s="3402"/>
      <c r="AA6" s="3371"/>
      <c r="AB6" s="3371"/>
      <c r="AC6" s="3390"/>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05" t="s">
        <v>1680</v>
      </c>
      <c r="Q7" s="3406"/>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5.75" thickBot="1">
      <c r="A8" s="352" t="s">
        <v>1681</v>
      </c>
      <c r="B8" s="353"/>
      <c r="C8" s="358" t="s">
        <v>3435</v>
      </c>
      <c r="D8" s="355">
        <v>100</v>
      </c>
      <c r="E8" s="358" t="s">
        <v>3436</v>
      </c>
      <c r="F8" s="357">
        <f>SUMIF(62:62,E8,63:63)-SUMIF(62:62,C8,63:63)+100</f>
        <v>102</v>
      </c>
      <c r="G8" s="358" t="s">
        <v>3436</v>
      </c>
      <c r="H8" s="355">
        <f>SUMIF(62:62,G8,63:63)-SUMIF(62:62,C8,63:63)+100</f>
        <v>102</v>
      </c>
      <c r="I8" s="358" t="s">
        <v>3436</v>
      </c>
      <c r="J8" s="355">
        <f>SUMIF(62:62,I8,63:63)-SUMIF(62:62,C8,63:63)+100</f>
        <v>102</v>
      </c>
      <c r="K8" s="38"/>
      <c r="L8" s="2488"/>
      <c r="M8" s="2440"/>
      <c r="N8" s="2440"/>
      <c r="O8" s="2440"/>
      <c r="P8" s="3405" t="s">
        <v>1683</v>
      </c>
      <c r="Q8" s="3373"/>
      <c r="R8" s="664" t="s">
        <v>14</v>
      </c>
      <c r="S8" s="665">
        <f t="shared" si="0"/>
        <v>102</v>
      </c>
      <c r="T8" s="664" t="s">
        <v>14</v>
      </c>
      <c r="U8" s="665">
        <f t="shared" si="1"/>
        <v>102</v>
      </c>
      <c r="V8" s="664" t="s">
        <v>14</v>
      </c>
      <c r="W8" s="665">
        <f t="shared" si="2"/>
        <v>102</v>
      </c>
      <c r="X8" s="666"/>
      <c r="Y8" s="3372" t="s">
        <v>1683</v>
      </c>
      <c r="Z8" s="337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3442</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7">
      <c r="A10" s="363"/>
      <c r="B10" s="364" t="s">
        <v>1688</v>
      </c>
      <c r="C10" s="3132">
        <f>2025-C12</f>
        <v>25</v>
      </c>
      <c r="D10" s="119">
        <v>100</v>
      </c>
      <c r="E10" s="3132">
        <f>2025-E12</f>
        <v>23</v>
      </c>
      <c r="F10" s="119">
        <f>SUMIF(66:66,E10,67:67)-SUMIF(66:66,C10,67:67)+100</f>
        <v>100</v>
      </c>
      <c r="G10" s="3133">
        <f>2025-G12</f>
        <v>26</v>
      </c>
      <c r="H10" s="119">
        <f>SUMIF(66:66,G10,67:67)-SUMIF(66:66,C10,67:67)+100</f>
        <v>100</v>
      </c>
      <c r="I10" s="3132">
        <f>2025-I12</f>
        <v>25</v>
      </c>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
      <c r="A11" s="367"/>
      <c r="B11" s="364" t="s">
        <v>1689</v>
      </c>
      <c r="C11" s="368"/>
      <c r="D11" s="119">
        <v>100</v>
      </c>
      <c r="E11" s="368">
        <v>5.13</v>
      </c>
      <c r="F11" s="119">
        <f>LOOKUP(E11,69:69,70:70)-LOOKUP(C11,69:69,70:70)+100</f>
        <v>100</v>
      </c>
      <c r="G11" s="369">
        <v>4.5999999999999996</v>
      </c>
      <c r="H11" s="119">
        <f>LOOKUP(G11,69:69,70:70)-LOOKUP(C11,69:69,70:70)+100</f>
        <v>100</v>
      </c>
      <c r="I11" s="368">
        <v>7.23</v>
      </c>
      <c r="J11" s="119">
        <f>LOOKUP(I11,69:69,70:70)-LOOKUP(C11,69:69,70:70)+100</f>
        <v>100</v>
      </c>
      <c r="K11" s="538">
        <v>0</v>
      </c>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75" thickBot="1">
      <c r="A12" s="370"/>
      <c r="B12" s="3173" t="s">
        <v>3443</v>
      </c>
      <c r="C12" s="371">
        <v>2000</v>
      </c>
      <c r="D12" s="372">
        <v>100</v>
      </c>
      <c r="E12" s="371">
        <v>2002</v>
      </c>
      <c r="F12" s="119">
        <f>SUMIF(71:71,E12,72:72)-SUMIF(71:71,C12,72:72)+100</f>
        <v>100</v>
      </c>
      <c r="G12" s="1810">
        <v>1999</v>
      </c>
      <c r="H12" s="119">
        <f>SUMIF(71:71,G12,72:72)-SUMIF(71:71,C12,72:72)+100</f>
        <v>100</v>
      </c>
      <c r="I12" s="371">
        <v>2000</v>
      </c>
      <c r="J12" s="119">
        <f>SUMIF(71:71,I12,72:72)-SUMIF(71:71,C12,72:72)+100</f>
        <v>100</v>
      </c>
      <c r="K12" s="539"/>
      <c r="L12" s="2488"/>
      <c r="M12" s="2440"/>
      <c r="N12" s="2440"/>
      <c r="O12" s="2440"/>
      <c r="P12" s="3387"/>
      <c r="Q12" s="530" t="str">
        <f t="shared" si="6"/>
        <v>建成年代</v>
      </c>
      <c r="R12" s="664" t="s">
        <v>14</v>
      </c>
      <c r="S12" s="665">
        <f t="shared" si="0"/>
        <v>100</v>
      </c>
      <c r="T12" s="664" t="s">
        <v>14</v>
      </c>
      <c r="U12" s="665">
        <f t="shared" si="1"/>
        <v>100</v>
      </c>
      <c r="V12" s="664" t="s">
        <v>14</v>
      </c>
      <c r="W12" s="665">
        <f t="shared" si="2"/>
        <v>100</v>
      </c>
      <c r="X12" s="666"/>
      <c r="Y12" s="3337"/>
      <c r="Z12" s="50" t="str">
        <f t="shared" si="7"/>
        <v>建成年代</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95</v>
      </c>
      <c r="K15" s="540">
        <v>5</v>
      </c>
      <c r="L15" s="2492"/>
      <c r="M15" s="2487"/>
      <c r="N15" s="2487"/>
      <c r="O15" s="2487"/>
      <c r="P15" s="3407" t="s">
        <v>1691</v>
      </c>
      <c r="Q15" s="1263" t="str">
        <f t="shared" si="6"/>
        <v>办公集聚程度</v>
      </c>
      <c r="R15" s="667" t="s">
        <v>14</v>
      </c>
      <c r="S15" s="668">
        <f t="shared" si="0"/>
        <v>100</v>
      </c>
      <c r="T15" s="667" t="s">
        <v>14</v>
      </c>
      <c r="U15" s="668">
        <f t="shared" si="1"/>
        <v>100</v>
      </c>
      <c r="V15" s="667" t="s">
        <v>14</v>
      </c>
      <c r="W15" s="668">
        <f t="shared" si="2"/>
        <v>95</v>
      </c>
      <c r="X15" s="1265"/>
      <c r="Y15" s="3409" t="s">
        <v>1691</v>
      </c>
      <c r="Z15" s="1264" t="str">
        <f t="shared" si="7"/>
        <v>办公集聚程度</v>
      </c>
      <c r="AA15" s="1264">
        <f t="shared" si="3"/>
        <v>1</v>
      </c>
      <c r="AB15" s="1264">
        <f t="shared" si="4"/>
        <v>1</v>
      </c>
      <c r="AC15" s="1812">
        <f t="shared" si="5"/>
        <v>1.0526315789473684</v>
      </c>
    </row>
    <row r="16" spans="1:29" ht="15">
      <c r="A16" s="367"/>
      <c r="B16" s="555"/>
      <c r="C16" s="1758" t="s">
        <v>3419</v>
      </c>
      <c r="D16" s="387"/>
      <c r="E16" s="1758" t="s">
        <v>3419</v>
      </c>
      <c r="F16" s="387"/>
      <c r="G16" s="1758" t="s">
        <v>3419</v>
      </c>
      <c r="H16" s="389"/>
      <c r="I16" s="386" t="s">
        <v>3438</v>
      </c>
      <c r="J16" s="387"/>
      <c r="K16" s="541"/>
      <c r="L16" s="2492"/>
      <c r="M16" s="2487"/>
      <c r="N16" s="2487"/>
      <c r="O16" s="2487"/>
      <c r="P16" s="3408"/>
      <c r="Q16" s="1263"/>
      <c r="R16" s="667"/>
      <c r="S16" s="668"/>
      <c r="T16" s="667"/>
      <c r="U16" s="668"/>
      <c r="V16" s="667"/>
      <c r="W16" s="668"/>
      <c r="X16" s="1265"/>
      <c r="Y16" s="341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96</v>
      </c>
      <c r="K17" s="540">
        <v>4</v>
      </c>
      <c r="L17" s="2492"/>
      <c r="M17" s="2487"/>
      <c r="N17" s="2487"/>
      <c r="O17" s="2487"/>
      <c r="P17" s="3408"/>
      <c r="Q17" s="1263" t="str">
        <f>B17</f>
        <v>交通便捷度</v>
      </c>
      <c r="R17" s="667" t="s">
        <v>14</v>
      </c>
      <c r="S17" s="668">
        <f>F17</f>
        <v>100</v>
      </c>
      <c r="T17" s="667" t="s">
        <v>14</v>
      </c>
      <c r="U17" s="668">
        <f>H17</f>
        <v>100</v>
      </c>
      <c r="V17" s="667" t="s">
        <v>14</v>
      </c>
      <c r="W17" s="668">
        <f>J17</f>
        <v>96</v>
      </c>
      <c r="X17" s="1265"/>
      <c r="Y17" s="3410"/>
      <c r="Z17" s="1264" t="str">
        <f>Q17</f>
        <v>交通便捷度</v>
      </c>
      <c r="AA17" s="1264">
        <f t="shared" si="3"/>
        <v>1</v>
      </c>
      <c r="AB17" s="1264">
        <f t="shared" si="4"/>
        <v>1</v>
      </c>
      <c r="AC17" s="1812">
        <f t="shared" si="5"/>
        <v>1.0416666666666667</v>
      </c>
    </row>
    <row r="18" spans="1:29" ht="15">
      <c r="A18" s="367"/>
      <c r="B18" s="401"/>
      <c r="C18" s="1814" t="s">
        <v>3419</v>
      </c>
      <c r="D18" s="389"/>
      <c r="E18" s="1814" t="s">
        <v>3419</v>
      </c>
      <c r="F18" s="389"/>
      <c r="G18" s="1814" t="s">
        <v>3419</v>
      </c>
      <c r="H18" s="387"/>
      <c r="I18" s="1757" t="s">
        <v>3438</v>
      </c>
      <c r="J18" s="387"/>
      <c r="K18" s="541"/>
      <c r="L18" s="2492"/>
      <c r="M18" s="2487"/>
      <c r="N18" s="2487"/>
      <c r="O18" s="2487"/>
      <c r="P18" s="3408"/>
      <c r="Q18" s="1263"/>
      <c r="R18" s="667"/>
      <c r="S18" s="668"/>
      <c r="T18" s="667"/>
      <c r="U18" s="668"/>
      <c r="V18" s="667"/>
      <c r="W18" s="668"/>
      <c r="X18" s="1265"/>
      <c r="Y18" s="341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8"/>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408"/>
      <c r="Q20" s="1263"/>
      <c r="R20" s="667"/>
      <c r="S20" s="668"/>
      <c r="T20" s="667"/>
      <c r="U20" s="668"/>
      <c r="V20" s="667"/>
      <c r="W20" s="668"/>
      <c r="X20" s="1265"/>
      <c r="Y20" s="341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08"/>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2">
        <f t="shared" ref="AC21" si="10">D21/J21</f>
        <v>1</v>
      </c>
    </row>
    <row r="22" spans="1:29" ht="15">
      <c r="A22" s="367"/>
      <c r="B22" s="557"/>
      <c r="C22" s="1814" t="s">
        <v>3441</v>
      </c>
      <c r="D22" s="387"/>
      <c r="E22" s="1814" t="s">
        <v>3441</v>
      </c>
      <c r="F22" s="387"/>
      <c r="G22" s="1814" t="s">
        <v>3441</v>
      </c>
      <c r="H22" s="387"/>
      <c r="I22" s="1814" t="s">
        <v>3441</v>
      </c>
      <c r="J22" s="387"/>
      <c r="K22" s="1064"/>
      <c r="L22" s="2492"/>
      <c r="M22" s="2487"/>
      <c r="N22" s="2487"/>
      <c r="O22" s="2487"/>
      <c r="P22" s="3408"/>
      <c r="Q22" s="1263"/>
      <c r="R22" s="667"/>
      <c r="S22" s="668"/>
      <c r="T22" s="667"/>
      <c r="U22" s="668"/>
      <c r="V22" s="667"/>
      <c r="W22" s="668"/>
      <c r="X22" s="1265"/>
      <c r="Y22" s="341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8"/>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2">
        <f t="shared" si="5"/>
        <v>1</v>
      </c>
    </row>
    <row r="24" spans="1:29" ht="15.75" thickBot="1">
      <c r="A24" s="367"/>
      <c r="B24" s="557"/>
      <c r="C24" s="1758" t="s">
        <v>3419</v>
      </c>
      <c r="D24" s="387"/>
      <c r="E24" s="1758" t="s">
        <v>3419</v>
      </c>
      <c r="F24" s="387"/>
      <c r="G24" s="1758" t="s">
        <v>3419</v>
      </c>
      <c r="H24" s="387"/>
      <c r="I24" s="1758" t="s">
        <v>3419</v>
      </c>
      <c r="J24" s="387"/>
      <c r="K24" s="541"/>
      <c r="L24" s="2492"/>
      <c r="M24" s="2487"/>
      <c r="N24" s="2487"/>
      <c r="O24" s="2487"/>
      <c r="P24" s="3408"/>
      <c r="Q24" s="1263"/>
      <c r="R24" s="667"/>
      <c r="S24" s="668"/>
      <c r="T24" s="667"/>
      <c r="U24" s="668"/>
      <c r="V24" s="667"/>
      <c r="W24" s="668"/>
      <c r="X24" s="1265"/>
      <c r="Y24" s="3410"/>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8"/>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2"/>
      <c r="M26" s="2487"/>
      <c r="N26" s="2487"/>
      <c r="O26" s="2487"/>
      <c r="P26" s="3408"/>
      <c r="Q26" s="1263"/>
      <c r="R26" s="667"/>
      <c r="S26" s="668"/>
      <c r="T26" s="667"/>
      <c r="U26" s="668"/>
      <c r="V26" s="667"/>
      <c r="W26" s="668"/>
      <c r="X26" s="1265"/>
      <c r="Y26" s="3410"/>
      <c r="Z26" s="1264"/>
      <c r="AA26" s="1264">
        <v>1</v>
      </c>
      <c r="AB26" s="1264">
        <v>1</v>
      </c>
      <c r="AC26" s="1812">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8"/>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8"/>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8"/>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8"/>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8"/>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8"/>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2">
        <f t="shared" si="5"/>
        <v>1</v>
      </c>
    </row>
    <row r="33" spans="1:29" ht="15">
      <c r="A33" s="379" t="s">
        <v>1694</v>
      </c>
      <c r="B33" s="60" t="s">
        <v>1817</v>
      </c>
      <c r="C33" s="1764" t="s">
        <v>3461</v>
      </c>
      <c r="D33" s="405">
        <v>100</v>
      </c>
      <c r="E33" s="1764" t="s">
        <v>3461</v>
      </c>
      <c r="F33" s="400">
        <f>SUMIF(101:101,E33,102:102)-SUMIF(101:101,C33,102:102)+100</f>
        <v>100</v>
      </c>
      <c r="G33" s="1764" t="s">
        <v>3461</v>
      </c>
      <c r="H33" s="374">
        <f>SUMIF(101:101,G33,102:102)-SUMIF(101:101,C33,102:102)+100</f>
        <v>100</v>
      </c>
      <c r="I33" s="1764" t="s">
        <v>3461</v>
      </c>
      <c r="J33" s="405">
        <f>SUMIF(101:101,I33,102:102)-SUMIF(101:101,C33,102:102)+100</f>
        <v>100</v>
      </c>
      <c r="K33" s="538">
        <v>2</v>
      </c>
      <c r="L33" s="2492"/>
      <c r="M33" s="2487"/>
      <c r="N33" s="2487"/>
      <c r="O33" s="2487"/>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671.41</v>
      </c>
      <c r="F34" s="364">
        <f>LOOKUP(E34,104:104,105:105)-LOOKUP(C34,104:104,105:105)+100</f>
        <v>102</v>
      </c>
      <c r="G34" s="368">
        <v>193.1</v>
      </c>
      <c r="H34" s="119">
        <f>LOOKUP(G34,104:104,105:105)-LOOKUP(C34,104:104,105:105)+100</f>
        <v>103</v>
      </c>
      <c r="I34" s="368">
        <v>343.61</v>
      </c>
      <c r="J34" s="119">
        <f>LOOKUP(I34,104:104,105:105)-LOOKUP(C34,104:104,105:105)+100</f>
        <v>103</v>
      </c>
      <c r="K34" s="539"/>
      <c r="L34" s="2491"/>
      <c r="M34" s="2493"/>
      <c r="N34" s="2493"/>
      <c r="O34" s="2493"/>
      <c r="P34" s="3412"/>
      <c r="Q34" s="531" t="str">
        <f t="shared" si="11"/>
        <v>项目建筑规模</v>
      </c>
      <c r="R34" s="669" t="s">
        <v>14</v>
      </c>
      <c r="S34" s="670">
        <f t="shared" si="12"/>
        <v>102</v>
      </c>
      <c r="T34" s="669" t="s">
        <v>14</v>
      </c>
      <c r="U34" s="670">
        <f t="shared" si="13"/>
        <v>103</v>
      </c>
      <c r="V34" s="669" t="s">
        <v>14</v>
      </c>
      <c r="W34" s="670">
        <f t="shared" si="14"/>
        <v>103</v>
      </c>
      <c r="X34" s="671"/>
      <c r="Y34" s="3414"/>
      <c r="Z34" s="672" t="str">
        <f t="shared" si="15"/>
        <v>项目建筑规模</v>
      </c>
      <c r="AA34" s="1264">
        <f t="shared" si="3"/>
        <v>0.98039215686274506</v>
      </c>
      <c r="AB34" s="1264">
        <f t="shared" si="4"/>
        <v>0.970873786407767</v>
      </c>
      <c r="AC34" s="1812">
        <f t="shared" si="5"/>
        <v>0.970873786407767</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2">
        <f t="shared" si="5"/>
        <v>1</v>
      </c>
    </row>
    <row r="36" spans="1:29" ht="15">
      <c r="A36" s="409"/>
      <c r="B36" s="364" t="s">
        <v>1785</v>
      </c>
      <c r="C36" s="399" t="s">
        <v>3450</v>
      </c>
      <c r="D36" s="374">
        <v>100</v>
      </c>
      <c r="E36" s="399" t="s">
        <v>3450</v>
      </c>
      <c r="F36" s="400">
        <f>SUMIF(108:108,E36,109:109)-SUMIF(108:108,C36,109:109)+100</f>
        <v>100</v>
      </c>
      <c r="G36" s="399" t="s">
        <v>3450</v>
      </c>
      <c r="H36" s="374">
        <f>SUMIF(108:108,G36,109:109)-SUMIF(108:108,C36,109:109)+100</f>
        <v>100</v>
      </c>
      <c r="I36" s="399" t="s">
        <v>3450</v>
      </c>
      <c r="J36" s="374">
        <f>SUMIF(108:108,I36,109:109)-SUMIF(108:108,C36,109:109)+100</f>
        <v>100</v>
      </c>
      <c r="K36" s="538">
        <v>1</v>
      </c>
      <c r="L36" s="2492"/>
      <c r="M36" s="2487"/>
      <c r="N36" s="2487"/>
      <c r="O36" s="2487"/>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ROUND((1-(1-0)*(2025-E12)/60)+0.8,2)/2</f>
        <v>0.71</v>
      </c>
      <c r="F37" s="400">
        <f>LOOKUP(E37,111:111,112:112)-LOOKUP(C37,111:111,112:112)+100</f>
        <v>100</v>
      </c>
      <c r="G37" s="411">
        <f>ROUND(1-(1-0)*(2025-G12)/60+0.8,2)/2</f>
        <v>0.68500000000000005</v>
      </c>
      <c r="H37" s="400">
        <f>LOOKUP(G37,111:111,112:112)-LOOKUP(C37,111:111,112:112)+100</f>
        <v>100</v>
      </c>
      <c r="I37" s="411">
        <f>ROUND(1-(1-0)*(2025-I12)/60+0.8,2)/2</f>
        <v>0.69</v>
      </c>
      <c r="J37" s="374">
        <f>LOOKUP(I37,111:111,112:112)-LOOKUP(C37,111:111,112:112)+100</f>
        <v>100</v>
      </c>
      <c r="K37" s="538">
        <v>0</v>
      </c>
      <c r="L37" s="2492"/>
      <c r="M37" s="2487"/>
      <c r="N37" s="2487"/>
      <c r="O37" s="2487"/>
      <c r="P37" s="3412"/>
      <c r="Q37" s="1263" t="str">
        <f t="shared" si="11"/>
        <v>成新度</v>
      </c>
      <c r="R37" s="667" t="s">
        <v>14</v>
      </c>
      <c r="S37" s="668">
        <f t="shared" si="12"/>
        <v>100</v>
      </c>
      <c r="T37" s="667" t="s">
        <v>14</v>
      </c>
      <c r="U37" s="668">
        <f t="shared" si="13"/>
        <v>100</v>
      </c>
      <c r="V37" s="667" t="s">
        <v>14</v>
      </c>
      <c r="W37" s="668">
        <f t="shared" si="14"/>
        <v>100</v>
      </c>
      <c r="X37" s="1265"/>
      <c r="Y37" s="3414"/>
      <c r="Z37" s="1264" t="str">
        <f t="shared" si="15"/>
        <v>成新度</v>
      </c>
      <c r="AA37" s="1264">
        <f t="shared" si="3"/>
        <v>1</v>
      </c>
      <c r="AB37" s="1264">
        <f t="shared" si="4"/>
        <v>1</v>
      </c>
      <c r="AC37" s="1812">
        <f t="shared" si="5"/>
        <v>1</v>
      </c>
    </row>
    <row r="38" spans="1:29" s="102" customFormat="1" ht="15">
      <c r="A38" s="410"/>
      <c r="B38" s="364" t="s">
        <v>1818</v>
      </c>
      <c r="C38" s="399" t="s">
        <v>3463</v>
      </c>
      <c r="D38" s="119">
        <v>100</v>
      </c>
      <c r="E38" s="399" t="s">
        <v>3463</v>
      </c>
      <c r="F38" s="400">
        <f>SUMIF(113:113,E38,114:114)-SUMIF(113:113,C38,114:114)+100</f>
        <v>100</v>
      </c>
      <c r="G38" s="399" t="s">
        <v>3463</v>
      </c>
      <c r="H38" s="374">
        <f>SUMIF(113:113,G38,114:114)-SUMIF(113:113,C38,114:114)+100</f>
        <v>100</v>
      </c>
      <c r="I38" s="399" t="s">
        <v>3463</v>
      </c>
      <c r="J38" s="374">
        <f>SUMIF(113:113,I38,114:114)-SUMIF(113:113,C38,114:114)+100</f>
        <v>100</v>
      </c>
      <c r="K38" s="538">
        <v>1</v>
      </c>
      <c r="L38" s="2488"/>
      <c r="M38" s="2440"/>
      <c r="N38" s="2440"/>
      <c r="O38" s="2440"/>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3471</v>
      </c>
      <c r="J39" s="374">
        <f>SUMIF(115:115,I39,116:116)-SUMIF(115:115,C39,116:116)+100</f>
        <v>100</v>
      </c>
      <c r="K39" s="538">
        <v>1</v>
      </c>
      <c r="L39" s="2492"/>
      <c r="M39" s="2487"/>
      <c r="N39" s="2487"/>
      <c r="O39" s="2487"/>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2">
        <f t="shared" si="5"/>
        <v>1</v>
      </c>
    </row>
    <row r="40" spans="1:29" ht="15">
      <c r="A40" s="409"/>
      <c r="B40" s="364" t="s">
        <v>1787</v>
      </c>
      <c r="C40" s="399" t="s">
        <v>3464</v>
      </c>
      <c r="D40" s="374">
        <v>100</v>
      </c>
      <c r="E40" s="399" t="s">
        <v>3464</v>
      </c>
      <c r="F40" s="400">
        <f>SUMIF(117:117,E40,118:118)-SUMIF(117:117,C40,118:118)+100</f>
        <v>100</v>
      </c>
      <c r="G40" s="399" t="s">
        <v>3464</v>
      </c>
      <c r="H40" s="374">
        <f>SUMIF(117:117,G40,118:118)-SUMIF(117:117,C40,118:118)+100</f>
        <v>100</v>
      </c>
      <c r="I40" s="399" t="s">
        <v>3464</v>
      </c>
      <c r="J40" s="374">
        <f>SUMIF(117:117,I40,118:118)-SUMIF(117:117,C40,118:118)+100</f>
        <v>100</v>
      </c>
      <c r="K40" s="538">
        <v>1</v>
      </c>
      <c r="L40" s="2492"/>
      <c r="M40" s="2487"/>
      <c r="N40" s="2487"/>
      <c r="O40" s="2487"/>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2">
        <f t="shared" si="5"/>
        <v>1</v>
      </c>
    </row>
    <row r="41" spans="1:29" ht="15">
      <c r="A41" s="409"/>
      <c r="B41" s="364" t="s">
        <v>1789</v>
      </c>
      <c r="C41" s="542" t="s">
        <v>3465</v>
      </c>
      <c r="D41" s="374">
        <v>100</v>
      </c>
      <c r="E41" s="542" t="s">
        <v>3465</v>
      </c>
      <c r="F41" s="400">
        <f>SUMIF(119:119,E41,120:120)-SUMIF(119:119,C41,120:120)+100</f>
        <v>100</v>
      </c>
      <c r="G41" s="542" t="s">
        <v>3465</v>
      </c>
      <c r="H41" s="374">
        <f>SUMIF(119:119,G41,120:120)-SUMIF(119:119,C41,120:120)+100</f>
        <v>100</v>
      </c>
      <c r="I41" s="542" t="s">
        <v>3465</v>
      </c>
      <c r="J41" s="374">
        <f>SUMIF(119:119,I41,120:120)-SUMIF(119:119,C41,120:120)+100</f>
        <v>100</v>
      </c>
      <c r="K41" s="538">
        <v>1</v>
      </c>
      <c r="L41" s="2492"/>
      <c r="M41" s="2487"/>
      <c r="N41" s="2487"/>
      <c r="O41" s="2487"/>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2">
        <f t="shared" si="5"/>
        <v>1</v>
      </c>
    </row>
    <row r="43" spans="1:29" ht="15">
      <c r="A43" s="409"/>
      <c r="B43" s="364" t="s">
        <v>1792</v>
      </c>
      <c r="C43" s="399" t="s">
        <v>3452</v>
      </c>
      <c r="D43" s="374">
        <v>100</v>
      </c>
      <c r="E43" s="399" t="s">
        <v>3452</v>
      </c>
      <c r="F43" s="400">
        <f>SUMIF(123:123,E43,124:124)-SUMIF(123:123,C43,124:124)+100</f>
        <v>100</v>
      </c>
      <c r="G43" s="399" t="s">
        <v>3452</v>
      </c>
      <c r="H43" s="374">
        <f>SUMIF(123:123,G43,124:124)-SUMIF(123:123,C43,124:124)+100</f>
        <v>100</v>
      </c>
      <c r="I43" s="399" t="s">
        <v>3452</v>
      </c>
      <c r="J43" s="374">
        <f>SUMIF(123:123,I43,124:124)-SUMIF(123:123,C43,124:124)+100</f>
        <v>100</v>
      </c>
      <c r="K43" s="538">
        <v>1</v>
      </c>
      <c r="L43" s="2492"/>
      <c r="M43" s="2487"/>
      <c r="N43" s="2487"/>
      <c r="O43" s="2487"/>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2">
        <f t="shared" si="5"/>
        <v>1</v>
      </c>
    </row>
    <row r="48" spans="1:29" ht="15">
      <c r="A48" s="416" t="s">
        <v>1708</v>
      </c>
      <c r="B48" s="417"/>
      <c r="C48" s="1081" t="s">
        <v>0</v>
      </c>
      <c r="D48" s="418"/>
      <c r="E48" s="419">
        <v>29506</v>
      </c>
      <c r="F48" s="420"/>
      <c r="G48" s="421">
        <v>30555</v>
      </c>
      <c r="H48" s="422"/>
      <c r="I48" s="419">
        <v>24010</v>
      </c>
      <c r="J48" s="422"/>
      <c r="K48" s="674"/>
      <c r="L48" s="2494"/>
      <c r="M48" s="2487"/>
      <c r="N48" s="2487"/>
      <c r="O48" s="2487"/>
      <c r="P48" s="3387" t="str">
        <f>A48</f>
        <v>成交单价（元/平方米）</v>
      </c>
      <c r="Q48" s="3416"/>
      <c r="R48" s="3404">
        <f>E48</f>
        <v>29506</v>
      </c>
      <c r="S48" s="3404"/>
      <c r="T48" s="3404">
        <f>G48</f>
        <v>30555</v>
      </c>
      <c r="U48" s="3404"/>
      <c r="V48" s="3404">
        <f>I48</f>
        <v>24010</v>
      </c>
      <c r="W48" s="3404"/>
      <c r="X48" s="385"/>
      <c r="Y48" s="673"/>
      <c r="Z48" s="385"/>
      <c r="AA48" s="385"/>
      <c r="AB48" s="385"/>
      <c r="AC48" s="555"/>
    </row>
    <row r="49" spans="1:29" ht="15.75" thickBot="1">
      <c r="A49" s="423" t="s">
        <v>1793</v>
      </c>
      <c r="B49" s="424"/>
      <c r="C49" s="1082">
        <f>R50</f>
        <v>27501</v>
      </c>
      <c r="D49" s="2141" t="s">
        <v>2138</v>
      </c>
      <c r="E49" s="1083">
        <f>R49</f>
        <v>28360</v>
      </c>
      <c r="F49" s="2142"/>
      <c r="G49" s="1082">
        <f>T49</f>
        <v>29083</v>
      </c>
      <c r="H49" s="2142"/>
      <c r="I49" s="1083">
        <f>V49</f>
        <v>25059</v>
      </c>
      <c r="J49" s="2142"/>
      <c r="K49" s="2144">
        <f>F49+H49+J49</f>
        <v>0</v>
      </c>
      <c r="L49" s="2494"/>
      <c r="M49" s="2487"/>
      <c r="N49" s="2487"/>
      <c r="O49" s="2487"/>
      <c r="P49" s="3387" t="str">
        <f>A49</f>
        <v>比较价值（元/平方米）</v>
      </c>
      <c r="Q49" s="3416"/>
      <c r="R49" s="3404">
        <f>IF(F1="售价",ROUND(PRODUCT(R48,AA7:AA47),0),ROUND(PRODUCT(R48,AA7:AA47),1))</f>
        <v>28360</v>
      </c>
      <c r="S49" s="3404"/>
      <c r="T49" s="3404">
        <f>IF(F1="售价",ROUND(PRODUCT(T48,AB7:AB47),0),ROUND(PRODUCT(T48,AB7:AB47),1))</f>
        <v>29083</v>
      </c>
      <c r="U49" s="3404"/>
      <c r="V49" s="3404">
        <f>IF(F1="售价",ROUND(PRODUCT(V48,AC7:AC47),0),ROUND(PRODUCT(V48,AC7:AC47),1))</f>
        <v>25059</v>
      </c>
      <c r="W49" s="3404"/>
      <c r="X49" s="385"/>
      <c r="Y49" s="385"/>
      <c r="Z49" s="385"/>
      <c r="AA49" s="385"/>
      <c r="AB49" s="385"/>
      <c r="AC49" s="555"/>
    </row>
    <row r="50" spans="1:29" ht="15.75" thickBot="1">
      <c r="A50" s="427" t="s">
        <v>1794</v>
      </c>
      <c r="B50" s="428"/>
      <c r="C50" s="351">
        <f>R50</f>
        <v>27501</v>
      </c>
      <c r="D50" s="351"/>
      <c r="E50" s="351"/>
      <c r="F50" s="351"/>
      <c r="G50" s="351"/>
      <c r="H50" s="351"/>
      <c r="I50" s="351"/>
      <c r="J50" s="429"/>
      <c r="K50" s="675"/>
      <c r="L50" s="2494"/>
      <c r="M50" s="2487"/>
      <c r="N50" s="2487"/>
      <c r="O50" s="2487"/>
      <c r="P50" s="3417" t="str">
        <f>A50</f>
        <v>估价对象XX用房的比较价值（楼面单价，元/平方米）</v>
      </c>
      <c r="Q50" s="3418"/>
      <c r="R50" s="3419">
        <f>IF(F1="售价",ROUND(IF(D49="简单平均",AVERAGE(R49:V49),R49*F49+T49*H49+V49*J49),0),ROUND(IF(D49="简单平均",AVERAGE(R49:V49),R49*F49+T49*H49+V49*J49),1))</f>
        <v>27501</v>
      </c>
      <c r="S50" s="3419"/>
      <c r="T50" s="3419"/>
      <c r="U50" s="3419"/>
      <c r="V50" s="3419"/>
      <c r="W50" s="341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4.040902679830749E-2</v>
      </c>
      <c r="F53" s="435" t="str">
        <f>IF(OR(E53&gt;=0.3,E53&lt;=-0.3),"超过30%","")</f>
        <v/>
      </c>
      <c r="G53" s="434">
        <f>IF(G48&lt;G49,G49/G48-1,G48/G49-1)</f>
        <v>5.0613760616167625E-2</v>
      </c>
      <c r="H53" s="435" t="str">
        <f>IF(OR(G53&gt;=0.3,G53&lt;=-0.3),"超过30%","")</f>
        <v/>
      </c>
      <c r="I53" s="434">
        <f>IF(I48&lt;I49,I49/I48-1,I48/I49-1)</f>
        <v>4.3690129112869736E-2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2.5493653032440111E-2</v>
      </c>
      <c r="F54" s="435" t="str">
        <f>IF(OR(E54&gt;=0.2,E54&lt;=-0.2),"超过20%","")</f>
        <v/>
      </c>
      <c r="G54" s="434">
        <f>IF(G49&lt;I49,I49/G49-1,G49/I49-1)</f>
        <v>0.1605810287720979</v>
      </c>
      <c r="H54" s="435" t="str">
        <f>IF(OR(G54&gt;=0.2,G54&lt;=-0.2),"超过20%","")</f>
        <v/>
      </c>
      <c r="I54" s="434">
        <f>IF(I49&lt;E49,E49/I49-1,I49/E49-1)</f>
        <v>0.13172911927850284</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3.5552091100115257E-2</v>
      </c>
      <c r="F55" s="435" t="str">
        <f>IF(OR(E55&gt;=0.3,E55&lt;=-0.3),"超过30%","")</f>
        <v/>
      </c>
      <c r="G55" s="434">
        <f>IF(G48&lt;I48,I48/G48-1,G48/I48-1)</f>
        <v>0.27259475218658902</v>
      </c>
      <c r="H55" s="435" t="str">
        <f>IF(OR(G55&gt;=0.3,G55&lt;=-0.3),"超过30%","")</f>
        <v/>
      </c>
      <c r="I55" s="434">
        <f>IF(I48&lt;E48,E48/I48-1,I48/E48-1)</f>
        <v>0.22890462307371928</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70" t="s">
        <v>3437</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95</v>
      </c>
      <c r="E78" s="475">
        <f>D78-$K15</f>
        <v>90</v>
      </c>
      <c r="F78" s="475">
        <f>E78-$K15</f>
        <v>85</v>
      </c>
      <c r="G78" s="475">
        <f>F78-$K15</f>
        <v>80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96</v>
      </c>
      <c r="E80" s="475">
        <f>D80-$K17</f>
        <v>92</v>
      </c>
      <c r="F80" s="475">
        <f>E80-$K17</f>
        <v>88</v>
      </c>
      <c r="G80" s="475">
        <f>F80-$K17</f>
        <v>84</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3444</v>
      </c>
      <c r="D89" s="3174" t="s">
        <v>3445</v>
      </c>
      <c r="E89" s="3174" t="s">
        <v>3446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3447</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3451</v>
      </c>
      <c r="D108" s="3174" t="s">
        <v>3453</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3449</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3454</v>
      </c>
      <c r="D115" s="3178"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3455</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3456</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3457</v>
      </c>
      <c r="D123" s="3174" t="s">
        <v>3458</v>
      </c>
      <c r="E123" s="3174" t="s">
        <v>3459</v>
      </c>
      <c r="F123" s="3176" t="s">
        <v>3460</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5" sqref="F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3712.2763</v>
      </c>
      <c r="C2" s="1289" t="s">
        <v>879</v>
      </c>
      <c r="D2" s="1375">
        <f ca="1">C40+J29+L46</f>
        <v>37122763</v>
      </c>
      <c r="E2" s="1295" t="s">
        <v>880</v>
      </c>
      <c r="F2" s="1296"/>
      <c r="G2" s="2478"/>
      <c r="H2" s="2468"/>
      <c r="I2" s="2468"/>
      <c r="J2" s="2468"/>
      <c r="K2" s="2469"/>
      <c r="L2" s="2468"/>
      <c r="M2" s="2468"/>
    </row>
    <row r="3" spans="1:37" ht="18" customHeight="1" thickBot="1">
      <c r="A3" s="1297" t="s">
        <v>881</v>
      </c>
      <c r="B3" s="1298">
        <f ca="1">IF(ISERROR(D2/F43),0,ROUND(D2/F43,0))</f>
        <v>20211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2658113</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2654795</v>
      </c>
      <c r="D6" s="147" t="s">
        <v>2106</v>
      </c>
      <c r="E6" s="294" t="s">
        <v>696</v>
      </c>
      <c r="F6" s="295">
        <f ca="1">INDIRECT("'数据-取费表'!u"&amp;$G$1)</f>
        <v>4.4000000000000004</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1836.72</v>
      </c>
      <c r="G7" s="1292"/>
      <c r="H7" s="296"/>
      <c r="I7" s="3367"/>
      <c r="J7" s="298"/>
      <c r="K7" s="299"/>
      <c r="L7" s="294" t="s">
        <v>697</v>
      </c>
      <c r="M7" s="295">
        <f ca="1">F7</f>
        <v>1836.72</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3318</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7411083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7346880</v>
      </c>
      <c r="D14" s="1257" t="s">
        <v>708</v>
      </c>
      <c r="E14" s="1255"/>
      <c r="F14" s="311"/>
      <c r="G14" s="1292"/>
      <c r="H14" s="928" t="s">
        <v>398</v>
      </c>
      <c r="I14" s="294" t="s">
        <v>709</v>
      </c>
      <c r="J14" s="21">
        <f ca="1">C29</f>
        <v>10740700</v>
      </c>
      <c r="K14" s="12"/>
      <c r="L14" s="759"/>
      <c r="M14" s="760"/>
    </row>
    <row r="15" spans="1:37" s="1304" customFormat="1" ht="18" customHeight="1" thickBot="1">
      <c r="A15" s="928" t="s">
        <v>399</v>
      </c>
      <c r="B15" s="294" t="s">
        <v>710</v>
      </c>
      <c r="C15" s="21">
        <f ca="1">ROUND(C14*F15,0)</f>
        <v>367344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25652</v>
      </c>
      <c r="K16" s="1024" t="s">
        <v>715</v>
      </c>
      <c r="L16" s="1025"/>
      <c r="M16" s="1009"/>
    </row>
    <row r="17" spans="1:37" s="1304" customFormat="1" ht="18" customHeight="1">
      <c r="A17" s="928" t="s">
        <v>681</v>
      </c>
      <c r="B17" s="294" t="s">
        <v>716</v>
      </c>
      <c r="C17" s="21">
        <f ca="1">ROUND(F17*(F43+INDIRECT("'数据-取费表'!S"&amp;$G$1)),0)</f>
        <v>367344</v>
      </c>
      <c r="D17" s="294" t="s">
        <v>717</v>
      </c>
      <c r="E17" s="294" t="s">
        <v>718</v>
      </c>
      <c r="F17" s="23">
        <f>'数据-取费表'!B35</f>
        <v>200</v>
      </c>
      <c r="G17" s="1303"/>
      <c r="H17" s="928" t="s">
        <v>398</v>
      </c>
      <c r="I17" s="294" t="s">
        <v>719</v>
      </c>
      <c r="J17" s="2140">
        <f ca="1">ROUND(IF(AND(项目基本情况!B11="自然人",项目基本情况!B10="北京市"),J6*M17/(1+'数据-取费表'!C42),J18+J19+J20),0)</f>
        <v>4171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146938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8228506</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164570</v>
      </c>
      <c r="D20" s="315" t="s">
        <v>729</v>
      </c>
      <c r="E20" s="294" t="s">
        <v>712</v>
      </c>
      <c r="F20" s="314">
        <f>'数据-取费表'!B37</f>
        <v>0.02</v>
      </c>
      <c r="G20" s="1303"/>
      <c r="H20" s="928" t="s">
        <v>680</v>
      </c>
      <c r="I20" s="147" t="s">
        <v>730</v>
      </c>
      <c r="J20" s="22">
        <f ca="1">ROUND(M20*M21,0)</f>
        <v>4171</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21481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262703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-25652</v>
      </c>
      <c r="K25" s="1032" t="s">
        <v>753</v>
      </c>
      <c r="L25" s="1033"/>
      <c r="M25" s="1034"/>
    </row>
    <row r="26" spans="1:37" ht="18" customHeight="1">
      <c r="A26" s="928" t="s">
        <v>397</v>
      </c>
      <c r="B26" s="294" t="s">
        <v>754</v>
      </c>
      <c r="C26" s="21">
        <f ca="1">ROUND((C19+C20)*F26,0)</f>
        <v>1258961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10740700</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491348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449165</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IF(项目基本情况!B11="自然人","——",ROUND(C6*F32/(1+'数据-取费表'!C42),0))</f>
        <v>141589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303405</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4171</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ROUND(C29*F36,0)</f>
        <v>21481</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7411</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13291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2166765</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36485179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19864</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3341</v>
      </c>
      <c r="B45" s="1307"/>
      <c r="C45" s="1376">
        <f ca="1">ROUND((C68-C40)/10000,4)</f>
        <v>-3693.9911000000002</v>
      </c>
      <c r="D45" s="3130" t="s">
        <v>3342</v>
      </c>
      <c r="E45" s="1307"/>
      <c r="F45" s="1307"/>
      <c r="O45" s="1310" t="s">
        <v>808</v>
      </c>
      <c r="P45" s="1366"/>
      <c r="Q45" s="1366"/>
      <c r="R45" s="1366"/>
    </row>
    <row r="46" spans="1:18" s="1292" customFormat="1" ht="13.5" thickBot="1">
      <c r="A46" s="1311" t="s">
        <v>809</v>
      </c>
      <c r="C46" s="1312">
        <f ca="1">ROUND(C45,0)</f>
        <v>-3694</v>
      </c>
      <c r="D46" s="1313" t="str">
        <f>C2</f>
        <v>万元</v>
      </c>
      <c r="I46" s="1314" t="s">
        <v>810</v>
      </c>
      <c r="J46" s="1315"/>
      <c r="K46" s="1316"/>
      <c r="L46" s="1317">
        <f ca="1">IF(M47="住宅",0,IF(L48&gt;J51,L60,J60))</f>
        <v>637584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36485179</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637584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10740700</v>
      </c>
      <c r="R49" s="1327" t="s">
        <v>818</v>
      </c>
    </row>
    <row r="50" spans="1:18" s="1292" customFormat="1" ht="13.5" thickBot="1">
      <c r="A50" s="922"/>
      <c r="B50" s="925"/>
      <c r="C50" s="926"/>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26984495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26.38</v>
      </c>
      <c r="K53" s="3364" t="s">
        <v>837</v>
      </c>
      <c r="L53" s="3365"/>
      <c r="O53" s="1325" t="s">
        <v>409</v>
      </c>
      <c r="P53" s="1326" t="s">
        <v>838</v>
      </c>
      <c r="Q53" s="1327">
        <f ca="1">Q47+Q48</f>
        <v>37122763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7411083</v>
      </c>
      <c r="D56" s="1352"/>
      <c r="E56" s="1353"/>
      <c r="F56" s="1345"/>
      <c r="I56" s="1354" t="s">
        <v>842</v>
      </c>
      <c r="J56" s="1355" t="s">
        <v>3430</v>
      </c>
      <c r="K56" s="1328" t="s">
        <v>843</v>
      </c>
      <c r="L56" s="1331" t="str">
        <f ca="1">IF(L48&lt;J51,"——",L48-J51)</f>
        <v>——</v>
      </c>
      <c r="O56" s="1325" t="s">
        <v>403</v>
      </c>
      <c r="P56" s="1326" t="s">
        <v>817</v>
      </c>
      <c r="Q56" s="1327">
        <f ca="1">C40+J29</f>
        <v>36485179</v>
      </c>
      <c r="R56" s="1327" t="s">
        <v>818</v>
      </c>
    </row>
    <row r="57" spans="1:18" s="1292" customFormat="1" ht="24.75" thickBot="1">
      <c r="A57" s="1356"/>
      <c r="B57" s="896" t="s">
        <v>767</v>
      </c>
      <c r="C57" s="230">
        <f ca="1">C29</f>
        <v>10740700</v>
      </c>
      <c r="D57" s="1357"/>
      <c r="E57" s="1358"/>
      <c r="F57" s="1359"/>
      <c r="I57" s="1360" t="s">
        <v>844</v>
      </c>
      <c r="J57" s="1361">
        <f ca="1">IF(OR(M47="住宅",J51&lt;L48,J56="是"),"——",J51-L48)</f>
        <v>8.620000000000001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33063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4171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4296280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637584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4171</v>
      </c>
      <c r="D62" s="911" t="s">
        <v>786</v>
      </c>
      <c r="E62" s="896" t="s">
        <v>787</v>
      </c>
      <c r="F62" s="317">
        <f t="shared" si="0"/>
        <v>18</v>
      </c>
      <c r="I62" s="1367" t="s">
        <v>858</v>
      </c>
      <c r="J62" s="610" t="s">
        <v>859</v>
      </c>
      <c r="K62" s="610" t="s">
        <v>860</v>
      </c>
      <c r="L62" s="610" t="s">
        <v>861</v>
      </c>
      <c r="M62" s="1368" t="s">
        <v>862</v>
      </c>
      <c r="O62" s="1325" t="s">
        <v>409</v>
      </c>
      <c r="P62" s="1326" t="s">
        <v>863</v>
      </c>
      <c r="Q62" s="1327">
        <f ca="1">Q56+Q57</f>
        <v>36485179</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21481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7411</v>
      </c>
      <c r="D65" s="910" t="s">
        <v>743</v>
      </c>
      <c r="E65" s="896" t="s">
        <v>744</v>
      </c>
      <c r="F65" s="321">
        <f t="shared" ca="1" si="0"/>
        <v>1E-3</v>
      </c>
      <c r="I65" s="1367" t="s">
        <v>867</v>
      </c>
      <c r="J65" s="610">
        <v>40</v>
      </c>
      <c r="K65" s="610">
        <v>30</v>
      </c>
      <c r="L65" s="610">
        <v>50</v>
      </c>
      <c r="M65" s="1369">
        <v>0.02</v>
      </c>
      <c r="O65" s="1325" t="s">
        <v>403</v>
      </c>
      <c r="P65" s="1326" t="s">
        <v>868</v>
      </c>
      <c r="Q65" s="1327">
        <f ca="1">C40+J29</f>
        <v>36485179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-33063</v>
      </c>
      <c r="D67" s="909" t="s">
        <v>753</v>
      </c>
      <c r="E67" s="914"/>
      <c r="F67" s="915"/>
      <c r="O67" s="1334" t="s">
        <v>405</v>
      </c>
      <c r="P67" s="1326" t="s">
        <v>850</v>
      </c>
      <c r="Q67" s="1370">
        <f ca="1">L51</f>
        <v>26984495</v>
      </c>
      <c r="R67" s="1327" t="s">
        <v>870</v>
      </c>
    </row>
    <row r="68" spans="1:18" s="1292" customFormat="1" ht="16.5" thickBot="1">
      <c r="A68" s="893" t="s">
        <v>395</v>
      </c>
      <c r="B68" s="894" t="s">
        <v>774</v>
      </c>
      <c r="C68" s="293">
        <f ca="1">ROUND(C67*(1-((1+F70)/(1+F68))^F69)/(F68-F70),0)</f>
        <v>-454732</v>
      </c>
      <c r="D68" s="911" t="s">
        <v>758</v>
      </c>
      <c r="E68" s="896" t="s">
        <v>759</v>
      </c>
      <c r="F68" s="304">
        <f ca="1">F40</f>
        <v>5.5E-2</v>
      </c>
      <c r="O68" s="1334" t="s">
        <v>406</v>
      </c>
      <c r="P68" s="1371" t="s">
        <v>871</v>
      </c>
      <c r="Q68" s="1327">
        <f ca="1">ROUND(Q69-Q70*Q71,0)</f>
        <v>1647989</v>
      </c>
      <c r="R68" s="1327" t="s">
        <v>414</v>
      </c>
    </row>
    <row r="69" spans="1:18" s="1292" customFormat="1" ht="13.5" thickBot="1">
      <c r="A69" s="897"/>
      <c r="B69" s="898"/>
      <c r="C69" s="298"/>
      <c r="D69" s="916" t="s">
        <v>762</v>
      </c>
      <c r="E69" s="896" t="s">
        <v>763</v>
      </c>
      <c r="F69" s="324">
        <f ca="1">F41</f>
        <v>26.38</v>
      </c>
      <c r="O69" s="1334" t="s">
        <v>411</v>
      </c>
      <c r="P69" s="1371" t="s">
        <v>872</v>
      </c>
      <c r="Q69" s="1327">
        <f ca="1">C39</f>
        <v>2166765</v>
      </c>
      <c r="R69" s="1327" t="s">
        <v>818</v>
      </c>
    </row>
    <row r="70" spans="1:18" s="1292" customFormat="1" ht="13.5" thickBot="1">
      <c r="A70" s="900"/>
      <c r="B70" s="901"/>
      <c r="C70" s="302"/>
      <c r="D70" s="912"/>
      <c r="E70" s="896" t="s">
        <v>766</v>
      </c>
      <c r="F70" s="991"/>
      <c r="O70" s="1334" t="s">
        <v>412</v>
      </c>
      <c r="P70" s="1371" t="s">
        <v>873</v>
      </c>
      <c r="Q70" s="1327">
        <f ca="1">C13</f>
        <v>7411083</v>
      </c>
      <c r="R70" s="1327" t="s">
        <v>818</v>
      </c>
    </row>
    <row r="71" spans="1:18" s="1292" customFormat="1" ht="13.5" thickBot="1">
      <c r="A71" s="917" t="s">
        <v>396</v>
      </c>
      <c r="B71" s="918" t="s">
        <v>776</v>
      </c>
      <c r="C71" s="327">
        <f ca="1">ROUND(C68/F71,0)</f>
        <v>-248</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518776</v>
      </c>
      <c r="D75" s="1292"/>
      <c r="E75" s="1292"/>
      <c r="F75" s="1292"/>
      <c r="K75" s="1309"/>
      <c r="L75" s="1292"/>
      <c r="O75" s="1325" t="s">
        <v>409</v>
      </c>
      <c r="P75" s="1326" t="s">
        <v>838</v>
      </c>
      <c r="Q75" s="1327">
        <f ca="1">Q65+Q66</f>
        <v>36485179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0.76100000000000001</v>
      </c>
    </row>
    <row r="80" spans="1:18">
      <c r="B80" s="331" t="s">
        <v>800</v>
      </c>
      <c r="C80" s="266">
        <f ca="1">ROUND(C75/C39,3)</f>
        <v>0.23899999999999999</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3348</v>
      </c>
      <c r="E2" s="3139"/>
      <c r="F2" s="2597"/>
      <c r="G2" s="2598"/>
      <c r="H2" s="2599"/>
      <c r="I2" s="2600"/>
      <c r="J2" s="3420" t="s">
        <v>2308</v>
      </c>
      <c r="K2" s="3421"/>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2" t="s">
        <v>2318</v>
      </c>
      <c r="K3" s="3423"/>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2" t="s">
        <v>2320</v>
      </c>
      <c r="K4" s="3423"/>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24" t="s">
        <v>2324</v>
      </c>
      <c r="B6" s="3425"/>
      <c r="C6" s="3426"/>
      <c r="D6" s="2621"/>
      <c r="E6" s="2622"/>
      <c r="F6" s="2623"/>
      <c r="G6" s="2624"/>
      <c r="H6" s="2599"/>
      <c r="I6" s="2600"/>
      <c r="J6" s="3427">
        <v>1</v>
      </c>
      <c r="K6" s="3428"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7"/>
      <c r="K7" s="3429"/>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1" t="s">
        <v>2338</v>
      </c>
      <c r="C8" s="3432"/>
      <c r="D8" s="2640" t="s">
        <v>2339</v>
      </c>
      <c r="E8" s="2641" t="s">
        <v>2340</v>
      </c>
      <c r="F8" s="2642" t="s">
        <v>2341</v>
      </c>
      <c r="G8" s="2643"/>
      <c r="H8" s="2599"/>
      <c r="I8" s="2600"/>
      <c r="J8" s="3427"/>
      <c r="K8" s="3429"/>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1" t="s">
        <v>2344</v>
      </c>
      <c r="C9" s="3432"/>
      <c r="D9" s="2640">
        <f>ROUND(D6*E9,0)</f>
        <v>0</v>
      </c>
      <c r="E9" s="2644"/>
      <c r="F9" s="2645" t="s">
        <v>2345</v>
      </c>
      <c r="G9" s="2624"/>
      <c r="H9" s="2599"/>
      <c r="I9" s="2600"/>
      <c r="J9" s="3427"/>
      <c r="K9" s="3429"/>
      <c r="L9" s="2634" t="s">
        <v>2346</v>
      </c>
      <c r="M9" s="2635"/>
      <c r="N9" s="2611"/>
      <c r="O9" s="2636"/>
      <c r="P9" s="2636"/>
      <c r="Q9" s="2637">
        <v>365</v>
      </c>
      <c r="R9" s="2638">
        <f t="shared" si="0"/>
        <v>0</v>
      </c>
      <c r="S9" s="2592"/>
      <c r="T9" s="2592"/>
      <c r="U9" s="2592"/>
      <c r="V9" s="2600"/>
    </row>
    <row r="10" spans="1:22" s="2604" customFormat="1" ht="13.15" customHeight="1">
      <c r="A10" s="2639">
        <v>2</v>
      </c>
      <c r="B10" s="3431" t="s">
        <v>2347</v>
      </c>
      <c r="C10" s="3432"/>
      <c r="D10" s="2640">
        <f>ROUND(D6*E10,0)</f>
        <v>0</v>
      </c>
      <c r="E10" s="2644"/>
      <c r="F10" s="2645" t="s">
        <v>2348</v>
      </c>
      <c r="G10" s="2624"/>
      <c r="H10" s="2599"/>
      <c r="I10" s="2600"/>
      <c r="J10" s="3427"/>
      <c r="K10" s="3429"/>
      <c r="L10" s="2634" t="s">
        <v>2349</v>
      </c>
      <c r="M10" s="2635"/>
      <c r="N10" s="2611"/>
      <c r="O10" s="2636"/>
      <c r="P10" s="2636"/>
      <c r="Q10" s="2637">
        <v>365</v>
      </c>
      <c r="R10" s="2638">
        <f t="shared" si="0"/>
        <v>0</v>
      </c>
      <c r="S10" s="2592"/>
      <c r="T10" s="2592"/>
      <c r="U10" s="2592"/>
      <c r="V10" s="2600"/>
    </row>
    <row r="11" spans="1:22" s="2604" customFormat="1" ht="13.15" customHeight="1">
      <c r="A11" s="2639">
        <v>3</v>
      </c>
      <c r="B11" s="3431" t="s">
        <v>2350</v>
      </c>
      <c r="C11" s="3432"/>
      <c r="D11" s="2640">
        <f>D12+D14+D15+D16</f>
        <v>0</v>
      </c>
      <c r="E11" s="2646" t="e">
        <f>D11/D6</f>
        <v>#DIV/0!</v>
      </c>
      <c r="F11" s="2642"/>
      <c r="G11" s="2643"/>
      <c r="H11" s="2599"/>
      <c r="I11" s="2600"/>
      <c r="J11" s="3427"/>
      <c r="K11" s="3429"/>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3" t="s">
        <v>2353</v>
      </c>
      <c r="C12" s="3434"/>
      <c r="D12" s="2648">
        <f>ROUND(D13*1.2%*(1-30%),0)</f>
        <v>0</v>
      </c>
      <c r="E12" s="2649">
        <v>1.2E-2</v>
      </c>
      <c r="F12" s="2642" t="s">
        <v>2354</v>
      </c>
      <c r="G12" s="2643"/>
      <c r="H12" s="2599"/>
      <c r="I12" s="2600"/>
      <c r="J12" s="3427"/>
      <c r="K12" s="3429"/>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7"/>
      <c r="K13" s="3429"/>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3" t="s">
        <v>2359</v>
      </c>
      <c r="C14" s="3434"/>
      <c r="D14" s="2648">
        <f>ROUND(E14*B5/10000,0)</f>
        <v>0</v>
      </c>
      <c r="E14" s="2637"/>
      <c r="F14" s="2642" t="s">
        <v>2360</v>
      </c>
      <c r="G14" s="2643"/>
      <c r="H14" s="2599"/>
      <c r="I14" s="2600"/>
      <c r="J14" s="3427"/>
      <c r="K14" s="3430"/>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3" t="s">
        <v>2363</v>
      </c>
      <c r="C15" s="3434"/>
      <c r="D15" s="2648">
        <f>ROUND(D6*E15,0)</f>
        <v>0</v>
      </c>
      <c r="E15" s="2649">
        <v>5.5E-2</v>
      </c>
      <c r="F15" s="2642" t="s">
        <v>2364</v>
      </c>
      <c r="G15" s="2624"/>
      <c r="H15" s="2599"/>
      <c r="I15" s="2600"/>
      <c r="J15" s="3427">
        <v>2</v>
      </c>
      <c r="K15" s="3428"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3" t="s">
        <v>2372</v>
      </c>
      <c r="C16" s="3434"/>
      <c r="D16" s="2659">
        <f>D6*E16</f>
        <v>0</v>
      </c>
      <c r="E16" s="2660"/>
      <c r="F16" s="2645" t="s">
        <v>2373</v>
      </c>
      <c r="G16" s="2624"/>
      <c r="H16" s="2599"/>
      <c r="I16" s="2600"/>
      <c r="J16" s="3427"/>
      <c r="K16" s="3429"/>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5" t="s">
        <v>2375</v>
      </c>
      <c r="C17" s="3436"/>
      <c r="D17" s="2662">
        <f>ROUND(D6*E17,0)</f>
        <v>0</v>
      </c>
      <c r="E17" s="2663"/>
      <c r="F17" s="2664" t="s">
        <v>2376</v>
      </c>
      <c r="G17" s="2624"/>
      <c r="H17" s="2599"/>
      <c r="I17" s="2600"/>
      <c r="J17" s="3427"/>
      <c r="K17" s="3429"/>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7"/>
      <c r="K18" s="3429"/>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7"/>
      <c r="K19" s="3430"/>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7"/>
      <c r="K21" s="3429"/>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7"/>
      <c r="K22" s="3429"/>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7"/>
      <c r="K23" s="3429"/>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7"/>
      <c r="K24" s="3430"/>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37">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0" t="s">
        <v>2308</v>
      </c>
      <c r="K32" s="3421"/>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2" t="s">
        <v>2318</v>
      </c>
      <c r="K33" s="3423"/>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2" t="s">
        <v>2320</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7">
        <v>1</v>
      </c>
      <c r="K36" s="3428"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7"/>
      <c r="K40" s="3430"/>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7">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3701</v>
      </c>
      <c r="C2" s="1729" t="s">
        <v>1651</v>
      </c>
      <c r="D2" s="1730" t="s">
        <v>1652</v>
      </c>
      <c r="E2" s="2393">
        <f>SUM(E6:E13)</f>
        <v>1836.72</v>
      </c>
      <c r="F2" s="2479"/>
      <c r="G2" s="459"/>
      <c r="H2" s="459"/>
      <c r="I2" s="459"/>
      <c r="J2" s="459"/>
      <c r="K2" s="459"/>
      <c r="L2" s="459"/>
      <c r="M2" s="459"/>
      <c r="N2" s="459"/>
      <c r="O2" s="459"/>
      <c r="P2" s="459"/>
      <c r="Q2" s="459"/>
      <c r="R2" s="459"/>
      <c r="S2" s="459"/>
    </row>
    <row r="3" spans="1:22" ht="15.75">
      <c r="A3" s="1728" t="s">
        <v>686</v>
      </c>
      <c r="B3" s="2387">
        <f ca="1">ROUND(B2*10000/E2,0)</f>
        <v>20150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39" t="s">
        <v>1654</v>
      </c>
      <c r="C5" s="3440"/>
      <c r="D5" s="2480"/>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3701</v>
      </c>
      <c r="C6" s="1729" t="s">
        <v>1651</v>
      </c>
      <c r="D6" s="2479"/>
      <c r="E6" s="2392">
        <f>IF(OR(A6=0,F6="否"),0,'数据-取费表'!K6+'数据-取费表'!S6)</f>
        <v>1836.72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1836.72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6"/>
      <c r="M4" s="2487"/>
      <c r="N4" s="2487"/>
      <c r="O4" s="2487"/>
      <c r="P4" s="3445" t="s">
        <v>1672</v>
      </c>
      <c r="Q4" s="3446"/>
      <c r="R4" s="3442" t="s">
        <v>1668</v>
      </c>
      <c r="S4" s="3443"/>
      <c r="T4" s="3442" t="s">
        <v>1669</v>
      </c>
      <c r="U4" s="3443"/>
      <c r="V4" s="3404" t="s">
        <v>1670</v>
      </c>
      <c r="W4" s="3404"/>
      <c r="X4" s="1265"/>
      <c r="Y4" s="3442" t="s">
        <v>1672</v>
      </c>
      <c r="Z4" s="3443"/>
      <c r="AA4" s="3441" t="s">
        <v>1668</v>
      </c>
      <c r="AB4" s="3441" t="s">
        <v>1669</v>
      </c>
      <c r="AC4" s="3441" t="s">
        <v>1670</v>
      </c>
    </row>
    <row r="5" spans="1:29" ht="15">
      <c r="A5" s="348"/>
      <c r="B5" s="349"/>
      <c r="C5" s="3380" t="s">
        <v>1673</v>
      </c>
      <c r="D5" s="3381"/>
      <c r="E5" s="3444" t="s">
        <v>1674</v>
      </c>
      <c r="F5" s="3379"/>
      <c r="G5" s="3380" t="s">
        <v>1675</v>
      </c>
      <c r="H5" s="3381"/>
      <c r="I5" s="3380" t="s">
        <v>1676</v>
      </c>
      <c r="J5" s="3381"/>
      <c r="K5" s="1745"/>
      <c r="L5" s="2486"/>
      <c r="M5" s="2487"/>
      <c r="N5" s="2487"/>
      <c r="O5" s="2487"/>
      <c r="P5" s="3447"/>
      <c r="Q5" s="3398"/>
      <c r="R5" s="3376"/>
      <c r="S5" s="3377"/>
      <c r="T5" s="3376"/>
      <c r="U5" s="3377"/>
      <c r="V5" s="3404"/>
      <c r="W5" s="3404"/>
      <c r="X5" s="1265"/>
      <c r="Y5" s="3376"/>
      <c r="Z5" s="3377"/>
      <c r="AA5" s="3370"/>
      <c r="AB5" s="3370"/>
      <c r="AC5" s="3370"/>
    </row>
    <row r="6" spans="1:29" ht="15.75" thickBot="1">
      <c r="A6" s="350"/>
      <c r="B6" s="351"/>
      <c r="C6" s="3382" t="s">
        <v>1677</v>
      </c>
      <c r="D6" s="3383"/>
      <c r="E6" s="3385" t="s">
        <v>1677</v>
      </c>
      <c r="F6" s="3386"/>
      <c r="G6" s="3382" t="s">
        <v>1677</v>
      </c>
      <c r="H6" s="3383"/>
      <c r="I6" s="3382" t="s">
        <v>1677</v>
      </c>
      <c r="J6" s="3383"/>
      <c r="K6" s="1745" t="s">
        <v>1678</v>
      </c>
      <c r="L6" s="2486"/>
      <c r="M6" s="2487"/>
      <c r="N6" s="2487"/>
      <c r="O6" s="2487"/>
      <c r="P6" s="3448"/>
      <c r="Q6" s="3400"/>
      <c r="R6" s="3376"/>
      <c r="S6" s="3377"/>
      <c r="T6" s="3401"/>
      <c r="U6" s="3402"/>
      <c r="V6" s="3404"/>
      <c r="W6" s="3404"/>
      <c r="X6" s="1265"/>
      <c r="Y6" s="3401"/>
      <c r="Z6" s="3402"/>
      <c r="AA6" s="3371"/>
      <c r="AB6" s="3371"/>
      <c r="AC6" s="3371"/>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2" t="s">
        <v>1680</v>
      </c>
      <c r="Q7" s="3406"/>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7"/>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7"/>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7"/>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7"/>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7"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8"/>
      <c r="Q16" s="1263"/>
      <c r="R16" s="667"/>
      <c r="S16" s="668"/>
      <c r="T16" s="667"/>
      <c r="U16" s="668"/>
      <c r="V16" s="667"/>
      <c r="W16" s="668"/>
      <c r="X16" s="1265"/>
      <c r="Y16" s="341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8"/>
      <c r="Q17" s="1263" t="str">
        <f>B17</f>
        <v>交通便捷度</v>
      </c>
      <c r="R17" s="667" t="s">
        <v>18</v>
      </c>
      <c r="S17" s="668">
        <f>F17</f>
        <v>100</v>
      </c>
      <c r="T17" s="667" t="s">
        <v>18</v>
      </c>
      <c r="U17" s="668">
        <f>H17</f>
        <v>100</v>
      </c>
      <c r="V17" s="667" t="s">
        <v>18</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8"/>
      <c r="Q18" s="1263"/>
      <c r="R18" s="667"/>
      <c r="S18" s="668"/>
      <c r="T18" s="667"/>
      <c r="U18" s="668"/>
      <c r="V18" s="667"/>
      <c r="W18" s="668"/>
      <c r="X18" s="1265"/>
      <c r="Y18" s="341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8"/>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8"/>
      <c r="Q20" s="1263"/>
      <c r="R20" s="667"/>
      <c r="S20" s="668"/>
      <c r="T20" s="667"/>
      <c r="U20" s="668"/>
      <c r="V20" s="667"/>
      <c r="W20" s="668"/>
      <c r="X20" s="1265"/>
      <c r="Y20" s="341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8"/>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8"/>
      <c r="Q22" s="1263"/>
      <c r="R22" s="667"/>
      <c r="S22" s="668"/>
      <c r="T22" s="667"/>
      <c r="U22" s="668"/>
      <c r="V22" s="667"/>
      <c r="W22" s="668"/>
      <c r="X22" s="1265"/>
      <c r="Y22" s="341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8"/>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8"/>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8"/>
      <c r="Q26" s="1263" t="str">
        <f t="shared" si="11"/>
        <v>朝向</v>
      </c>
      <c r="R26" s="667" t="s">
        <v>18</v>
      </c>
      <c r="S26" s="668">
        <f t="shared" si="12"/>
        <v>100</v>
      </c>
      <c r="T26" s="667" t="s">
        <v>18</v>
      </c>
      <c r="U26" s="668">
        <f t="shared" si="13"/>
        <v>100</v>
      </c>
      <c r="V26" s="667" t="s">
        <v>18</v>
      </c>
      <c r="W26" s="668">
        <f t="shared" si="14"/>
        <v>100</v>
      </c>
      <c r="X26" s="1265"/>
      <c r="Y26" s="341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8"/>
      <c r="Q27" s="530">
        <f t="shared" si="11"/>
        <v>111</v>
      </c>
      <c r="R27" s="664" t="s">
        <v>18</v>
      </c>
      <c r="S27" s="665">
        <f t="shared" si="12"/>
        <v>100</v>
      </c>
      <c r="T27" s="664" t="s">
        <v>18</v>
      </c>
      <c r="U27" s="665">
        <f t="shared" si="13"/>
        <v>100</v>
      </c>
      <c r="V27" s="664" t="s">
        <v>18</v>
      </c>
      <c r="W27" s="665">
        <f t="shared" si="14"/>
        <v>100</v>
      </c>
      <c r="X27" s="666"/>
      <c r="Y27" s="341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8"/>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8"/>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8"/>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8"/>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1" t="s">
        <v>1696</v>
      </c>
      <c r="Q32" s="1263" t="str">
        <f t="shared" si="11"/>
        <v>建筑类型</v>
      </c>
      <c r="R32" s="667" t="s">
        <v>18</v>
      </c>
      <c r="S32" s="668">
        <f t="shared" si="12"/>
        <v>100</v>
      </c>
      <c r="T32" s="667" t="s">
        <v>18</v>
      </c>
      <c r="U32" s="668">
        <f t="shared" si="13"/>
        <v>100</v>
      </c>
      <c r="V32" s="667" t="s">
        <v>18</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2"/>
      <c r="Q33" s="531" t="str">
        <f t="shared" si="11"/>
        <v>项目建筑规模</v>
      </c>
      <c r="R33" s="669" t="s">
        <v>18</v>
      </c>
      <c r="S33" s="670" t="e">
        <f t="shared" si="12"/>
        <v>#N/A</v>
      </c>
      <c r="T33" s="669" t="s">
        <v>18</v>
      </c>
      <c r="U33" s="670" t="e">
        <f t="shared" si="13"/>
        <v>#N/A</v>
      </c>
      <c r="V33" s="669" t="s">
        <v>18</v>
      </c>
      <c r="W33" s="670" t="e">
        <f t="shared" si="14"/>
        <v>#N/A</v>
      </c>
      <c r="X33" s="671"/>
      <c r="Y33" s="341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2"/>
      <c r="Q37" s="530" t="str">
        <f t="shared" si="11"/>
        <v>成新度</v>
      </c>
      <c r="R37" s="664" t="s">
        <v>18</v>
      </c>
      <c r="S37" s="665" t="e">
        <f t="shared" si="12"/>
        <v>#N/A</v>
      </c>
      <c r="T37" s="664" t="s">
        <v>18</v>
      </c>
      <c r="U37" s="665" t="e">
        <f t="shared" si="13"/>
        <v>#N/A</v>
      </c>
      <c r="V37" s="664" t="s">
        <v>18</v>
      </c>
      <c r="W37" s="665" t="e">
        <f t="shared" si="14"/>
        <v>#N/A</v>
      </c>
      <c r="X37" s="666"/>
      <c r="Y37" s="341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2"/>
      <c r="Q42" s="1263" t="str">
        <f t="shared" si="11"/>
        <v>内部装修</v>
      </c>
      <c r="R42" s="667" t="s">
        <v>18</v>
      </c>
      <c r="S42" s="668">
        <f t="shared" si="12"/>
        <v>100</v>
      </c>
      <c r="T42" s="667" t="s">
        <v>18</v>
      </c>
      <c r="U42" s="668">
        <f t="shared" si="13"/>
        <v>100</v>
      </c>
      <c r="V42" s="667" t="s">
        <v>18</v>
      </c>
      <c r="W42" s="668">
        <f t="shared" si="14"/>
        <v>100</v>
      </c>
      <c r="X42" s="1265"/>
      <c r="Y42" s="341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16" t="str">
        <f>A47</f>
        <v>成交单价（元/平方米）</v>
      </c>
      <c r="Q47" s="3416"/>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6" t="str">
        <f>A48</f>
        <v>比较价值（元/平方米）</v>
      </c>
      <c r="Q48" s="3416"/>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1836.72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5" t="s">
        <v>1775</v>
      </c>
      <c r="Q4" s="3446"/>
      <c r="R4" s="3442" t="s">
        <v>1771</v>
      </c>
      <c r="S4" s="3443"/>
      <c r="T4" s="3442" t="s">
        <v>1772</v>
      </c>
      <c r="U4" s="3443"/>
      <c r="V4" s="3404" t="s">
        <v>1773</v>
      </c>
      <c r="W4" s="3404"/>
      <c r="X4" s="1265"/>
      <c r="Y4" s="3442" t="s">
        <v>1775</v>
      </c>
      <c r="Z4" s="3443"/>
      <c r="AA4" s="3441" t="s">
        <v>1771</v>
      </c>
      <c r="AB4" s="3404" t="s">
        <v>1772</v>
      </c>
      <c r="AC4" s="3441" t="s">
        <v>1773</v>
      </c>
    </row>
    <row r="5" spans="1:29" ht="15">
      <c r="A5" s="348"/>
      <c r="B5" s="349"/>
      <c r="C5" s="3380" t="s">
        <v>1673</v>
      </c>
      <c r="D5" s="3381"/>
      <c r="E5" s="3444" t="s">
        <v>1674</v>
      </c>
      <c r="F5" s="3379"/>
      <c r="G5" s="3380" t="s">
        <v>1675</v>
      </c>
      <c r="H5" s="3381"/>
      <c r="I5" s="3380" t="s">
        <v>1676</v>
      </c>
      <c r="J5" s="3381"/>
      <c r="K5" s="537"/>
      <c r="L5" s="2486"/>
      <c r="M5" s="2487"/>
      <c r="N5" s="2487"/>
      <c r="O5" s="2487"/>
      <c r="P5" s="3447"/>
      <c r="Q5" s="3398"/>
      <c r="R5" s="3376"/>
      <c r="S5" s="3377"/>
      <c r="T5" s="3376"/>
      <c r="U5" s="3377"/>
      <c r="V5" s="3404"/>
      <c r="W5" s="3404"/>
      <c r="X5" s="1265"/>
      <c r="Y5" s="3376"/>
      <c r="Z5" s="3377"/>
      <c r="AA5" s="3370"/>
      <c r="AB5" s="3404"/>
      <c r="AC5" s="3370"/>
    </row>
    <row r="6" spans="1:29" ht="15.75" thickBot="1">
      <c r="A6" s="350"/>
      <c r="B6" s="351"/>
      <c r="C6" s="3382" t="s">
        <v>1677</v>
      </c>
      <c r="D6" s="3383"/>
      <c r="E6" s="3385" t="s">
        <v>1677</v>
      </c>
      <c r="F6" s="3386"/>
      <c r="G6" s="3382" t="s">
        <v>1677</v>
      </c>
      <c r="H6" s="3383"/>
      <c r="I6" s="3382" t="s">
        <v>1677</v>
      </c>
      <c r="J6" s="3383"/>
      <c r="K6" s="537" t="s">
        <v>1678</v>
      </c>
      <c r="L6" s="2486"/>
      <c r="M6" s="2487"/>
      <c r="N6" s="2487"/>
      <c r="O6" s="2487"/>
      <c r="P6" s="3448"/>
      <c r="Q6" s="3400"/>
      <c r="R6" s="3376"/>
      <c r="S6" s="3377"/>
      <c r="T6" s="3401"/>
      <c r="U6" s="3402"/>
      <c r="V6" s="3404"/>
      <c r="W6" s="3404"/>
      <c r="X6" s="1265"/>
      <c r="Y6" s="3401"/>
      <c r="Z6" s="3402"/>
      <c r="AA6" s="3371"/>
      <c r="AB6" s="3404"/>
      <c r="AC6" s="3371"/>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372" t="s">
        <v>1680</v>
      </c>
      <c r="Q7" s="3406"/>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7"/>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7"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8"/>
      <c r="Q16" s="1263"/>
      <c r="R16" s="667"/>
      <c r="S16" s="668"/>
      <c r="T16" s="667"/>
      <c r="U16" s="668"/>
      <c r="V16" s="667"/>
      <c r="W16" s="668"/>
      <c r="X16" s="1265"/>
      <c r="Y16" s="341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8"/>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8"/>
      <c r="Q18" s="1263"/>
      <c r="R18" s="667"/>
      <c r="S18" s="668"/>
      <c r="T18" s="667"/>
      <c r="U18" s="668"/>
      <c r="V18" s="667"/>
      <c r="W18" s="668"/>
      <c r="X18" s="1265"/>
      <c r="Y18" s="341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8"/>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8"/>
      <c r="Q20" s="1263"/>
      <c r="R20" s="667"/>
      <c r="S20" s="668"/>
      <c r="T20" s="667"/>
      <c r="U20" s="668"/>
      <c r="V20" s="667"/>
      <c r="W20" s="668"/>
      <c r="X20" s="1265"/>
      <c r="Y20" s="341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8"/>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8"/>
      <c r="Q22" s="1263"/>
      <c r="R22" s="667"/>
      <c r="S22" s="668"/>
      <c r="T22" s="667"/>
      <c r="U22" s="668"/>
      <c r="V22" s="667"/>
      <c r="W22" s="668"/>
      <c r="X22" s="1265"/>
      <c r="Y22" s="341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8"/>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8"/>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8"/>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8"/>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8"/>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16" t="str">
        <f>A47</f>
        <v>成交单价（元/平方米）</v>
      </c>
      <c r="Q47" s="3416"/>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6" t="str">
        <f>A48</f>
        <v>比较价值（元/平方米）</v>
      </c>
      <c r="Q48" s="3416"/>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1836.72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445" t="s">
        <v>1775</v>
      </c>
      <c r="Q4" s="3446"/>
      <c r="R4" s="3442" t="s">
        <v>1771</v>
      </c>
      <c r="S4" s="3443"/>
      <c r="T4" s="3442" t="s">
        <v>1772</v>
      </c>
      <c r="U4" s="3443"/>
      <c r="V4" s="3404" t="s">
        <v>1773</v>
      </c>
      <c r="W4" s="3404"/>
      <c r="X4" s="1265"/>
      <c r="Y4" s="3442" t="s">
        <v>1775</v>
      </c>
      <c r="Z4" s="3443"/>
      <c r="AA4" s="3441" t="s">
        <v>1771</v>
      </c>
      <c r="AB4" s="3370" t="s">
        <v>1772</v>
      </c>
      <c r="AC4" s="3441" t="s">
        <v>1773</v>
      </c>
    </row>
    <row r="5" spans="1:29" ht="15">
      <c r="A5" s="348"/>
      <c r="B5" s="349"/>
      <c r="C5" s="3380" t="s">
        <v>1673</v>
      </c>
      <c r="D5" s="3381"/>
      <c r="E5" s="3444" t="s">
        <v>1674</v>
      </c>
      <c r="F5" s="3379"/>
      <c r="G5" s="3380" t="s">
        <v>1675</v>
      </c>
      <c r="H5" s="3381"/>
      <c r="I5" s="3380" t="s">
        <v>1676</v>
      </c>
      <c r="J5" s="3381"/>
      <c r="K5" s="537"/>
      <c r="L5" s="860"/>
      <c r="M5" s="861"/>
      <c r="N5" s="861"/>
      <c r="O5" s="861"/>
      <c r="P5" s="3447"/>
      <c r="Q5" s="3398"/>
      <c r="R5" s="3376"/>
      <c r="S5" s="3377"/>
      <c r="T5" s="3376"/>
      <c r="U5" s="3377"/>
      <c r="V5" s="3404"/>
      <c r="W5" s="3404"/>
      <c r="X5" s="1265"/>
      <c r="Y5" s="3376"/>
      <c r="Z5" s="3377"/>
      <c r="AA5" s="3370"/>
      <c r="AB5" s="3370"/>
      <c r="AC5" s="3370"/>
    </row>
    <row r="6" spans="1:29" ht="15.75" thickBot="1">
      <c r="A6" s="350"/>
      <c r="B6" s="351"/>
      <c r="C6" s="3382" t="s">
        <v>1677</v>
      </c>
      <c r="D6" s="3383"/>
      <c r="E6" s="3385" t="s">
        <v>1677</v>
      </c>
      <c r="F6" s="3386"/>
      <c r="G6" s="3382" t="s">
        <v>1677</v>
      </c>
      <c r="H6" s="3383"/>
      <c r="I6" s="3382" t="s">
        <v>1677</v>
      </c>
      <c r="J6" s="3383"/>
      <c r="K6" s="537" t="s">
        <v>1678</v>
      </c>
      <c r="L6" s="860"/>
      <c r="M6" s="861"/>
      <c r="N6" s="861"/>
      <c r="O6" s="861"/>
      <c r="P6" s="3448"/>
      <c r="Q6" s="3400"/>
      <c r="R6" s="3376"/>
      <c r="S6" s="3377"/>
      <c r="T6" s="3401"/>
      <c r="U6" s="3402"/>
      <c r="V6" s="3404"/>
      <c r="W6" s="3404"/>
      <c r="X6" s="1265"/>
      <c r="Y6" s="3401"/>
      <c r="Z6" s="3402"/>
      <c r="AA6" s="3371"/>
      <c r="AB6" s="3371"/>
      <c r="AC6" s="3371"/>
    </row>
    <row r="7" spans="1:29" s="102" customFormat="1" ht="15.7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6"/>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6" t="str">
        <f>A41</f>
        <v>成交单价（元/平方米）</v>
      </c>
      <c r="Q41" s="3416"/>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5" t="s">
        <v>1775</v>
      </c>
      <c r="Q4" s="3446"/>
      <c r="R4" s="3442" t="s">
        <v>1771</v>
      </c>
      <c r="S4" s="3443"/>
      <c r="T4" s="3442" t="s">
        <v>1772</v>
      </c>
      <c r="U4" s="3443"/>
      <c r="V4" s="3404" t="s">
        <v>1773</v>
      </c>
      <c r="W4" s="3404"/>
      <c r="X4" s="1265"/>
      <c r="Y4" s="3442" t="s">
        <v>1775</v>
      </c>
      <c r="Z4" s="3443"/>
      <c r="AA4" s="3441" t="s">
        <v>1771</v>
      </c>
      <c r="AB4" s="3370" t="s">
        <v>1772</v>
      </c>
      <c r="AC4" s="3441" t="s">
        <v>1773</v>
      </c>
    </row>
    <row r="5" spans="1:29" ht="15">
      <c r="A5" s="348"/>
      <c r="B5" s="349"/>
      <c r="C5" s="3380" t="s">
        <v>1673</v>
      </c>
      <c r="D5" s="3381"/>
      <c r="E5" s="3444" t="s">
        <v>1674</v>
      </c>
      <c r="F5" s="3379"/>
      <c r="G5" s="3380" t="s">
        <v>1675</v>
      </c>
      <c r="H5" s="3381"/>
      <c r="I5" s="3380" t="s">
        <v>1676</v>
      </c>
      <c r="J5" s="3381"/>
      <c r="K5" s="537"/>
      <c r="L5" s="2486"/>
      <c r="M5" s="2487"/>
      <c r="N5" s="2487"/>
      <c r="O5" s="2487"/>
      <c r="P5" s="3447"/>
      <c r="Q5" s="3398"/>
      <c r="R5" s="3376"/>
      <c r="S5" s="3377"/>
      <c r="T5" s="3376"/>
      <c r="U5" s="3377"/>
      <c r="V5" s="3404"/>
      <c r="W5" s="3404"/>
      <c r="X5" s="1265"/>
      <c r="Y5" s="3376"/>
      <c r="Z5" s="3377"/>
      <c r="AA5" s="3370"/>
      <c r="AB5" s="3370"/>
      <c r="AC5" s="3370"/>
    </row>
    <row r="6" spans="1:29" ht="15.75" thickBot="1">
      <c r="A6" s="350"/>
      <c r="B6" s="351"/>
      <c r="C6" s="3382" t="s">
        <v>1677</v>
      </c>
      <c r="D6" s="3383"/>
      <c r="E6" s="3385" t="s">
        <v>1677</v>
      </c>
      <c r="F6" s="3386"/>
      <c r="G6" s="3382" t="s">
        <v>1677</v>
      </c>
      <c r="H6" s="3383"/>
      <c r="I6" s="3382" t="s">
        <v>1677</v>
      </c>
      <c r="J6" s="3383"/>
      <c r="K6" s="537" t="s">
        <v>1678</v>
      </c>
      <c r="L6" s="2486"/>
      <c r="M6" s="2487"/>
      <c r="N6" s="2487"/>
      <c r="O6" s="2487"/>
      <c r="P6" s="3448"/>
      <c r="Q6" s="3400"/>
      <c r="R6" s="3376"/>
      <c r="S6" s="3377"/>
      <c r="T6" s="3401"/>
      <c r="U6" s="3402"/>
      <c r="V6" s="3404"/>
      <c r="W6" s="3404"/>
      <c r="X6" s="1265"/>
      <c r="Y6" s="3401"/>
      <c r="Z6" s="3402"/>
      <c r="AA6" s="3371"/>
      <c r="AB6" s="3371"/>
      <c r="AC6" s="3371"/>
    </row>
    <row r="7" spans="1:29" s="102" customFormat="1" ht="15.7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2" t="s">
        <v>1680</v>
      </c>
      <c r="Q7" s="3406"/>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6"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0"/>
      <c r="Q15" s="1263"/>
      <c r="R15" s="667"/>
      <c r="S15" s="668"/>
      <c r="T15" s="667"/>
      <c r="U15" s="668"/>
      <c r="V15" s="667"/>
      <c r="W15" s="668"/>
      <c r="X15" s="1265"/>
      <c r="Y15" s="341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0"/>
      <c r="Q17" s="1263"/>
      <c r="R17" s="667"/>
      <c r="S17" s="668"/>
      <c r="T17" s="667"/>
      <c r="U17" s="668"/>
      <c r="V17" s="667"/>
      <c r="W17" s="668"/>
      <c r="X17" s="1265"/>
      <c r="Y17" s="341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0"/>
      <c r="Q19" s="1263"/>
      <c r="R19" s="667"/>
      <c r="S19" s="668"/>
      <c r="T19" s="667"/>
      <c r="U19" s="668"/>
      <c r="V19" s="667"/>
      <c r="W19" s="668"/>
      <c r="X19" s="1265"/>
      <c r="Y19" s="341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4"/>
      <c r="M37" s="2487"/>
      <c r="N37" s="2487"/>
      <c r="O37" s="2487"/>
      <c r="P37" s="3416" t="str">
        <f>A37</f>
        <v>成交单价</v>
      </c>
      <c r="Q37" s="3416"/>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6" t="str">
        <f>A38</f>
        <v>比较价值（元/平方米）</v>
      </c>
      <c r="Q38" s="3416"/>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5" t="s">
        <v>1775</v>
      </c>
      <c r="Q4" s="3446"/>
      <c r="R4" s="3442" t="s">
        <v>1771</v>
      </c>
      <c r="S4" s="3443"/>
      <c r="T4" s="3442" t="s">
        <v>1772</v>
      </c>
      <c r="U4" s="3443"/>
      <c r="V4" s="3404" t="s">
        <v>1773</v>
      </c>
      <c r="W4" s="3404"/>
      <c r="X4" s="1265"/>
      <c r="Y4" s="3442" t="s">
        <v>1775</v>
      </c>
      <c r="Z4" s="3443"/>
      <c r="AA4" s="3441" t="s">
        <v>1771</v>
      </c>
      <c r="AB4" s="3370" t="s">
        <v>1772</v>
      </c>
      <c r="AC4" s="3441" t="s">
        <v>1773</v>
      </c>
    </row>
    <row r="5" spans="1:29" ht="15">
      <c r="A5" s="348"/>
      <c r="B5" s="349"/>
      <c r="C5" s="3380" t="s">
        <v>1673</v>
      </c>
      <c r="D5" s="3381"/>
      <c r="E5" s="3444" t="s">
        <v>1674</v>
      </c>
      <c r="F5" s="3379"/>
      <c r="G5" s="3380" t="s">
        <v>1675</v>
      </c>
      <c r="H5" s="3381"/>
      <c r="I5" s="3380" t="s">
        <v>1676</v>
      </c>
      <c r="J5" s="3381"/>
      <c r="K5" s="537"/>
      <c r="L5" s="2486"/>
      <c r="M5" s="2487"/>
      <c r="N5" s="2487"/>
      <c r="O5" s="2487"/>
      <c r="P5" s="3447"/>
      <c r="Q5" s="3398"/>
      <c r="R5" s="3376"/>
      <c r="S5" s="3377"/>
      <c r="T5" s="3376"/>
      <c r="U5" s="3377"/>
      <c r="V5" s="3404"/>
      <c r="W5" s="3404"/>
      <c r="X5" s="1265"/>
      <c r="Y5" s="3376"/>
      <c r="Z5" s="3377"/>
      <c r="AA5" s="3370"/>
      <c r="AB5" s="3370"/>
      <c r="AC5" s="3370"/>
    </row>
    <row r="6" spans="1:29" ht="15.75" thickBot="1">
      <c r="A6" s="350"/>
      <c r="B6" s="351"/>
      <c r="C6" s="3382" t="s">
        <v>1677</v>
      </c>
      <c r="D6" s="3383"/>
      <c r="E6" s="3385" t="s">
        <v>1677</v>
      </c>
      <c r="F6" s="3386"/>
      <c r="G6" s="3382" t="s">
        <v>1677</v>
      </c>
      <c r="H6" s="3383"/>
      <c r="I6" s="3382" t="s">
        <v>1677</v>
      </c>
      <c r="J6" s="3383"/>
      <c r="K6" s="537" t="s">
        <v>1678</v>
      </c>
      <c r="L6" s="2486"/>
      <c r="M6" s="2487"/>
      <c r="N6" s="2487"/>
      <c r="O6" s="2487"/>
      <c r="P6" s="3448"/>
      <c r="Q6" s="3400"/>
      <c r="R6" s="3376"/>
      <c r="S6" s="3377"/>
      <c r="T6" s="3401"/>
      <c r="U6" s="3402"/>
      <c r="V6" s="3404"/>
      <c r="W6" s="3404"/>
      <c r="X6" s="1265"/>
      <c r="Y6" s="3401"/>
      <c r="Z6" s="3402"/>
      <c r="AA6" s="3371"/>
      <c r="AB6" s="3371"/>
      <c r="AC6" s="3371"/>
    </row>
    <row r="7" spans="1:29" s="102" customFormat="1" ht="15.7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2" t="s">
        <v>1680</v>
      </c>
      <c r="Q7" s="3406"/>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6"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0"/>
      <c r="Q15" s="1263"/>
      <c r="R15" s="667"/>
      <c r="S15" s="668"/>
      <c r="T15" s="667"/>
      <c r="U15" s="668"/>
      <c r="V15" s="667"/>
      <c r="W15" s="668"/>
      <c r="X15" s="1265"/>
      <c r="Y15" s="341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0"/>
      <c r="Q17" s="1263"/>
      <c r="R17" s="667"/>
      <c r="S17" s="668"/>
      <c r="T17" s="667"/>
      <c r="U17" s="668"/>
      <c r="V17" s="667"/>
      <c r="W17" s="668"/>
      <c r="X17" s="1265"/>
      <c r="Y17" s="341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0"/>
      <c r="Q19" s="1263"/>
      <c r="R19" s="667"/>
      <c r="S19" s="668"/>
      <c r="T19" s="667"/>
      <c r="U19" s="668"/>
      <c r="V19" s="667"/>
      <c r="W19" s="668"/>
      <c r="X19" s="1265"/>
      <c r="Y19" s="341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6" t="str">
        <f>A35</f>
        <v>成交单价（元/平方米）</v>
      </c>
      <c r="Q35" s="3416"/>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6" t="str">
        <f>A36</f>
        <v>比较价值（元/平方米）</v>
      </c>
      <c r="Q36" s="3416"/>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5" t="s">
        <v>1775</v>
      </c>
      <c r="Q4" s="3446"/>
      <c r="R4" s="3442" t="s">
        <v>1771</v>
      </c>
      <c r="S4" s="3443"/>
      <c r="T4" s="3442" t="s">
        <v>1772</v>
      </c>
      <c r="U4" s="3443"/>
      <c r="V4" s="3404" t="s">
        <v>1773</v>
      </c>
      <c r="W4" s="3404"/>
      <c r="X4" s="1265"/>
      <c r="Y4" s="3442" t="s">
        <v>1775</v>
      </c>
      <c r="Z4" s="3443"/>
      <c r="AA4" s="3441" t="s">
        <v>1771</v>
      </c>
      <c r="AB4" s="3370" t="s">
        <v>1772</v>
      </c>
      <c r="AC4" s="3441" t="s">
        <v>1773</v>
      </c>
    </row>
    <row r="5" spans="1:29" ht="15">
      <c r="A5" s="348"/>
      <c r="B5" s="349"/>
      <c r="C5" s="3380" t="s">
        <v>1673</v>
      </c>
      <c r="D5" s="3381"/>
      <c r="E5" s="3444" t="s">
        <v>1674</v>
      </c>
      <c r="F5" s="3379"/>
      <c r="G5" s="3380" t="s">
        <v>1675</v>
      </c>
      <c r="H5" s="3381"/>
      <c r="I5" s="3380" t="s">
        <v>1676</v>
      </c>
      <c r="J5" s="3381"/>
      <c r="K5" s="537"/>
      <c r="L5" s="2486"/>
      <c r="M5" s="2487"/>
      <c r="N5" s="2487"/>
      <c r="O5" s="2487"/>
      <c r="P5" s="3447"/>
      <c r="Q5" s="3398"/>
      <c r="R5" s="3376"/>
      <c r="S5" s="3377"/>
      <c r="T5" s="3376"/>
      <c r="U5" s="3377"/>
      <c r="V5" s="3404"/>
      <c r="W5" s="3404"/>
      <c r="X5" s="1265"/>
      <c r="Y5" s="3376"/>
      <c r="Z5" s="3377"/>
      <c r="AA5" s="3370"/>
      <c r="AB5" s="3370"/>
      <c r="AC5" s="3370"/>
    </row>
    <row r="6" spans="1:29" ht="15.75" thickBot="1">
      <c r="A6" s="350"/>
      <c r="B6" s="351"/>
      <c r="C6" s="3382" t="s">
        <v>1677</v>
      </c>
      <c r="D6" s="3383"/>
      <c r="E6" s="3385" t="s">
        <v>1677</v>
      </c>
      <c r="F6" s="3386"/>
      <c r="G6" s="3382" t="s">
        <v>1677</v>
      </c>
      <c r="H6" s="3383"/>
      <c r="I6" s="3382" t="s">
        <v>1677</v>
      </c>
      <c r="J6" s="3383"/>
      <c r="K6" s="537" t="s">
        <v>1678</v>
      </c>
      <c r="L6" s="2486"/>
      <c r="M6" s="2487"/>
      <c r="N6" s="2487"/>
      <c r="O6" s="2487"/>
      <c r="P6" s="3448"/>
      <c r="Q6" s="3400"/>
      <c r="R6" s="3376"/>
      <c r="S6" s="3377"/>
      <c r="T6" s="3401"/>
      <c r="U6" s="3402"/>
      <c r="V6" s="3404"/>
      <c r="W6" s="3404"/>
      <c r="X6" s="1265"/>
      <c r="Y6" s="3401"/>
      <c r="Z6" s="3402"/>
      <c r="AA6" s="3371"/>
      <c r="AB6" s="3371"/>
      <c r="AC6" s="3371"/>
    </row>
    <row r="7" spans="1:29" s="102" customFormat="1" ht="15.7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2" t="s">
        <v>1680</v>
      </c>
      <c r="Q7" s="3406"/>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416"/>
      <c r="Q10" s="530" t="str">
        <f t="shared" si="6"/>
        <v>土地使用年限（年）</v>
      </c>
      <c r="R10" s="664" t="s">
        <v>14</v>
      </c>
      <c r="S10" s="665">
        <f t="shared" si="0"/>
        <v>126</v>
      </c>
      <c r="T10" s="664" t="s">
        <v>14</v>
      </c>
      <c r="U10" s="665">
        <f t="shared" si="1"/>
        <v>126</v>
      </c>
      <c r="V10" s="664" t="s">
        <v>14</v>
      </c>
      <c r="W10" s="665">
        <f t="shared" si="2"/>
        <v>126</v>
      </c>
      <c r="X10" s="666"/>
      <c r="Y10" s="3337"/>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6"/>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6"/>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6"/>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6"/>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0"/>
      <c r="Q16" s="1263"/>
      <c r="R16" s="667"/>
      <c r="S16" s="668"/>
      <c r="T16" s="667"/>
      <c r="U16" s="668"/>
      <c r="V16" s="667"/>
      <c r="W16" s="668"/>
      <c r="X16" s="1265"/>
      <c r="Y16" s="341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0"/>
      <c r="Q18" s="1263"/>
      <c r="R18" s="667"/>
      <c r="S18" s="668"/>
      <c r="T18" s="667"/>
      <c r="U18" s="668"/>
      <c r="V18" s="667"/>
      <c r="W18" s="668"/>
      <c r="X18" s="1265"/>
      <c r="Y18" s="341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0"/>
      <c r="Q20" s="1263"/>
      <c r="R20" s="667"/>
      <c r="S20" s="668"/>
      <c r="T20" s="667"/>
      <c r="U20" s="668"/>
      <c r="V20" s="667"/>
      <c r="W20" s="668"/>
      <c r="X20" s="1265"/>
      <c r="Y20" s="341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0"/>
      <c r="Q22" s="1263"/>
      <c r="R22" s="667"/>
      <c r="S22" s="668"/>
      <c r="T22" s="667"/>
      <c r="U22" s="668"/>
      <c r="V22" s="667"/>
      <c r="W22" s="668"/>
      <c r="X22" s="1265"/>
      <c r="Y22" s="341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0"/>
      <c r="Q24" s="1263"/>
      <c r="R24" s="667"/>
      <c r="S24" s="668"/>
      <c r="T24" s="667"/>
      <c r="U24" s="668"/>
      <c r="V24" s="667"/>
      <c r="W24" s="668"/>
      <c r="X24" s="1265"/>
      <c r="Y24" s="341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0"/>
      <c r="Q26" s="1263"/>
      <c r="R26" s="667"/>
      <c r="S26" s="668"/>
      <c r="T26" s="667"/>
      <c r="U26" s="668"/>
      <c r="V26" s="667"/>
      <c r="W26" s="668"/>
      <c r="X26" s="1265"/>
      <c r="Y26" s="341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10"/>
      <c r="Q28" s="530"/>
      <c r="R28" s="664"/>
      <c r="S28" s="665"/>
      <c r="T28" s="664"/>
      <c r="U28" s="665"/>
      <c r="V28" s="664"/>
      <c r="W28" s="665"/>
      <c r="X28" s="666"/>
      <c r="Y28" s="341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2"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16" t="str">
        <f>A46</f>
        <v>成交单价</v>
      </c>
      <c r="Q46" s="3416"/>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6" t="str">
        <f>A47</f>
        <v>比较价值（元/平方米）</v>
      </c>
      <c r="Q47" s="3416"/>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5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1836.72</v>
      </c>
      <c r="F56" s="833" t="e">
        <f t="shared" ref="F56:F64" si="15">ROUND(B56*E56/10000,0)</f>
        <v>#DIV/0!</v>
      </c>
      <c r="G56" s="3387"/>
      <c r="H56" s="341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1836.72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5" t="s">
        <v>1775</v>
      </c>
      <c r="Q4" s="3446"/>
      <c r="R4" s="3442" t="s">
        <v>1771</v>
      </c>
      <c r="S4" s="3443"/>
      <c r="T4" s="3442" t="s">
        <v>1772</v>
      </c>
      <c r="U4" s="3443"/>
      <c r="V4" s="3404" t="s">
        <v>1773</v>
      </c>
      <c r="W4" s="3404"/>
      <c r="X4" s="1265"/>
      <c r="Y4" s="3442" t="s">
        <v>1775</v>
      </c>
      <c r="Z4" s="3443"/>
      <c r="AA4" s="3441" t="s">
        <v>1771</v>
      </c>
      <c r="AB4" s="3370" t="s">
        <v>1772</v>
      </c>
      <c r="AC4" s="3441" t="s">
        <v>1773</v>
      </c>
    </row>
    <row r="5" spans="1:29" ht="15">
      <c r="A5" s="348"/>
      <c r="B5" s="349"/>
      <c r="C5" s="3380" t="s">
        <v>1673</v>
      </c>
      <c r="D5" s="3381"/>
      <c r="E5" s="3444" t="s">
        <v>1674</v>
      </c>
      <c r="F5" s="3379"/>
      <c r="G5" s="3380" t="s">
        <v>1675</v>
      </c>
      <c r="H5" s="3381"/>
      <c r="I5" s="3380" t="s">
        <v>1676</v>
      </c>
      <c r="J5" s="3381"/>
      <c r="K5" s="537"/>
      <c r="L5" s="2486"/>
      <c r="M5" s="2487"/>
      <c r="N5" s="2487"/>
      <c r="O5" s="2487"/>
      <c r="P5" s="3447"/>
      <c r="Q5" s="3398"/>
      <c r="R5" s="3376"/>
      <c r="S5" s="3377"/>
      <c r="T5" s="3376"/>
      <c r="U5" s="3377"/>
      <c r="V5" s="3404"/>
      <c r="W5" s="3404"/>
      <c r="X5" s="1265"/>
      <c r="Y5" s="3376"/>
      <c r="Z5" s="3377"/>
      <c r="AA5" s="3370"/>
      <c r="AB5" s="3370"/>
      <c r="AC5" s="3370"/>
    </row>
    <row r="6" spans="1:29" ht="15.75" thickBot="1">
      <c r="A6" s="350"/>
      <c r="B6" s="351"/>
      <c r="C6" s="3457" t="s">
        <v>1919</v>
      </c>
      <c r="D6" s="3458"/>
      <c r="E6" s="3459" t="s">
        <v>1919</v>
      </c>
      <c r="F6" s="3460"/>
      <c r="G6" s="3457" t="s">
        <v>1919</v>
      </c>
      <c r="H6" s="3458"/>
      <c r="I6" s="3457" t="s">
        <v>1919</v>
      </c>
      <c r="J6" s="3458"/>
      <c r="K6" s="537" t="s">
        <v>1678</v>
      </c>
      <c r="L6" s="2486"/>
      <c r="M6" s="2487"/>
      <c r="N6" s="2487"/>
      <c r="O6" s="2487"/>
      <c r="P6" s="3448"/>
      <c r="Q6" s="3400"/>
      <c r="R6" s="3376"/>
      <c r="S6" s="3377"/>
      <c r="T6" s="3401"/>
      <c r="U6" s="3402"/>
      <c r="V6" s="3404"/>
      <c r="W6" s="3404"/>
      <c r="X6" s="1265"/>
      <c r="Y6" s="3401"/>
      <c r="Z6" s="3402"/>
      <c r="AA6" s="3371"/>
      <c r="AB6" s="3371"/>
      <c r="AC6" s="3371"/>
    </row>
    <row r="7" spans="1:29" s="102" customFormat="1" ht="15.7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2" t="s">
        <v>1680</v>
      </c>
      <c r="Q7" s="3406"/>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416"/>
      <c r="Q10" s="530" t="str">
        <f t="shared" si="6"/>
        <v>土地使用年限（年）</v>
      </c>
      <c r="R10" s="664" t="s">
        <v>14</v>
      </c>
      <c r="S10" s="665">
        <f t="shared" si="0"/>
        <v>126</v>
      </c>
      <c r="T10" s="664" t="s">
        <v>14</v>
      </c>
      <c r="U10" s="665">
        <f t="shared" si="1"/>
        <v>126</v>
      </c>
      <c r="V10" s="664" t="s">
        <v>14</v>
      </c>
      <c r="W10" s="665">
        <f t="shared" si="2"/>
        <v>126</v>
      </c>
      <c r="X10" s="666"/>
      <c r="Y10" s="3337"/>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6"/>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0"/>
      <c r="Q16" s="1263"/>
      <c r="R16" s="667"/>
      <c r="S16" s="668"/>
      <c r="T16" s="667"/>
      <c r="U16" s="668"/>
      <c r="V16" s="667"/>
      <c r="W16" s="668"/>
      <c r="X16" s="1265"/>
      <c r="Y16" s="341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0"/>
      <c r="Q18" s="1263"/>
      <c r="R18" s="667"/>
      <c r="S18" s="668"/>
      <c r="T18" s="667"/>
      <c r="U18" s="668"/>
      <c r="V18" s="667"/>
      <c r="W18" s="668"/>
      <c r="X18" s="1265"/>
      <c r="Y18" s="341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0"/>
      <c r="Q20" s="1263"/>
      <c r="R20" s="667"/>
      <c r="S20" s="668"/>
      <c r="T20" s="667"/>
      <c r="U20" s="668"/>
      <c r="V20" s="667"/>
      <c r="W20" s="668"/>
      <c r="X20" s="1265"/>
      <c r="Y20" s="341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0"/>
      <c r="Q22" s="1263"/>
      <c r="R22" s="667"/>
      <c r="S22" s="668"/>
      <c r="T22" s="667"/>
      <c r="U22" s="668"/>
      <c r="V22" s="667"/>
      <c r="W22" s="668"/>
      <c r="X22" s="1265"/>
      <c r="Y22" s="341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10"/>
      <c r="Q24" s="530"/>
      <c r="R24" s="664"/>
      <c r="S24" s="665"/>
      <c r="T24" s="664"/>
      <c r="U24" s="665"/>
      <c r="V24" s="664"/>
      <c r="W24" s="665"/>
      <c r="X24" s="666"/>
      <c r="Y24" s="341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2"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16" t="str">
        <f>A41</f>
        <v>成交单价</v>
      </c>
      <c r="Q41" s="3416"/>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6" t="str">
        <f>A42</f>
        <v>比较价值（元/平方米）</v>
      </c>
      <c r="Q42" s="3416"/>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1" t="s">
        <v>1887</v>
      </c>
      <c r="H50" s="345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1836.72</v>
      </c>
      <c r="F51" s="611" t="e">
        <f t="shared" ref="F51:F60" si="15">ROUND(B51*E51/10000,0)</f>
        <v>#DIV/0!</v>
      </c>
      <c r="G51" s="3387"/>
      <c r="H51" s="341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231.72</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2967</v>
      </c>
      <c r="C2" s="1984" t="s">
        <v>2074</v>
      </c>
      <c r="D2" s="1984" t="s">
        <v>2075</v>
      </c>
      <c r="E2" s="2398">
        <f ca="1">SUMIF(E6:E13,"&lt;&gt;#ref!",E6:E13)</f>
        <v>1836.72</v>
      </c>
      <c r="F2" s="2544"/>
      <c r="G2" s="2544"/>
      <c r="H2" s="2544"/>
      <c r="I2" s="2544"/>
      <c r="J2" s="2544"/>
      <c r="K2" s="2544"/>
      <c r="L2" s="2544"/>
      <c r="M2" s="2544"/>
      <c r="N2" s="2544"/>
      <c r="O2" s="2544"/>
      <c r="P2" s="2544"/>
    </row>
    <row r="3" spans="1:16" ht="15.75">
      <c r="A3" s="1984" t="s">
        <v>2076</v>
      </c>
      <c r="B3" s="2388">
        <f ca="1">ROUND(B2*10000/E2,0)</f>
        <v>16154</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2967</v>
      </c>
      <c r="C6" s="1984" t="s">
        <v>2074</v>
      </c>
      <c r="D6" s="2544"/>
      <c r="E6" s="2398">
        <f ca="1">SUMIF(INDIRECT("'"&amp;A6&amp;"'"&amp;"!C:C"),"建筑面积",INDIRECT("'"&amp;A6&amp;"'"&amp;"!D:D"))</f>
        <v>1836.72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3" sqref="L3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4889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3094</v>
      </c>
      <c r="D5" s="203" t="s">
        <v>1469</v>
      </c>
      <c r="E5" s="204" t="s">
        <v>1470</v>
      </c>
      <c r="F5" s="204" t="s">
        <v>1471</v>
      </c>
      <c r="G5" s="205"/>
    </row>
    <row r="6" spans="1:9" s="206" customFormat="1" ht="13.5" customHeight="1">
      <c r="A6" s="732" t="s">
        <v>1472</v>
      </c>
      <c r="B6" s="207" t="s">
        <v>1473</v>
      </c>
      <c r="C6" s="208">
        <f>基准地价修正!B2</f>
        <v>2967</v>
      </c>
      <c r="D6" s="209"/>
      <c r="E6" s="210"/>
      <c r="F6" s="210"/>
      <c r="G6" s="211"/>
    </row>
    <row r="7" spans="1:9" s="206" customFormat="1" ht="13.5" customHeight="1">
      <c r="A7" s="732" t="s">
        <v>1474</v>
      </c>
      <c r="B7" s="207" t="s">
        <v>1475</v>
      </c>
      <c r="C7" s="212">
        <f>ROUND(C6*F7,0)</f>
        <v>90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3425</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1836.72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1836.72</v>
      </c>
      <c r="E19" s="203">
        <f>'数据-取费表'!B31</f>
        <v>200</v>
      </c>
      <c r="F19" s="223"/>
      <c r="G19" s="1714" t="s">
        <v>3426</v>
      </c>
    </row>
    <row r="20" spans="1:7" s="206" customFormat="1" ht="13.5" customHeight="1">
      <c r="A20" s="247" t="s">
        <v>1493</v>
      </c>
      <c r="B20" s="202" t="s">
        <v>1494</v>
      </c>
      <c r="C20" s="224">
        <f ca="1">ROUND((C5+C19)*F20,0)</f>
        <v>62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199</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473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735</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1836.72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61" t="s">
        <v>1544</v>
      </c>
    </row>
    <row r="43" spans="1:7" ht="13.5" customHeight="1">
      <c r="A43" s="734" t="s">
        <v>347</v>
      </c>
      <c r="B43" s="207" t="s">
        <v>1545</v>
      </c>
      <c r="C43" s="230">
        <f ca="1">ROUND(IF('数据-取费表'!B22&lt;=1,C39*F22*'数据-取费表'!B21/2,C39*(POWER((1+F22),'数据-取费表'!B21/2)-1)),0)</f>
        <v>1</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126</v>
      </c>
      <c r="D45" s="227">
        <f ca="1">C47</f>
        <v>3.0000000000000001E-3</v>
      </c>
      <c r="E45" s="228" t="s">
        <v>1539</v>
      </c>
      <c r="F45" s="238">
        <f ca="1">F27</f>
        <v>0.15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1076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742</v>
      </c>
      <c r="D51" s="224"/>
      <c r="E51" s="224"/>
      <c r="F51" s="256"/>
      <c r="G51" s="226" t="s">
        <v>1560</v>
      </c>
    </row>
    <row r="52" spans="1:7" s="200" customFormat="1" ht="16.5" thickBot="1">
      <c r="A52" s="257" t="s">
        <v>1561</v>
      </c>
      <c r="B52" s="258"/>
      <c r="C52" s="259">
        <f ca="1">C31+C51</f>
        <v>4889</v>
      </c>
      <c r="D52" s="258"/>
      <c r="E52" s="258"/>
      <c r="F52" s="258"/>
      <c r="G52" s="260"/>
    </row>
    <row r="55" spans="1:7" ht="15">
      <c r="B55" s="262" t="s">
        <v>1562</v>
      </c>
      <c r="C55" s="263"/>
    </row>
    <row r="56" spans="1:7">
      <c r="B56" s="265" t="s">
        <v>802</v>
      </c>
      <c r="C56" s="267">
        <f ca="1">1-C57</f>
        <v>0.84799999999999998</v>
      </c>
    </row>
    <row r="57" spans="1:7">
      <c r="B57" s="265" t="s">
        <v>803</v>
      </c>
      <c r="C57" s="266">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85" zoomScaleNormal="80" zoomScaleSheetLayoutView="85" workbookViewId="0">
      <selection activeCell="L17" sqref="L1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1836.72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2967</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29124</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16154</v>
      </c>
      <c r="C3" s="1846" t="s">
        <v>1941</v>
      </c>
      <c r="D3" s="162" t="s">
        <v>1942</v>
      </c>
      <c r="E3" s="3118" t="s">
        <v>3400</v>
      </c>
      <c r="F3" s="1848" t="s">
        <v>3417</v>
      </c>
      <c r="G3" s="708">
        <f>IF(F3="宗地容积率",'数据-汇总表'!I4,IF(F3="估价对象容积率",'数据-汇总表'!I6,'数据-汇总表'!I7))</f>
        <v>7.93</v>
      </c>
      <c r="H3" s="162" t="s">
        <v>1943</v>
      </c>
      <c r="I3" s="729"/>
      <c r="J3" s="1842" t="s">
        <v>1944</v>
      </c>
      <c r="K3" s="1056"/>
      <c r="L3" s="1847" t="s">
        <v>1945</v>
      </c>
      <c r="M3" s="811">
        <f>SUMPRODUCT((区片价!B30:B54=I2)*(区片价!C3:G3=E2)*(区片价!C30:G54))</f>
        <v>23460</v>
      </c>
      <c r="N3" s="813">
        <f>SUMPRODUCT((因素修正幅度!B30:B54=I2)*(因素修正幅度!C3:G3=E2)*(因素修正幅度!C30:G54))</f>
        <v>8.5000000000000006E-2</v>
      </c>
      <c r="O3" s="1056"/>
      <c r="P3" s="1056"/>
      <c r="Q3" s="1056"/>
      <c r="R3" s="1129">
        <v>2</v>
      </c>
      <c r="S3" s="3063">
        <f>ROUND(SUMPRODUCT((B106:B110=R3)*(C105:N105=G2)*(C106:N110)),4)</f>
        <v>1.1838</v>
      </c>
      <c r="T3" s="3063">
        <f t="shared" si="0"/>
        <v>22955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19401</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23460</v>
      </c>
      <c r="D5" s="1252">
        <f>ROUND(C6*C17+C20,0)</f>
        <v>23460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17111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16444</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7.93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3"/>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v>1</v>
      </c>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78" t="s">
        <v>3245</v>
      </c>
      <c r="B20" s="159" t="s">
        <v>1994</v>
      </c>
      <c r="C20" s="3031">
        <f>ROUND(IF(F21="与级别开发程度一致",0,(G21-E21)/C21),0)</f>
        <v>0</v>
      </c>
      <c r="D20" s="3046" t="s">
        <v>1998</v>
      </c>
      <c r="E20" s="3047"/>
      <c r="F20" s="3484" t="s">
        <v>1995</v>
      </c>
      <c r="G20" s="348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7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45967</v>
      </c>
      <c r="H23" s="3048" t="s">
        <v>3422</v>
      </c>
      <c r="I23" s="3049" t="str">
        <f>IF(H23="季度增幅（自定义）",SUMIF(N25:N28,E2,O25:O28),"")</f>
        <v/>
      </c>
      <c r="J23" s="3141" t="s">
        <v>3423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0.81230000000000002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26.38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3324</v>
      </c>
      <c r="C25" s="461">
        <f>IF(B25="容积率修正",IF(G3&lt;10,D26,J26),C27)</f>
        <v>0.83299999999999996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0.83299999999999996</v>
      </c>
      <c r="E26" s="708">
        <f>ROUNDDOWN(G3,1)</f>
        <v>7.9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0.83350000000000002</v>
      </c>
      <c r="G26" s="708">
        <f>ROUNDUP(G3,1)</f>
        <v>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0.83169999999999999</v>
      </c>
      <c r="I26" s="1912" t="s">
        <v>3247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1.0459000000000001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2967</v>
      </c>
      <c r="D30" s="1925"/>
      <c r="E30" s="1842"/>
      <c r="F30" s="1926"/>
      <c r="G30" s="1842"/>
      <c r="H30" s="1842"/>
      <c r="I30" s="1842"/>
      <c r="J30" s="1927"/>
      <c r="K30" s="1056"/>
      <c r="L30" s="3055" t="s">
        <v>1936</v>
      </c>
      <c r="M30" s="3056" t="s">
        <v>1990</v>
      </c>
      <c r="N30" s="3056" t="s">
        <v>1991</v>
      </c>
      <c r="O30" s="3056" t="s">
        <v>1992</v>
      </c>
      <c r="P30" s="3056" t="s">
        <v>1993</v>
      </c>
      <c r="Q30" s="3059"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16153</v>
      </c>
      <c r="D33" s="1940">
        <f>'数据-基础表'!I5</f>
        <v>1836.72</v>
      </c>
      <c r="E33" s="727">
        <f>ROUND(C33*D33/10000,0)</f>
        <v>2967</v>
      </c>
      <c r="F33" s="3050" t="s">
        <v>3249</v>
      </c>
      <c r="G33" s="1941"/>
      <c r="H33" s="1941"/>
      <c r="I33" s="1941"/>
      <c r="J33" s="1942"/>
      <c r="K33" s="1056"/>
      <c r="L33" s="3053" t="s">
        <v>3252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4038</v>
      </c>
      <c r="D34" s="1945"/>
      <c r="E34" s="727">
        <f>ROUND(IF(B25="楼层修正",SUM(V2:V16)*M40,C34*D34/10000),0)</f>
        <v>0</v>
      </c>
      <c r="F34" s="1946" t="s">
        <v>2032</v>
      </c>
      <c r="G34" s="1947"/>
      <c r="H34" s="1947"/>
      <c r="I34" s="1947"/>
      <c r="J34" s="1948"/>
      <c r="K34" s="1056"/>
      <c r="L34" s="3053" t="s">
        <v>3253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2"/>
      <c r="B37" s="1955" t="s">
        <v>2036</v>
      </c>
      <c r="C37" s="167">
        <f>ROUND(D5*C22*C23*C24*C28*F37,0)</f>
        <v>11635</v>
      </c>
      <c r="D37" s="1940"/>
      <c r="E37" s="163">
        <f>ROUND(C37*D37/10000,0)</f>
        <v>0</v>
      </c>
      <c r="F37" s="163">
        <f>SUMIF(修正!A59:A70,G2,修正!B59:B70)</f>
        <v>0.6</v>
      </c>
      <c r="G37" s="163">
        <f>ROUND(IF(E2="工业",C37*$M$42,C37*$M$41),0)</f>
        <v>2909</v>
      </c>
      <c r="H37" s="163">
        <f>D37</f>
        <v>0</v>
      </c>
      <c r="I37" s="163">
        <f>ROUND(G37*H37/10000,0)</f>
        <v>0</v>
      </c>
      <c r="J37" s="2754"/>
      <c r="K37" s="3061" t="s">
        <v>3255</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3"/>
      <c r="B38" s="1884" t="s">
        <v>2037</v>
      </c>
      <c r="C38" s="167">
        <f>ROUND(D5*C22*C23*C24*C28*F38,0)</f>
        <v>5817</v>
      </c>
      <c r="D38" s="1940"/>
      <c r="E38" s="163">
        <f t="shared" ref="E38:E42" si="4">ROUND(C38*D38/10000,0)</f>
        <v>0</v>
      </c>
      <c r="F38" s="163">
        <f>SUMIF(修正!A59:A70,G2,修正!C59:C70)</f>
        <v>0.3</v>
      </c>
      <c r="G38" s="163">
        <f>ROUND(IF(E2="工业",C38*$M$42,C38*$M$41),0)</f>
        <v>1454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3248</v>
      </c>
      <c r="C39" s="167">
        <f>ROUND(D5*C22*C23*C24*C28*F39,0)</f>
        <v>4848</v>
      </c>
      <c r="D39" s="1940"/>
      <c r="E39" s="163">
        <f t="shared" si="4"/>
        <v>0</v>
      </c>
      <c r="F39" s="163">
        <f>SUMIF(修正!A59:A70,G2,修正!D59:D70)</f>
        <v>0.25</v>
      </c>
      <c r="G39" s="163">
        <f>ROUND(IF(E2="工业",C39*$M$42,C39*$M$41),0)</f>
        <v>1212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4848</v>
      </c>
      <c r="D40" s="1940"/>
      <c r="E40" s="163">
        <f t="shared" si="4"/>
        <v>0</v>
      </c>
      <c r="F40" s="167">
        <f>SUMIF(修正!A59:A70,G2,修正!E59:E70)</f>
        <v>0.25</v>
      </c>
      <c r="G40" s="163">
        <f>ROUND(IF(E2="工业",C40*$M$42,C40*$M$41),0)</f>
        <v>1212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4848</v>
      </c>
      <c r="D41" s="1940"/>
      <c r="E41" s="163">
        <f t="shared" si="4"/>
        <v>0</v>
      </c>
      <c r="F41" s="167">
        <f>SUMIF(修正!A59:A70,G2,修正!F59:F70)</f>
        <v>0.25</v>
      </c>
      <c r="G41" s="163">
        <f>ROUND(IF(E2="工业",C41*$M$42,C41*$M$41),0)</f>
        <v>1212</v>
      </c>
      <c r="H41" s="163">
        <f t="shared" si="5"/>
        <v>0</v>
      </c>
      <c r="I41" s="163">
        <f t="shared" si="6"/>
        <v>0</v>
      </c>
      <c r="J41" s="939"/>
      <c r="L41" s="3062"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2909</v>
      </c>
      <c r="D42" s="1945"/>
      <c r="E42" s="179">
        <f t="shared" si="4"/>
        <v>0</v>
      </c>
      <c r="F42" s="723">
        <f>SUMIF(修正!A59:A70,G2,修正!G59:G70)</f>
        <v>0.15</v>
      </c>
      <c r="G42" s="179">
        <f>ROUND(IF(E2="工业",C42*$M$42,C42*$M$41),0)</f>
        <v>727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0.81230000000000002</v>
      </c>
      <c r="D44" s="163" t="s">
        <v>1999</v>
      </c>
      <c r="E44" s="1991">
        <f>G24</f>
        <v>5.5E-2</v>
      </c>
      <c r="F44" s="163" t="s">
        <v>2008</v>
      </c>
      <c r="G44" s="175">
        <f>项目基本情况!E15</f>
        <v>26.38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3258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3419</v>
      </c>
      <c r="D61" s="1002">
        <f t="shared" ref="D61:D69" si="12">SUMIF($J$60:$N$60,C61,J61:N61)</f>
        <v>1.06E-2</v>
      </c>
      <c r="E61" s="702">
        <f>ROUND(SUM(D61:D69),4)</f>
        <v>4.5900000000000003E-2</v>
      </c>
      <c r="F61" s="1675">
        <f>IF(E2="办公",SUMIF(L1:L12,G2,N1:N12),"——")</f>
        <v>8.5000000000000006E-2</v>
      </c>
      <c r="G61" s="1000">
        <f>H61</f>
        <v>1.06E-2</v>
      </c>
      <c r="H61" s="1003">
        <f t="shared" ref="H61:H69" si="13">IFERROR(ROUNDDOWN($F$61*I61/2,4),"——")</f>
        <v>1.06E-2</v>
      </c>
      <c r="I61" s="3068">
        <v>0.25</v>
      </c>
      <c r="J61" s="1001">
        <f t="shared" ref="J61:J69" si="14">K61+$G61</f>
        <v>2.12E-2</v>
      </c>
      <c r="K61" s="1001">
        <f t="shared" ref="K61:K69" si="15">$L61+$G61</f>
        <v>1.06E-2</v>
      </c>
      <c r="L61" s="1001">
        <v>0</v>
      </c>
      <c r="M61" s="1001">
        <f t="shared" ref="M61:N69" si="16">L61-$G61</f>
        <v>-1.06E-2</v>
      </c>
      <c r="N61" s="1001">
        <f t="shared" si="16"/>
        <v>-2.12E-2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3419</v>
      </c>
      <c r="D62" s="1002">
        <f t="shared" si="12"/>
        <v>1.0999999999999999E-2</v>
      </c>
      <c r="E62" s="703"/>
      <c r="F62" s="1675"/>
      <c r="G62" s="1000">
        <f t="shared" ref="G62:G69" si="17">H62</f>
        <v>1.0999999999999999E-2</v>
      </c>
      <c r="H62" s="1003">
        <f t="shared" si="13"/>
        <v>1.0999999999999999E-2</v>
      </c>
      <c r="I62" s="3068">
        <v>0.26</v>
      </c>
      <c r="J62" s="1001">
        <f t="shared" si="14"/>
        <v>2.1999999999999999E-2</v>
      </c>
      <c r="K62" s="1001">
        <f t="shared" si="15"/>
        <v>1.0999999999999999E-2</v>
      </c>
      <c r="L62" s="1001">
        <v>0</v>
      </c>
      <c r="M62" s="1001">
        <f t="shared" si="16"/>
        <v>-1.0999999999999999E-2</v>
      </c>
      <c r="N62" s="1001">
        <f t="shared" si="16"/>
        <v>-2.1999999999999999E-2</v>
      </c>
      <c r="AA62" s="1057"/>
      <c r="AB62" s="1057"/>
      <c r="AC62" s="1057"/>
      <c r="AD62" s="1057"/>
      <c r="AE62" s="1057"/>
      <c r="AF62" s="1057"/>
      <c r="AG62" s="1057"/>
      <c r="AH62" s="1057"/>
      <c r="AI62" s="1057"/>
      <c r="AJ62" s="1057"/>
      <c r="AK62" s="1057"/>
    </row>
    <row r="63" spans="1:37" s="1056" customFormat="1" ht="36">
      <c r="A63" s="3070" t="s">
        <v>3258</v>
      </c>
      <c r="B63" s="1262">
        <f>估价对象房地状况!C19</f>
        <v>0</v>
      </c>
      <c r="C63" s="1887" t="s">
        <v>3419</v>
      </c>
      <c r="D63" s="1002">
        <f t="shared" si="12"/>
        <v>4.5999999999999999E-3</v>
      </c>
      <c r="E63" s="703"/>
      <c r="F63" s="1675"/>
      <c r="G63" s="1000">
        <f t="shared" si="17"/>
        <v>4.5999999999999999E-3</v>
      </c>
      <c r="H63" s="1003">
        <f t="shared" si="13"/>
        <v>4.5999999999999999E-3</v>
      </c>
      <c r="I63" s="3068">
        <v>0.11</v>
      </c>
      <c r="J63" s="1001">
        <f t="shared" si="14"/>
        <v>9.1999999999999998E-3</v>
      </c>
      <c r="K63" s="1001">
        <f t="shared" si="15"/>
        <v>4.5999999999999999E-3</v>
      </c>
      <c r="L63" s="1001">
        <v>0</v>
      </c>
      <c r="M63" s="1001">
        <f t="shared" si="16"/>
        <v>-4.5999999999999999E-3</v>
      </c>
      <c r="N63" s="1001">
        <f t="shared" si="16"/>
        <v>-9.1999999999999998E-3</v>
      </c>
      <c r="AA63" s="1057"/>
      <c r="AB63" s="1057"/>
      <c r="AC63" s="1057"/>
      <c r="AD63" s="1057"/>
      <c r="AE63" s="1057"/>
      <c r="AF63" s="1057"/>
      <c r="AG63" s="1057"/>
      <c r="AH63" s="1057"/>
      <c r="AI63" s="1057"/>
      <c r="AJ63" s="1057"/>
      <c r="AK63" s="1057"/>
    </row>
    <row r="64" spans="1:37" s="1056" customFormat="1" ht="36.75">
      <c r="A64" s="1970" t="s">
        <v>2054</v>
      </c>
      <c r="B64" s="1974" t="s">
        <v>2055</v>
      </c>
      <c r="C64" s="1887" t="s">
        <v>3419</v>
      </c>
      <c r="D64" s="1002">
        <f t="shared" si="12"/>
        <v>2.0999999999999999E-3</v>
      </c>
      <c r="E64" s="703"/>
      <c r="F64" s="1675"/>
      <c r="G64" s="1000">
        <f t="shared" si="17"/>
        <v>2.0999999999999999E-3</v>
      </c>
      <c r="H64" s="1003">
        <f t="shared" si="13"/>
        <v>2.0999999999999999E-3</v>
      </c>
      <c r="I64" s="3068">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3419</v>
      </c>
      <c r="D65" s="1002">
        <f t="shared" si="12"/>
        <v>2.0999999999999999E-3</v>
      </c>
      <c r="E65" s="703"/>
      <c r="F65" s="1675"/>
      <c r="G65" s="1000">
        <f t="shared" si="17"/>
        <v>2.0999999999999999E-3</v>
      </c>
      <c r="H65" s="1003">
        <f t="shared" si="13"/>
        <v>2.0999999999999999E-3</v>
      </c>
      <c r="I65" s="3068">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24">
      <c r="A66" s="1970" t="s">
        <v>2057</v>
      </c>
      <c r="B66" s="1975" t="s">
        <v>2058</v>
      </c>
      <c r="C66" s="1887" t="s">
        <v>3419</v>
      </c>
      <c r="D66" s="1002">
        <f t="shared" si="12"/>
        <v>2.5000000000000001E-3</v>
      </c>
      <c r="E66" s="703"/>
      <c r="F66" s="1675"/>
      <c r="G66" s="1000">
        <f t="shared" si="17"/>
        <v>2.5000000000000001E-3</v>
      </c>
      <c r="H66" s="1003">
        <f t="shared" si="13"/>
        <v>2.5000000000000001E-3</v>
      </c>
      <c r="I66" s="3068">
        <v>0.06</v>
      </c>
      <c r="J66" s="1001">
        <f t="shared" si="14"/>
        <v>5.0000000000000001E-3</v>
      </c>
      <c r="K66" s="1001">
        <f t="shared" si="15"/>
        <v>2.5000000000000001E-3</v>
      </c>
      <c r="L66" s="1001">
        <v>0</v>
      </c>
      <c r="M66" s="1001">
        <f t="shared" si="16"/>
        <v>-2.5000000000000001E-3</v>
      </c>
      <c r="N66" s="1001">
        <f t="shared" si="16"/>
        <v>-5.0000000000000001E-3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3419</v>
      </c>
      <c r="D67" s="1002">
        <f t="shared" si="12"/>
        <v>2.5000000000000001E-3</v>
      </c>
      <c r="E67" s="703"/>
      <c r="F67" s="1675"/>
      <c r="G67" s="1000">
        <f t="shared" si="17"/>
        <v>2.5000000000000001E-3</v>
      </c>
      <c r="H67" s="1003">
        <f t="shared" si="13"/>
        <v>2.5000000000000001E-3</v>
      </c>
      <c r="I67" s="3068">
        <v>0.06</v>
      </c>
      <c r="J67" s="1001">
        <f t="shared" si="14"/>
        <v>5.0000000000000001E-3</v>
      </c>
      <c r="K67" s="1001">
        <f t="shared" si="15"/>
        <v>2.5000000000000001E-3</v>
      </c>
      <c r="L67" s="1001">
        <v>0</v>
      </c>
      <c r="M67" s="1001">
        <f t="shared" si="16"/>
        <v>-2.5000000000000001E-3</v>
      </c>
      <c r="N67" s="1001">
        <f t="shared" si="16"/>
        <v>-5.0000000000000001E-3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3420</v>
      </c>
      <c r="D68" s="1002">
        <f t="shared" si="12"/>
        <v>7.6E-3</v>
      </c>
      <c r="E68" s="703"/>
      <c r="F68" s="1675"/>
      <c r="G68" s="1000">
        <f t="shared" si="17"/>
        <v>3.8E-3</v>
      </c>
      <c r="H68" s="1003">
        <f t="shared" si="13"/>
        <v>3.8E-3</v>
      </c>
      <c r="I68" s="3068">
        <v>0.09</v>
      </c>
      <c r="J68" s="1001">
        <f t="shared" si="14"/>
        <v>7.6E-3</v>
      </c>
      <c r="K68" s="1001">
        <f t="shared" si="15"/>
        <v>3.8E-3</v>
      </c>
      <c r="L68" s="1001">
        <v>0</v>
      </c>
      <c r="M68" s="1001">
        <f t="shared" si="16"/>
        <v>-3.8E-3</v>
      </c>
      <c r="N68" s="1001">
        <f t="shared" si="16"/>
        <v>-7.6E-3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3419</v>
      </c>
      <c r="D69" s="1002">
        <f t="shared" si="12"/>
        <v>2.8999999999999998E-3</v>
      </c>
      <c r="E69" s="704"/>
      <c r="F69" s="1675"/>
      <c r="G69" s="1000">
        <f t="shared" si="17"/>
        <v>2.8999999999999998E-3</v>
      </c>
      <c r="H69" s="1003">
        <f t="shared" si="13"/>
        <v>2.8999999999999998E-3</v>
      </c>
      <c r="I69" s="3069">
        <v>7.0000000000000007E-2</v>
      </c>
      <c r="J69" s="1001">
        <f t="shared" si="14"/>
        <v>5.7999999999999996E-3</v>
      </c>
      <c r="K69" s="1001">
        <f t="shared" si="15"/>
        <v>2.8999999999999998E-3</v>
      </c>
      <c r="L69" s="1001">
        <v>0</v>
      </c>
      <c r="M69" s="1001">
        <f t="shared" si="16"/>
        <v>-2.8999999999999998E-3</v>
      </c>
      <c r="N69" s="1001">
        <f t="shared" si="16"/>
        <v>-5.7999999999999996E-3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3258</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3259</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3260</v>
      </c>
      <c r="B92" s="2310"/>
      <c r="C92" s="2310" t="s">
        <v>3269</v>
      </c>
      <c r="D92" s="2310" t="s">
        <v>3270</v>
      </c>
      <c r="E92" s="3052" t="s">
        <v>3271</v>
      </c>
      <c r="F92" s="3082" t="s">
        <v>3272</v>
      </c>
      <c r="G92" s="2310" t="s">
        <v>3273</v>
      </c>
      <c r="H92" s="3089" t="s">
        <v>3276</v>
      </c>
      <c r="I92" s="2310" t="s">
        <v>3277</v>
      </c>
      <c r="J92" s="2150" t="s">
        <v>3278</v>
      </c>
      <c r="K92" s="2150" t="s">
        <v>3279</v>
      </c>
      <c r="L92" s="2150" t="s">
        <v>3280</v>
      </c>
      <c r="M92" s="2150" t="s">
        <v>3281</v>
      </c>
      <c r="N92" s="2150" t="s">
        <v>3282</v>
      </c>
    </row>
    <row r="93" spans="1:37" ht="24">
      <c r="A93" s="3070" t="s">
        <v>3261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3262</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3258</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3263</v>
      </c>
      <c r="B96" s="3086" t="s">
        <v>3274</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3264</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3265</v>
      </c>
      <c r="B98" s="3087" t="s">
        <v>3275</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3266</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3267</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3268</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80" t="s">
        <v>3283</v>
      </c>
      <c r="B103" s="3480"/>
      <c r="C103" s="3480"/>
      <c r="D103" s="3480"/>
      <c r="E103" s="3480"/>
      <c r="F103" s="3480"/>
      <c r="G103" s="3480"/>
      <c r="H103" s="3480"/>
      <c r="I103" s="3480"/>
      <c r="J103" s="3480"/>
      <c r="K103" s="1667"/>
      <c r="L103" s="1667"/>
      <c r="M103" s="1667"/>
      <c r="N103" s="1667"/>
    </row>
    <row r="104" spans="1:14">
      <c r="A104" s="3481" t="s">
        <v>3284</v>
      </c>
      <c r="B104" s="3481" t="s">
        <v>3285</v>
      </c>
      <c r="C104" s="3090" t="s">
        <v>3286</v>
      </c>
      <c r="D104" s="3091"/>
      <c r="E104" s="3091"/>
      <c r="F104" s="3091"/>
      <c r="G104" s="3091"/>
      <c r="H104" s="3091"/>
      <c r="I104" s="3091"/>
      <c r="J104" s="3092"/>
      <c r="K104" s="3093"/>
      <c r="L104" s="3093"/>
      <c r="M104" s="3093"/>
      <c r="N104" s="3093"/>
    </row>
    <row r="105" spans="1:14">
      <c r="A105" s="3481"/>
      <c r="B105" s="3481"/>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67"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8"/>
      <c r="B111" s="3094" t="s">
        <v>3257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70" t="s">
        <v>3300</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3301</v>
      </c>
      <c r="B116" s="3114">
        <f>G3</f>
        <v>7.93</v>
      </c>
      <c r="C116" s="3099" t="s">
        <v>3302</v>
      </c>
      <c r="D116" s="3100">
        <f>SUMPRODUCT((A118:A122=F116)*(B117:M117=H116)*B118:M122)</f>
        <v>0.82889999999999997</v>
      </c>
      <c r="E116" s="162" t="s">
        <v>3303</v>
      </c>
      <c r="F116" s="3101" t="str">
        <f>E2</f>
        <v>办公</v>
      </c>
      <c r="G116" s="162" t="s">
        <v>3304</v>
      </c>
      <c r="H116" s="3101" t="str">
        <f>G2</f>
        <v>三级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0.90959999999999996</v>
      </c>
      <c r="C118" s="3089">
        <f>B118</f>
        <v>0.90959999999999996</v>
      </c>
      <c r="D118" s="3089">
        <f>ROUND(0.949-0.014*B116,4)</f>
        <v>0.83799999999999997</v>
      </c>
      <c r="E118" s="3089">
        <f>D118</f>
        <v>0.83799999999999997</v>
      </c>
      <c r="F118" s="3089">
        <f>E118</f>
        <v>0.83799999999999997</v>
      </c>
      <c r="G118" s="3089">
        <f>F118</f>
        <v>0.83799999999999997</v>
      </c>
      <c r="H118" s="3089">
        <f>G118</f>
        <v>0.83799999999999997</v>
      </c>
      <c r="I118" s="3089">
        <f>ROUND(0.8486-0.018*B116,4)</f>
        <v>0.70589999999999997</v>
      </c>
      <c r="J118" s="3089">
        <f t="shared" ref="J118:M122" si="36">I118</f>
        <v>0.70589999999999997</v>
      </c>
      <c r="K118" s="3089">
        <f t="shared" si="36"/>
        <v>0.70589999999999997</v>
      </c>
      <c r="L118" s="3089">
        <f t="shared" si="36"/>
        <v>0.70589999999999997</v>
      </c>
      <c r="M118" s="3109">
        <f t="shared" si="36"/>
        <v>0.70589999999999997</v>
      </c>
      <c r="N118" s="3097"/>
    </row>
    <row r="119" spans="1:14">
      <c r="A119" s="3057" t="s">
        <v>3318</v>
      </c>
      <c r="B119" s="3089">
        <f>ROUND(0.993-0.0112*B116,4)</f>
        <v>0.9042</v>
      </c>
      <c r="C119" s="3089">
        <f>B119</f>
        <v>0.9042</v>
      </c>
      <c r="D119" s="3089">
        <f>ROUND(0.9415-0.0142*B116,4)</f>
        <v>0.82889999999999997</v>
      </c>
      <c r="E119" s="3089">
        <f t="shared" ref="E119:H120" si="37">D119</f>
        <v>0.82889999999999997</v>
      </c>
      <c r="F119" s="3089">
        <f t="shared" si="37"/>
        <v>0.82889999999999997</v>
      </c>
      <c r="G119" s="3089">
        <f t="shared" si="37"/>
        <v>0.82889999999999997</v>
      </c>
      <c r="H119" s="3089">
        <f t="shared" si="37"/>
        <v>0.82889999999999997</v>
      </c>
      <c r="I119" s="3089">
        <f>ROUND(0.838-0.0182*B116,4)</f>
        <v>0.69369999999999998</v>
      </c>
      <c r="J119" s="3089">
        <f t="shared" si="36"/>
        <v>0.69369999999999998</v>
      </c>
      <c r="K119" s="3089">
        <f t="shared" si="36"/>
        <v>0.69369999999999998</v>
      </c>
      <c r="L119" s="3089">
        <f t="shared" si="36"/>
        <v>0.69369999999999998</v>
      </c>
      <c r="M119" s="3109">
        <f t="shared" si="36"/>
        <v>0.69369999999999998</v>
      </c>
      <c r="N119" s="3097"/>
    </row>
    <row r="120" spans="1:14">
      <c r="A120" s="3057" t="s">
        <v>3319</v>
      </c>
      <c r="B120" s="3089">
        <f>ROUND(0.9448-0.0115*B116,4)</f>
        <v>0.85360000000000003</v>
      </c>
      <c r="C120" s="3089">
        <f>B120</f>
        <v>0.85360000000000003</v>
      </c>
      <c r="D120" s="3089">
        <f>ROUND(0.937-0.0145*B116,4)</f>
        <v>0.82199999999999995</v>
      </c>
      <c r="E120" s="3089">
        <f t="shared" si="37"/>
        <v>0.82199999999999995</v>
      </c>
      <c r="F120" s="3089">
        <f t="shared" si="37"/>
        <v>0.82199999999999995</v>
      </c>
      <c r="G120" s="3089">
        <f t="shared" si="37"/>
        <v>0.82199999999999995</v>
      </c>
      <c r="H120" s="3089">
        <f t="shared" si="37"/>
        <v>0.82199999999999995</v>
      </c>
      <c r="I120" s="3089">
        <f>ROUND(0.7965-0.0185*B116,4)</f>
        <v>0.64980000000000004</v>
      </c>
      <c r="J120" s="3089">
        <f t="shared" si="36"/>
        <v>0.64980000000000004</v>
      </c>
      <c r="K120" s="3089">
        <f t="shared" si="36"/>
        <v>0.64980000000000004</v>
      </c>
      <c r="L120" s="3089">
        <f t="shared" si="36"/>
        <v>0.64980000000000004</v>
      </c>
      <c r="M120" s="3109">
        <f t="shared" si="36"/>
        <v>0.64980000000000004</v>
      </c>
      <c r="N120" s="3097"/>
    </row>
    <row r="121" spans="1:14" ht="13.5" thickBot="1">
      <c r="A121" s="3110" t="s">
        <v>3320</v>
      </c>
      <c r="B121" s="3111">
        <f>ROUND(0.7836-0.012*B116,4)</f>
        <v>0.68840000000000001</v>
      </c>
      <c r="C121" s="3111">
        <f>B121</f>
        <v>0.68840000000000001</v>
      </c>
      <c r="D121" s="3111">
        <f>ROUND(0.753-0.015*B116,4)</f>
        <v>0.6341</v>
      </c>
      <c r="E121" s="3111">
        <f>D121</f>
        <v>0.6341</v>
      </c>
      <c r="F121" s="3111">
        <f>E121</f>
        <v>0.6341</v>
      </c>
      <c r="G121" s="3111">
        <f>ROUND(0.6612-0.018*B116,4)</f>
        <v>0.51849999999999996</v>
      </c>
      <c r="H121" s="3111">
        <f>G121</f>
        <v>0.51849999999999996</v>
      </c>
      <c r="I121" s="3111">
        <f>ROUND(0.5905-0.019*B116,4)</f>
        <v>0.43980000000000002</v>
      </c>
      <c r="J121" s="3111">
        <f t="shared" si="36"/>
        <v>0.43980000000000002</v>
      </c>
      <c r="K121" s="3111">
        <f t="shared" si="36"/>
        <v>0.43980000000000002</v>
      </c>
      <c r="L121" s="3111">
        <f t="shared" si="36"/>
        <v>0.43980000000000002</v>
      </c>
      <c r="M121" s="3112">
        <f t="shared" si="36"/>
        <v>0.43980000000000002</v>
      </c>
      <c r="N121" s="3097"/>
    </row>
    <row r="122" spans="1:14">
      <c r="A122" s="3113" t="s">
        <v>2603</v>
      </c>
      <c r="B122" s="3089">
        <f>ROUND(0.9404-0.0106*B116,4)</f>
        <v>0.85629999999999995</v>
      </c>
      <c r="C122" s="3089">
        <f>B122</f>
        <v>0.85629999999999995</v>
      </c>
      <c r="D122" s="3089">
        <f>ROUND(0.8955-0.0135*B116,4)</f>
        <v>0.78839999999999999</v>
      </c>
      <c r="E122" s="3089">
        <f t="shared" ref="E122:H122" si="38">D122</f>
        <v>0.78839999999999999</v>
      </c>
      <c r="F122" s="3089">
        <f t="shared" si="38"/>
        <v>0.78839999999999999</v>
      </c>
      <c r="G122" s="3089">
        <f t="shared" si="38"/>
        <v>0.78839999999999999</v>
      </c>
      <c r="H122" s="3089">
        <f t="shared" si="38"/>
        <v>0.78839999999999999</v>
      </c>
      <c r="I122" s="3089">
        <f>ROUND(0.7632-0.0166*B116,4)</f>
        <v>0.63160000000000005</v>
      </c>
      <c r="J122" s="3089">
        <f t="shared" si="36"/>
        <v>0.63160000000000005</v>
      </c>
      <c r="K122" s="3089">
        <f t="shared" si="36"/>
        <v>0.63160000000000005</v>
      </c>
      <c r="L122" s="3089">
        <f t="shared" si="36"/>
        <v>0.63160000000000005</v>
      </c>
      <c r="M122" s="3109">
        <f t="shared" si="36"/>
        <v>0.63160000000000005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8BE-DD86-408B-A821-563F25AF1689}">
  <dimension ref="A1"/>
  <sheetViews>
    <sheetView topLeftCell="A34" workbookViewId="0">
      <selection activeCell="L39" sqref="L39"/>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C6D1A-88B5-4329-9BEC-571BDC00BDB0}">
  <sheetPr>
    <tabColor rgb="FF92D050"/>
    <pageSetUpPr fitToPage="1"/>
  </sheetPr>
  <dimension ref="A1:AC132"/>
  <sheetViews>
    <sheetView view="pageBreakPreview" zoomScale="85" zoomScaleNormal="70" zoomScaleSheetLayoutView="85" workbookViewId="0">
      <selection activeCell="N18" sqref="N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3462</v>
      </c>
      <c r="F1" s="1735" t="s">
        <v>3469</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4.4000000000000004</v>
      </c>
      <c r="C3" s="344" t="s">
        <v>1665</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91" t="s">
        <v>1667</v>
      </c>
      <c r="D4" s="3392"/>
      <c r="E4" s="3393" t="s">
        <v>1668</v>
      </c>
      <c r="F4" s="3394"/>
      <c r="G4" s="3391" t="s">
        <v>1669</v>
      </c>
      <c r="H4" s="3392"/>
      <c r="I4" s="3391" t="s">
        <v>1670</v>
      </c>
      <c r="J4" s="3392"/>
      <c r="K4" s="537" t="s">
        <v>1671</v>
      </c>
      <c r="L4" s="2486"/>
      <c r="M4" s="2487"/>
      <c r="N4" s="2487"/>
      <c r="O4" s="2487"/>
      <c r="P4" s="3395" t="s">
        <v>1672</v>
      </c>
      <c r="Q4" s="3396"/>
      <c r="R4" s="3374" t="s">
        <v>1668</v>
      </c>
      <c r="S4" s="3375"/>
      <c r="T4" s="3374" t="s">
        <v>1669</v>
      </c>
      <c r="U4" s="3375"/>
      <c r="V4" s="3403" t="s">
        <v>1670</v>
      </c>
      <c r="W4" s="3403"/>
      <c r="X4" s="1809"/>
      <c r="Y4" s="3374" t="s">
        <v>1672</v>
      </c>
      <c r="Z4" s="3375"/>
      <c r="AA4" s="3369" t="s">
        <v>1668</v>
      </c>
      <c r="AB4" s="3369" t="s">
        <v>1669</v>
      </c>
      <c r="AC4" s="3388" t="s">
        <v>1670</v>
      </c>
    </row>
    <row r="5" spans="1:29" ht="15">
      <c r="A5" s="348"/>
      <c r="B5" s="349"/>
      <c r="C5" s="3380" t="s">
        <v>1673</v>
      </c>
      <c r="D5" s="3381"/>
      <c r="E5" s="3378" t="s">
        <v>3467</v>
      </c>
      <c r="F5" s="3379"/>
      <c r="G5" s="3384" t="s">
        <v>3468</v>
      </c>
      <c r="H5" s="3381"/>
      <c r="I5" s="3384" t="s">
        <v>3475</v>
      </c>
      <c r="J5" s="3381"/>
      <c r="K5" s="537"/>
      <c r="L5" s="2486"/>
      <c r="M5" s="2487"/>
      <c r="N5" s="2487"/>
      <c r="O5" s="2487"/>
      <c r="P5" s="3397"/>
      <c r="Q5" s="3398"/>
      <c r="R5" s="3376"/>
      <c r="S5" s="3377"/>
      <c r="T5" s="3376"/>
      <c r="U5" s="3377"/>
      <c r="V5" s="3404"/>
      <c r="W5" s="3404"/>
      <c r="X5" s="1265"/>
      <c r="Y5" s="3376"/>
      <c r="Z5" s="3377"/>
      <c r="AA5" s="3370"/>
      <c r="AB5" s="3370"/>
      <c r="AC5" s="3389"/>
    </row>
    <row r="6" spans="1:29" ht="15.75" thickBot="1">
      <c r="A6" s="350"/>
      <c r="B6" s="351"/>
      <c r="C6" s="3382" t="s">
        <v>1677</v>
      </c>
      <c r="D6" s="3383"/>
      <c r="E6" s="3385" t="s">
        <v>1677</v>
      </c>
      <c r="F6" s="3386"/>
      <c r="G6" s="3382" t="s">
        <v>1677</v>
      </c>
      <c r="H6" s="3383"/>
      <c r="I6" s="3382" t="s">
        <v>1677</v>
      </c>
      <c r="J6" s="3383"/>
      <c r="K6" s="537" t="s">
        <v>1678</v>
      </c>
      <c r="L6" s="2486"/>
      <c r="M6" s="2487"/>
      <c r="N6" s="2487"/>
      <c r="O6" s="2487"/>
      <c r="P6" s="3399"/>
      <c r="Q6" s="3400"/>
      <c r="R6" s="3376"/>
      <c r="S6" s="3377"/>
      <c r="T6" s="3401"/>
      <c r="U6" s="3402"/>
      <c r="V6" s="3404"/>
      <c r="W6" s="3404"/>
      <c r="X6" s="1265"/>
      <c r="Y6" s="3401"/>
      <c r="Z6" s="3402"/>
      <c r="AA6" s="3371"/>
      <c r="AB6" s="3371"/>
      <c r="AC6" s="3390"/>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05" t="s">
        <v>1680</v>
      </c>
      <c r="Q7" s="3406"/>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5.75" thickBot="1">
      <c r="A8" s="352" t="s">
        <v>1681</v>
      </c>
      <c r="B8" s="353"/>
      <c r="C8" s="358" t="s">
        <v>3435</v>
      </c>
      <c r="D8" s="355">
        <v>100</v>
      </c>
      <c r="E8" s="358" t="s">
        <v>3436</v>
      </c>
      <c r="F8" s="357">
        <f>SUMIF(62:62,E8,63:63)-SUMIF(62:62,C8,63:63)+100</f>
        <v>102</v>
      </c>
      <c r="G8" s="358" t="s">
        <v>3436</v>
      </c>
      <c r="H8" s="355">
        <f>SUMIF(62:62,G8,63:63)-SUMIF(62:62,C8,63:63)+100</f>
        <v>102</v>
      </c>
      <c r="I8" s="358" t="s">
        <v>3436</v>
      </c>
      <c r="J8" s="355">
        <f>SUMIF(62:62,I8,63:63)-SUMIF(62:62,C8,63:63)+100</f>
        <v>102</v>
      </c>
      <c r="K8" s="38"/>
      <c r="L8" s="2488"/>
      <c r="M8" s="2440"/>
      <c r="N8" s="2440"/>
      <c r="O8" s="2440"/>
      <c r="P8" s="3405" t="s">
        <v>1683</v>
      </c>
      <c r="Q8" s="3373"/>
      <c r="R8" s="664" t="s">
        <v>14</v>
      </c>
      <c r="S8" s="665">
        <f t="shared" si="0"/>
        <v>102</v>
      </c>
      <c r="T8" s="664" t="s">
        <v>14</v>
      </c>
      <c r="U8" s="665">
        <f t="shared" si="1"/>
        <v>102</v>
      </c>
      <c r="V8" s="664" t="s">
        <v>14</v>
      </c>
      <c r="W8" s="665">
        <f t="shared" si="2"/>
        <v>102</v>
      </c>
      <c r="X8" s="666"/>
      <c r="Y8" s="3372" t="s">
        <v>1683</v>
      </c>
      <c r="Z8" s="337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3442</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0</v>
      </c>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75" thickBot="1">
      <c r="A12" s="370"/>
      <c r="B12" s="3173" t="s">
        <v>3443</v>
      </c>
      <c r="C12" s="371">
        <v>2000</v>
      </c>
      <c r="D12" s="372">
        <v>100</v>
      </c>
      <c r="E12" s="371">
        <v>2005</v>
      </c>
      <c r="F12" s="119">
        <f>SUMIF(71:71,E12,72:72)-SUMIF(71:71,C12,72:72)+100</f>
        <v>100</v>
      </c>
      <c r="G12" s="1810">
        <v>2000</v>
      </c>
      <c r="H12" s="119">
        <f>SUMIF(71:71,G12,72:72)-SUMIF(71:71,C12,72:72)+100</f>
        <v>100</v>
      </c>
      <c r="I12" s="371">
        <v>2009</v>
      </c>
      <c r="J12" s="119">
        <f>SUMIF(71:71,I12,72:72)-SUMIF(71:71,C12,72:72)+100</f>
        <v>100</v>
      </c>
      <c r="K12" s="539"/>
      <c r="L12" s="2488"/>
      <c r="M12" s="2440"/>
      <c r="N12" s="2440"/>
      <c r="O12" s="2440"/>
      <c r="P12" s="3387"/>
      <c r="Q12" s="530" t="str">
        <f t="shared" si="6"/>
        <v>建成年代</v>
      </c>
      <c r="R12" s="664" t="s">
        <v>14</v>
      </c>
      <c r="S12" s="665">
        <f t="shared" si="0"/>
        <v>100</v>
      </c>
      <c r="T12" s="664" t="s">
        <v>14</v>
      </c>
      <c r="U12" s="665">
        <f t="shared" si="1"/>
        <v>100</v>
      </c>
      <c r="V12" s="664" t="s">
        <v>14</v>
      </c>
      <c r="W12" s="665">
        <f t="shared" si="2"/>
        <v>100</v>
      </c>
      <c r="X12" s="666"/>
      <c r="Y12" s="3337"/>
      <c r="Z12" s="50" t="str">
        <f t="shared" si="7"/>
        <v>建成年代</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4</v>
      </c>
      <c r="L15" s="2492"/>
      <c r="M15" s="2487"/>
      <c r="N15" s="2487"/>
      <c r="O15" s="2487"/>
      <c r="P15" s="3407"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408"/>
      <c r="Q16" s="1263"/>
      <c r="R16" s="667"/>
      <c r="S16" s="668"/>
      <c r="T16" s="667"/>
      <c r="U16" s="668"/>
      <c r="V16" s="667"/>
      <c r="W16" s="668"/>
      <c r="X16" s="1265"/>
      <c r="Y16" s="341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8"/>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408"/>
      <c r="Q18" s="1263"/>
      <c r="R18" s="667"/>
      <c r="S18" s="668"/>
      <c r="T18" s="667"/>
      <c r="U18" s="668"/>
      <c r="V18" s="667"/>
      <c r="W18" s="668"/>
      <c r="X18" s="1265"/>
      <c r="Y18" s="341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8"/>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408"/>
      <c r="Q20" s="1263"/>
      <c r="R20" s="667"/>
      <c r="S20" s="668"/>
      <c r="T20" s="667"/>
      <c r="U20" s="668"/>
      <c r="V20" s="667"/>
      <c r="W20" s="668"/>
      <c r="X20" s="1265"/>
      <c r="Y20" s="341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08"/>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2">
        <f t="shared" ref="AC21" si="10">D21/J21</f>
        <v>1</v>
      </c>
    </row>
    <row r="22" spans="1:29" ht="15">
      <c r="A22" s="367"/>
      <c r="B22" s="557"/>
      <c r="C22" s="1814" t="s">
        <v>3441</v>
      </c>
      <c r="D22" s="387"/>
      <c r="E22" s="1814" t="s">
        <v>3441</v>
      </c>
      <c r="F22" s="387"/>
      <c r="G22" s="1814" t="s">
        <v>3441</v>
      </c>
      <c r="H22" s="387"/>
      <c r="I22" s="1814" t="s">
        <v>3441</v>
      </c>
      <c r="J22" s="387"/>
      <c r="K22" s="1064"/>
      <c r="L22" s="2492"/>
      <c r="M22" s="2487"/>
      <c r="N22" s="2487"/>
      <c r="O22" s="2487"/>
      <c r="P22" s="3408"/>
      <c r="Q22" s="1263"/>
      <c r="R22" s="667"/>
      <c r="S22" s="668"/>
      <c r="T22" s="667"/>
      <c r="U22" s="668"/>
      <c r="V22" s="667"/>
      <c r="W22" s="668"/>
      <c r="X22" s="1265"/>
      <c r="Y22" s="341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8"/>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2">
        <f t="shared" si="5"/>
        <v>1</v>
      </c>
    </row>
    <row r="24" spans="1:29" ht="15.75" thickBot="1">
      <c r="A24" s="367"/>
      <c r="B24" s="557"/>
      <c r="C24" s="1758" t="s">
        <v>3419</v>
      </c>
      <c r="D24" s="387"/>
      <c r="E24" s="1758" t="s">
        <v>3419</v>
      </c>
      <c r="F24" s="387"/>
      <c r="G24" s="1758" t="s">
        <v>3419</v>
      </c>
      <c r="H24" s="387"/>
      <c r="I24" s="1758" t="s">
        <v>3419</v>
      </c>
      <c r="J24" s="387"/>
      <c r="K24" s="541"/>
      <c r="L24" s="2492"/>
      <c r="M24" s="2487"/>
      <c r="N24" s="2487"/>
      <c r="O24" s="2487"/>
      <c r="P24" s="3408"/>
      <c r="Q24" s="1263"/>
      <c r="R24" s="667"/>
      <c r="S24" s="668"/>
      <c r="T24" s="667"/>
      <c r="U24" s="668"/>
      <c r="V24" s="667"/>
      <c r="W24" s="668"/>
      <c r="X24" s="1265"/>
      <c r="Y24" s="3410"/>
      <c r="Z24" s="1264"/>
      <c r="AA24" s="1264">
        <v>1</v>
      </c>
      <c r="AB24" s="1264">
        <v>1</v>
      </c>
      <c r="AC24" s="1812">
        <v>1</v>
      </c>
    </row>
    <row r="25" spans="1:29" ht="27.75" hidden="1" thickBot="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8"/>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2">
        <f t="shared" si="5"/>
        <v>1</v>
      </c>
    </row>
    <row r="26" spans="1:29" ht="15.75" hidden="1" thickBot="1">
      <c r="A26" s="348"/>
      <c r="B26" s="401"/>
      <c r="C26" s="558"/>
      <c r="D26" s="374"/>
      <c r="E26" s="542"/>
      <c r="F26" s="374"/>
      <c r="G26" s="558"/>
      <c r="H26" s="374"/>
      <c r="I26" s="542"/>
      <c r="J26" s="374"/>
      <c r="K26" s="541"/>
      <c r="L26" s="2492"/>
      <c r="M26" s="2487"/>
      <c r="N26" s="2487"/>
      <c r="O26" s="2487"/>
      <c r="P26" s="3408"/>
      <c r="Q26" s="1263"/>
      <c r="R26" s="667"/>
      <c r="S26" s="668"/>
      <c r="T26" s="667"/>
      <c r="U26" s="668"/>
      <c r="V26" s="667"/>
      <c r="W26" s="668"/>
      <c r="X26" s="1265"/>
      <c r="Y26" s="3410"/>
      <c r="Z26" s="1264"/>
      <c r="AA26" s="1264">
        <v>1</v>
      </c>
      <c r="AB26" s="1264">
        <v>1</v>
      </c>
      <c r="AC26" s="1812">
        <v>1</v>
      </c>
    </row>
    <row r="27" spans="1:29" ht="15.75" hidden="1" thickBot="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8"/>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2">
        <f t="shared" si="5"/>
        <v>1</v>
      </c>
    </row>
    <row r="28" spans="1:29" s="102" customFormat="1" ht="15.75" hidden="1"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8"/>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2">
        <f>D28/J28</f>
        <v>1</v>
      </c>
    </row>
    <row r="29" spans="1:29" ht="15.75" hidden="1" thickBot="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8"/>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2">
        <f t="shared" si="5"/>
        <v>1</v>
      </c>
    </row>
    <row r="30" spans="1:29" ht="15.75" hidden="1" thickBot="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8"/>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2">
        <f t="shared" si="5"/>
        <v>1</v>
      </c>
    </row>
    <row r="31" spans="1:29" ht="15.75" hidden="1" thickBot="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8"/>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8"/>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2">
        <f t="shared" si="5"/>
        <v>1</v>
      </c>
    </row>
    <row r="33" spans="1:29" ht="15">
      <c r="A33" s="379" t="s">
        <v>1694</v>
      </c>
      <c r="B33" s="60" t="s">
        <v>1817</v>
      </c>
      <c r="C33" s="1764" t="s">
        <v>3461</v>
      </c>
      <c r="D33" s="405">
        <v>100</v>
      </c>
      <c r="E33" s="1764" t="s">
        <v>3461</v>
      </c>
      <c r="F33" s="400">
        <f>SUMIF(101:101,E33,102:102)-SUMIF(101:101,C33,102:102)+100</f>
        <v>100</v>
      </c>
      <c r="G33" s="1764" t="s">
        <v>3461</v>
      </c>
      <c r="H33" s="374">
        <f>SUMIF(101:101,G33,102:102)-SUMIF(101:101,C33,102:102)+100</f>
        <v>100</v>
      </c>
      <c r="I33" s="1764" t="s">
        <v>3461</v>
      </c>
      <c r="J33" s="405">
        <f>SUMIF(101:101,I33,102:102)-SUMIF(101:101,C33,102:102)+100</f>
        <v>100</v>
      </c>
      <c r="K33" s="538">
        <v>2</v>
      </c>
      <c r="L33" s="2492"/>
      <c r="M33" s="2487"/>
      <c r="N33" s="2487"/>
      <c r="O33" s="2487"/>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1486</v>
      </c>
      <c r="F34" s="364">
        <f>LOOKUP(E34,104:104,105:105)-LOOKUP(C34,104:104,105:105)+100</f>
        <v>101</v>
      </c>
      <c r="G34" s="368">
        <v>1052</v>
      </c>
      <c r="H34" s="119">
        <f>LOOKUP(G34,104:104,105:105)-LOOKUP(C34,104:104,105:105)+100</f>
        <v>101</v>
      </c>
      <c r="I34" s="368">
        <v>577</v>
      </c>
      <c r="J34" s="119">
        <f>LOOKUP(I34,104:104,105:105)-LOOKUP(C34,104:104,105:105)+100</f>
        <v>102</v>
      </c>
      <c r="K34" s="539"/>
      <c r="L34" s="2491"/>
      <c r="M34" s="2493"/>
      <c r="N34" s="2493"/>
      <c r="O34" s="2493"/>
      <c r="P34" s="3412"/>
      <c r="Q34" s="531" t="str">
        <f t="shared" si="11"/>
        <v>项目建筑规模</v>
      </c>
      <c r="R34" s="669" t="s">
        <v>14</v>
      </c>
      <c r="S34" s="670">
        <f t="shared" si="12"/>
        <v>101</v>
      </c>
      <c r="T34" s="669" t="s">
        <v>14</v>
      </c>
      <c r="U34" s="670">
        <f t="shared" si="13"/>
        <v>101</v>
      </c>
      <c r="V34" s="669" t="s">
        <v>14</v>
      </c>
      <c r="W34" s="670">
        <f t="shared" si="14"/>
        <v>102</v>
      </c>
      <c r="X34" s="671"/>
      <c r="Y34" s="3414"/>
      <c r="Z34" s="672" t="str">
        <f t="shared" si="15"/>
        <v>项目建筑规模</v>
      </c>
      <c r="AA34" s="1264">
        <f t="shared" si="3"/>
        <v>0.99009900990099009</v>
      </c>
      <c r="AB34" s="1264">
        <f t="shared" si="4"/>
        <v>0.99009900990099009</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2">
        <f t="shared" si="5"/>
        <v>1</v>
      </c>
    </row>
    <row r="36" spans="1:29" ht="15">
      <c r="A36" s="409"/>
      <c r="B36" s="364" t="s">
        <v>1785</v>
      </c>
      <c r="C36" s="399" t="s">
        <v>3450</v>
      </c>
      <c r="D36" s="374">
        <v>100</v>
      </c>
      <c r="E36" s="399" t="s">
        <v>3450</v>
      </c>
      <c r="F36" s="400">
        <f>SUMIF(108:108,E36,109:109)-SUMIF(108:108,C36,109:109)+100</f>
        <v>100</v>
      </c>
      <c r="G36" s="399" t="s">
        <v>3450</v>
      </c>
      <c r="H36" s="374">
        <f>SUMIF(108:108,G36,109:109)-SUMIF(108:108,C36,109:109)+100</f>
        <v>100</v>
      </c>
      <c r="I36" s="399" t="s">
        <v>3450</v>
      </c>
      <c r="J36" s="374">
        <f>SUMIF(108:108,I36,109:109)-SUMIF(108:108,C36,109:109)+100</f>
        <v>100</v>
      </c>
      <c r="K36" s="538">
        <v>1</v>
      </c>
      <c r="L36" s="2492"/>
      <c r="M36" s="2487"/>
      <c r="N36" s="2487"/>
      <c r="O36" s="2487"/>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ROUND((1-(1-0)*(2025-E12)/60)+0.8,2)/2</f>
        <v>0.73499999999999999</v>
      </c>
      <c r="F37" s="400">
        <f>LOOKUP(E37,111:111,112:112)-LOOKUP(C37,111:111,112:112)+100</f>
        <v>100</v>
      </c>
      <c r="G37" s="411">
        <f>ROUND((1-(1-0)*(2025-G12)/60)+0.8,2)/2</f>
        <v>0.69</v>
      </c>
      <c r="H37" s="400">
        <f>LOOKUP(G37,111:111,112:112)-LOOKUP(C37,111:111,112:112)+100</f>
        <v>100</v>
      </c>
      <c r="I37" s="411">
        <f>ROUND((1-(1-0)*(2025-I12)/60)+0.8,2)/2</f>
        <v>0.76500000000000001</v>
      </c>
      <c r="J37" s="374">
        <f>LOOKUP(I37,111:111,112:112)-LOOKUP(C37,111:111,112:112)+100</f>
        <v>100</v>
      </c>
      <c r="K37" s="538">
        <v>0</v>
      </c>
      <c r="L37" s="2492"/>
      <c r="M37" s="2487"/>
      <c r="N37" s="2487"/>
      <c r="O37" s="2487"/>
      <c r="P37" s="3412"/>
      <c r="Q37" s="1263" t="str">
        <f t="shared" si="11"/>
        <v>成新度</v>
      </c>
      <c r="R37" s="667" t="s">
        <v>14</v>
      </c>
      <c r="S37" s="668">
        <f t="shared" si="12"/>
        <v>100</v>
      </c>
      <c r="T37" s="667" t="s">
        <v>14</v>
      </c>
      <c r="U37" s="668">
        <f t="shared" si="13"/>
        <v>100</v>
      </c>
      <c r="V37" s="667" t="s">
        <v>14</v>
      </c>
      <c r="W37" s="668">
        <f t="shared" si="14"/>
        <v>100</v>
      </c>
      <c r="X37" s="1265"/>
      <c r="Y37" s="3414"/>
      <c r="Z37" s="1264" t="str">
        <f t="shared" si="15"/>
        <v>成新度</v>
      </c>
      <c r="AA37" s="1264">
        <f t="shared" si="3"/>
        <v>1</v>
      </c>
      <c r="AB37" s="1264">
        <f t="shared" si="4"/>
        <v>1</v>
      </c>
      <c r="AC37" s="1812">
        <f t="shared" si="5"/>
        <v>1</v>
      </c>
    </row>
    <row r="38" spans="1:29" s="102" customFormat="1" ht="15">
      <c r="A38" s="410"/>
      <c r="B38" s="364" t="s">
        <v>1818</v>
      </c>
      <c r="C38" s="399" t="s">
        <v>3463</v>
      </c>
      <c r="D38" s="119">
        <v>100</v>
      </c>
      <c r="E38" s="399" t="s">
        <v>3463</v>
      </c>
      <c r="F38" s="400">
        <f>SUMIF(113:113,E38,114:114)-SUMIF(113:113,C38,114:114)+100</f>
        <v>100</v>
      </c>
      <c r="G38" s="399" t="s">
        <v>3463</v>
      </c>
      <c r="H38" s="374">
        <f>SUMIF(113:113,G38,114:114)-SUMIF(113:113,C38,114:114)+100</f>
        <v>100</v>
      </c>
      <c r="I38" s="399" t="s">
        <v>3463</v>
      </c>
      <c r="J38" s="374">
        <f>SUMIF(113:113,I38,114:114)-SUMIF(113:113,C38,114:114)+100</f>
        <v>100</v>
      </c>
      <c r="K38" s="538">
        <v>1</v>
      </c>
      <c r="L38" s="2488"/>
      <c r="M38" s="2440"/>
      <c r="N38" s="2440"/>
      <c r="O38" s="2440"/>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3471</v>
      </c>
      <c r="J39" s="374">
        <f>SUMIF(115:115,I39,116:116)-SUMIF(115:115,C39,116:116)+100</f>
        <v>100</v>
      </c>
      <c r="K39" s="538">
        <v>1</v>
      </c>
      <c r="L39" s="2492"/>
      <c r="M39" s="2487"/>
      <c r="N39" s="2487"/>
      <c r="O39" s="2487"/>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2">
        <f t="shared" si="5"/>
        <v>1</v>
      </c>
    </row>
    <row r="40" spans="1:29" ht="15">
      <c r="A40" s="409"/>
      <c r="B40" s="364" t="s">
        <v>1787</v>
      </c>
      <c r="C40" s="399" t="s">
        <v>3464</v>
      </c>
      <c r="D40" s="374">
        <v>100</v>
      </c>
      <c r="E40" s="399" t="s">
        <v>3464</v>
      </c>
      <c r="F40" s="400">
        <f>SUMIF(117:117,E40,118:118)-SUMIF(117:117,C40,118:118)+100</f>
        <v>100</v>
      </c>
      <c r="G40" s="399" t="s">
        <v>3464</v>
      </c>
      <c r="H40" s="374">
        <f>SUMIF(117:117,G40,118:118)-SUMIF(117:117,C40,118:118)+100</f>
        <v>100</v>
      </c>
      <c r="I40" s="399" t="s">
        <v>3464</v>
      </c>
      <c r="J40" s="374">
        <f>SUMIF(117:117,I40,118:118)-SUMIF(117:117,C40,118:118)+100</f>
        <v>100</v>
      </c>
      <c r="K40" s="538">
        <v>1</v>
      </c>
      <c r="L40" s="2492"/>
      <c r="M40" s="2487"/>
      <c r="N40" s="2487"/>
      <c r="O40" s="2487"/>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2">
        <f t="shared" si="5"/>
        <v>1</v>
      </c>
    </row>
    <row r="41" spans="1:29" ht="15">
      <c r="A41" s="409"/>
      <c r="B41" s="364" t="s">
        <v>1789</v>
      </c>
      <c r="C41" s="542" t="s">
        <v>3465</v>
      </c>
      <c r="D41" s="374">
        <v>100</v>
      </c>
      <c r="E41" s="542" t="s">
        <v>3465</v>
      </c>
      <c r="F41" s="400">
        <f>SUMIF(119:119,E41,120:120)-SUMIF(119:119,C41,120:120)+100</f>
        <v>100</v>
      </c>
      <c r="G41" s="542" t="s">
        <v>3465</v>
      </c>
      <c r="H41" s="374">
        <f>SUMIF(119:119,G41,120:120)-SUMIF(119:119,C41,120:120)+100</f>
        <v>100</v>
      </c>
      <c r="I41" s="542" t="s">
        <v>3465</v>
      </c>
      <c r="J41" s="374">
        <f>SUMIF(119:119,I41,120:120)-SUMIF(119:119,C41,120:120)+100</f>
        <v>100</v>
      </c>
      <c r="K41" s="538">
        <v>1</v>
      </c>
      <c r="L41" s="2492"/>
      <c r="M41" s="2487"/>
      <c r="N41" s="2487"/>
      <c r="O41" s="2487"/>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2">
        <f t="shared" si="5"/>
        <v>1</v>
      </c>
    </row>
    <row r="43" spans="1:29" ht="15">
      <c r="A43" s="409"/>
      <c r="B43" s="364" t="s">
        <v>1792</v>
      </c>
      <c r="C43" s="399" t="s">
        <v>3452</v>
      </c>
      <c r="D43" s="374">
        <v>100</v>
      </c>
      <c r="E43" s="399" t="s">
        <v>3452</v>
      </c>
      <c r="F43" s="400">
        <f>SUMIF(123:123,E43,124:124)-SUMIF(123:123,C43,124:124)+100</f>
        <v>100</v>
      </c>
      <c r="G43" s="399" t="s">
        <v>3452</v>
      </c>
      <c r="H43" s="374">
        <f>SUMIF(123:123,G43,124:124)-SUMIF(123:123,C43,124:124)+100</f>
        <v>100</v>
      </c>
      <c r="I43" s="399" t="s">
        <v>3452</v>
      </c>
      <c r="J43" s="374">
        <f>SUMIF(123:123,I43,124:124)-SUMIF(123:123,C43,124:124)+100</f>
        <v>100</v>
      </c>
      <c r="K43" s="538">
        <v>1</v>
      </c>
      <c r="L43" s="2492"/>
      <c r="M43" s="2487"/>
      <c r="N43" s="2487"/>
      <c r="O43" s="2487"/>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2">
        <f t="shared" si="5"/>
        <v>1</v>
      </c>
    </row>
    <row r="45" spans="1:29" s="102" customFormat="1" ht="15.75" hidden="1" thickBot="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75" hidden="1" thickBot="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2">
        <f t="shared" si="5"/>
        <v>1</v>
      </c>
    </row>
    <row r="48" spans="1:29" ht="15">
      <c r="A48" s="416" t="s">
        <v>1708</v>
      </c>
      <c r="B48" s="417"/>
      <c r="C48" s="1081" t="s">
        <v>0</v>
      </c>
      <c r="D48" s="418"/>
      <c r="E48" s="419">
        <v>4.5</v>
      </c>
      <c r="F48" s="420"/>
      <c r="G48" s="421">
        <v>4.5</v>
      </c>
      <c r="H48" s="422"/>
      <c r="I48" s="419">
        <v>4.5</v>
      </c>
      <c r="J48" s="422"/>
      <c r="K48" s="674"/>
      <c r="L48" s="2494"/>
      <c r="M48" s="2487"/>
      <c r="N48" s="2487"/>
      <c r="O48" s="2487"/>
      <c r="P48" s="3387" t="str">
        <f>A48</f>
        <v>成交单价（元/平方米）</v>
      </c>
      <c r="Q48" s="3416"/>
      <c r="R48" s="3404">
        <f>E48</f>
        <v>4.5</v>
      </c>
      <c r="S48" s="3404"/>
      <c r="T48" s="3404">
        <f>G48</f>
        <v>4.5</v>
      </c>
      <c r="U48" s="3404"/>
      <c r="V48" s="3404">
        <f>I48</f>
        <v>4.5</v>
      </c>
      <c r="W48" s="3404"/>
      <c r="X48" s="385"/>
      <c r="Y48" s="673"/>
      <c r="Z48" s="385"/>
      <c r="AA48" s="385"/>
      <c r="AB48" s="385"/>
      <c r="AC48" s="555"/>
    </row>
    <row r="49" spans="1:29" ht="15.75" thickBot="1">
      <c r="A49" s="423" t="s">
        <v>1709</v>
      </c>
      <c r="B49" s="424"/>
      <c r="C49" s="1082">
        <f>R50</f>
        <v>4.4000000000000004</v>
      </c>
      <c r="D49" s="2141" t="s">
        <v>2138</v>
      </c>
      <c r="E49" s="1083">
        <f>R49</f>
        <v>4.4000000000000004</v>
      </c>
      <c r="F49" s="2142"/>
      <c r="G49" s="1082">
        <f>T49</f>
        <v>4.4000000000000004</v>
      </c>
      <c r="H49" s="2142"/>
      <c r="I49" s="1083">
        <f>V49</f>
        <v>4.3</v>
      </c>
      <c r="J49" s="2142"/>
      <c r="K49" s="2144">
        <f>F49+H49+J49</f>
        <v>0</v>
      </c>
      <c r="L49" s="2494"/>
      <c r="M49" s="2487"/>
      <c r="N49" s="2487"/>
      <c r="O49" s="2487"/>
      <c r="P49" s="3387" t="str">
        <f>A49</f>
        <v>比较价值（元/平方米）</v>
      </c>
      <c r="Q49" s="3416"/>
      <c r="R49" s="3404">
        <f>IF(F1="售价",ROUND(PRODUCT(R48,AA7:AA47),0),ROUND(PRODUCT(R48,AA7:AA47),1))</f>
        <v>4.4000000000000004</v>
      </c>
      <c r="S49" s="3404"/>
      <c r="T49" s="3404">
        <f>IF(F1="售价",ROUND(PRODUCT(T48,AB7:AB47),0),ROUND(PRODUCT(T48,AB7:AB47),1))</f>
        <v>4.4000000000000004</v>
      </c>
      <c r="U49" s="3404"/>
      <c r="V49" s="3404">
        <f>IF(F1="售价",ROUND(PRODUCT(V48,AC7:AC47),0),ROUND(PRODUCT(V48,AC7:AC47),1))</f>
        <v>4.3</v>
      </c>
      <c r="W49" s="3404"/>
      <c r="X49" s="385"/>
      <c r="Y49" s="385"/>
      <c r="Z49" s="385"/>
      <c r="AA49" s="385"/>
      <c r="AB49" s="385"/>
      <c r="AC49" s="555"/>
    </row>
    <row r="50" spans="1:29" ht="15.75" thickBot="1">
      <c r="A50" s="427" t="s">
        <v>1710</v>
      </c>
      <c r="B50" s="428"/>
      <c r="C50" s="351">
        <f>R50</f>
        <v>4.4000000000000004</v>
      </c>
      <c r="D50" s="351"/>
      <c r="E50" s="351"/>
      <c r="F50" s="351"/>
      <c r="G50" s="351"/>
      <c r="H50" s="351"/>
      <c r="I50" s="351"/>
      <c r="J50" s="429"/>
      <c r="K50" s="675"/>
      <c r="L50" s="2494"/>
      <c r="M50" s="2487"/>
      <c r="N50" s="2487"/>
      <c r="O50" s="2487"/>
      <c r="P50" s="3417" t="str">
        <f>A50</f>
        <v>估价对象XX用房的比较价值（楼面单价，元/平方米）</v>
      </c>
      <c r="Q50" s="3418"/>
      <c r="R50" s="3419">
        <f>IF(F1="售价",ROUND(IF(D49="简单平均",AVERAGE(R49:V49),R49*F49+T49*H49+V49*J49),0),ROUND(IF(D49="简单平均",AVERAGE(R49:V49),R49*F49+T49*H49+V49*J49),1))</f>
        <v>4.4000000000000004</v>
      </c>
      <c r="S50" s="3419"/>
      <c r="T50" s="3419"/>
      <c r="U50" s="3419"/>
      <c r="V50" s="3419"/>
      <c r="W50" s="341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2.2727272727272707E-2</v>
      </c>
      <c r="F53" s="435" t="str">
        <f>IF(OR(E53&gt;=0.3,E53&lt;=-0.3),"超过30%","")</f>
        <v/>
      </c>
      <c r="G53" s="434">
        <f>IF(G48&lt;G49,G49/G48-1,G48/G49-1)</f>
        <v>2.2727272727272707E-2</v>
      </c>
      <c r="H53" s="435" t="str">
        <f>IF(OR(G53&gt;=0.3,G53&lt;=-0.3),"超过30%","")</f>
        <v/>
      </c>
      <c r="I53" s="434">
        <f>IF(I48&lt;I49,I49/I48-1,I48/I49-1)</f>
        <v>4.6511627906976827E-2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2.3255813953488413E-2</v>
      </c>
      <c r="H54" s="435" t="str">
        <f>IF(OR(G54&gt;=0.2,G54&lt;=-0.2),"超过20%","")</f>
        <v/>
      </c>
      <c r="I54" s="434">
        <f>IF(I49&lt;E49,E49/I49-1,I49/E49-1)</f>
        <v>2.3255813953488413E-2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1718</v>
      </c>
      <c r="D62" s="3170" t="s">
        <v>3437</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96</v>
      </c>
      <c r="E78" s="475">
        <f>D78-$K15</f>
        <v>92</v>
      </c>
      <c r="F78" s="475">
        <f>E78-$K15</f>
        <v>88</v>
      </c>
      <c r="G78" s="475">
        <f>F78-$K15</f>
        <v>84</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3444</v>
      </c>
      <c r="D89" s="3174" t="s">
        <v>3445</v>
      </c>
      <c r="E89" s="3174" t="s">
        <v>3446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3473</v>
      </c>
      <c r="D101" s="3175" t="s">
        <v>3474</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91">
        <v>99</v>
      </c>
      <c r="E105" s="491">
        <v>98</v>
      </c>
      <c r="F105" s="491">
        <v>97</v>
      </c>
      <c r="G105" s="491">
        <v>96</v>
      </c>
      <c r="H105" s="491">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3451</v>
      </c>
      <c r="D108" s="3174" t="s">
        <v>3453</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3449</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3454</v>
      </c>
      <c r="D115" s="3178" t="s">
        <v>3472</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3455</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3456</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3457</v>
      </c>
      <c r="D123" s="3174" t="s">
        <v>3458</v>
      </c>
      <c r="E123" s="3174" t="s">
        <v>3459</v>
      </c>
      <c r="F123" s="3176" t="s">
        <v>3460</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6F257E6-F5C6-438E-990E-4F5702594E4F}">
      <formula1>"项目模式,单套模式"</formula1>
    </dataValidation>
    <dataValidation type="list" allowBlank="1" showInputMessage="1" showErrorMessage="1" sqref="D49" xr:uid="{9745D5FA-D644-4812-AA30-A30DFD538B3D}">
      <formula1>"简单平均,加权平均"</formula1>
    </dataValidation>
    <dataValidation type="list" allowBlank="1" showInputMessage="1" showErrorMessage="1" sqref="F2" xr:uid="{0D391FCD-1063-45EC-BD97-CB2E1D2CBD9A}">
      <formula1>估价方法</formula1>
    </dataValidation>
    <dataValidation type="list" allowBlank="1" showInputMessage="1" showErrorMessage="1" sqref="C2" xr:uid="{9CF1EB05-BCAE-4EE5-BADC-02CB6E583E26}">
      <formula1>"需扣减承租人权益,——"</formula1>
    </dataValidation>
    <dataValidation type="list" allowBlank="1" showInputMessage="1" showErrorMessage="1" sqref="F1" xr:uid="{487CAD36-9EF2-44A8-9CB5-F5E42391CC06}">
      <formula1>"售价,租金"</formula1>
    </dataValidation>
    <dataValidation type="list" allowBlank="1" showInputMessage="1" showErrorMessage="1" sqref="C22 E22 G22 I22" xr:uid="{4198B9DF-7C94-4829-896E-6345DA3D0786}">
      <formula1>基础设施水平</formula1>
    </dataValidation>
    <dataValidation type="list" allowBlank="1" showInputMessage="1" showErrorMessage="1" sqref="C8 E8 G8 I8" xr:uid="{D0F8A4CF-3FF7-4B1C-AA94-E77F24322DD9}">
      <formula1>办公交易情况</formula1>
    </dataValidation>
    <dataValidation type="list" allowBlank="1" showInputMessage="1" showErrorMessage="1" sqref="C43 E43 G43 I43" xr:uid="{2A5F3F7D-FB64-49DA-ADE2-D10E96257631}">
      <formula1>办公内部装修</formula1>
    </dataValidation>
    <dataValidation type="list" allowBlank="1" showInputMessage="1" showErrorMessage="1" sqref="C41 E41 G41 I41" xr:uid="{7F0D0845-6B84-4136-98A2-57282675C513}">
      <formula1>办公层高</formula1>
    </dataValidation>
    <dataValidation type="list" allowBlank="1" showInputMessage="1" showErrorMessage="1" sqref="C40 E40 G40 I40" xr:uid="{1057958E-E2C4-4864-96E1-F440D248F921}">
      <formula1>办公基础设施水平</formula1>
    </dataValidation>
    <dataValidation type="list" allowBlank="1" showInputMessage="1" showErrorMessage="1" sqref="C39 E39 G39 I39" xr:uid="{7CB308DC-7A52-45E2-8929-31E1A6FADF73}">
      <formula1>办公物业管理</formula1>
    </dataValidation>
    <dataValidation type="list" allowBlank="1" showInputMessage="1" showErrorMessage="1" sqref="C38 E38 G38 I38" xr:uid="{4A22DB3F-4AC6-46D2-868F-FCBC95FB854E}">
      <formula1>写字楼等级</formula1>
    </dataValidation>
    <dataValidation type="list" allowBlank="1" showInputMessage="1" showErrorMessage="1" sqref="C36 E36 G36 I36" xr:uid="{BA336E36-AD27-475A-A04D-5377F29D8190}">
      <formula1>办公公共部分装修</formula1>
    </dataValidation>
    <dataValidation type="list" allowBlank="1" showInputMessage="1" showErrorMessage="1" sqref="C33 E33 G33 I33" xr:uid="{2363D0C2-05F0-4AE2-AB81-CCDFA826AC34}">
      <formula1>办公建筑类型</formula1>
    </dataValidation>
    <dataValidation type="list" allowBlank="1" showInputMessage="1" showErrorMessage="1" sqref="C27 E27 G27 I27" xr:uid="{32939AD0-7139-4702-83EF-AED21D4349F3}">
      <formula1>办公楼层</formula1>
    </dataValidation>
    <dataValidation type="list" allowBlank="1" showInputMessage="1" showErrorMessage="1" sqref="C28 E28 G28 I28" xr:uid="{EB9669E9-EEF4-4442-A4B6-5E4921AE308A}">
      <formula1>办公朝向</formula1>
    </dataValidation>
    <dataValidation type="list" allowBlank="1" showInputMessage="1" showErrorMessage="1" sqref="G26 C26 E26 I26" xr:uid="{30FDF327-A45D-450D-A7DD-194FBCC1975C}">
      <formula1>办公道路级别</formula1>
    </dataValidation>
    <dataValidation type="list" allowBlank="1" showInputMessage="1" showErrorMessage="1" sqref="C16 E16 G16 I16" xr:uid="{BC2D4D24-7F4A-4293-8722-E47F0C8C7862}">
      <formula1>办公集聚程度</formula1>
    </dataValidation>
    <dataValidation type="list" allowBlank="1" showInputMessage="1" showErrorMessage="1" sqref="E9 G9 I9" xr:uid="{AF4F6AA2-F716-422E-97B3-B9CFE49BADB4}">
      <formula1>办公用途</formula1>
    </dataValidation>
    <dataValidation type="list" allowBlank="1" showInputMessage="1" showErrorMessage="1" sqref="D1" xr:uid="{1AB6F5BC-4724-4E53-BC30-5CD4226CCE85}">
      <formula1>项目类型</formula1>
    </dataValidation>
    <dataValidation type="list" allowBlank="1" showInputMessage="1" showErrorMessage="1" sqref="C44 E44 G44 I44" xr:uid="{010B8173-9CB5-46B3-A463-A07CC792C484}">
      <formula1>内部装修维护情况</formula1>
    </dataValidation>
    <dataValidation type="list" allowBlank="1" showInputMessage="1" showErrorMessage="1" sqref="E20 I20 G20 C20" xr:uid="{1ADBD783-1F69-48EC-9E1C-110034036DD8}">
      <formula1>公共配套设施</formula1>
    </dataValidation>
    <dataValidation type="list" allowBlank="1" showInputMessage="1" showErrorMessage="1" sqref="E18 G18 I18 C18" xr:uid="{093C69C3-628C-419A-9B76-7325FA8775F6}">
      <formula1>交通便捷度</formula1>
    </dataValidation>
    <dataValidation type="list" allowBlank="1" showInputMessage="1" showErrorMessage="1" sqref="E24 G24 I24 C24" xr:uid="{3156897F-DD5C-4AD8-86CF-C4577102DB3A}">
      <formula1>环境</formula1>
    </dataValidation>
    <dataValidation type="list" allowBlank="1" showInputMessage="1" showErrorMessage="1" sqref="C35 E35 G35 I35" xr:uid="{0F1A21DC-71CB-4D6F-9B7D-29F5C902F0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496" t="s">
        <v>2598</v>
      </c>
      <c r="B20" s="3486" t="s">
        <v>2619</v>
      </c>
      <c r="C20" s="3168" t="s">
        <v>2430</v>
      </c>
      <c r="D20" s="3168"/>
      <c r="E20" s="2844">
        <v>1</v>
      </c>
      <c r="F20" s="2845" t="s">
        <v>2431</v>
      </c>
      <c r="G20" s="2845"/>
    </row>
    <row r="21" spans="1:13" ht="19.5" customHeight="1">
      <c r="A21" s="3497"/>
      <c r="B21" s="3487"/>
      <c r="C21" s="2857" t="s">
        <v>2432</v>
      </c>
      <c r="D21" s="2857"/>
      <c r="E21" s="2848">
        <v>1</v>
      </c>
      <c r="F21" s="2845" t="s">
        <v>2433</v>
      </c>
      <c r="G21" s="2845"/>
    </row>
    <row r="22" spans="1:13" ht="19.5" customHeight="1">
      <c r="A22" s="3497"/>
      <c r="B22" s="3487"/>
      <c r="C22" s="2857" t="s">
        <v>2434</v>
      </c>
      <c r="D22" s="2857"/>
      <c r="E22" s="2848">
        <v>0.9</v>
      </c>
      <c r="F22" s="2845" t="s">
        <v>2435</v>
      </c>
      <c r="G22" s="2845"/>
    </row>
    <row r="23" spans="1:13" ht="19.5" customHeight="1">
      <c r="A23" s="3497"/>
      <c r="B23" s="3487"/>
      <c r="C23" s="2857" t="s">
        <v>2436</v>
      </c>
      <c r="D23" s="2857"/>
      <c r="E23" s="2848">
        <v>0.9</v>
      </c>
      <c r="F23" s="2845" t="s">
        <v>2437</v>
      </c>
      <c r="G23" s="2845"/>
    </row>
    <row r="24" spans="1:13" ht="19.5" customHeight="1">
      <c r="A24" s="3497"/>
      <c r="B24" s="3487"/>
      <c r="C24" s="2857" t="s">
        <v>2438</v>
      </c>
      <c r="D24" s="2857"/>
      <c r="E24" s="2848">
        <v>0.8</v>
      </c>
      <c r="F24" s="2845" t="s">
        <v>2439</v>
      </c>
      <c r="G24" s="2845"/>
    </row>
    <row r="25" spans="1:13" ht="19.5" customHeight="1">
      <c r="A25" s="3497"/>
      <c r="B25" s="3487"/>
      <c r="C25" s="2857" t="s">
        <v>2440</v>
      </c>
      <c r="D25" s="2857"/>
      <c r="E25" s="2848">
        <v>0.8</v>
      </c>
      <c r="F25" s="2845"/>
      <c r="G25" s="2845"/>
    </row>
    <row r="26" spans="1:13" ht="19.5" customHeight="1">
      <c r="A26" s="3497"/>
      <c r="B26" s="3487"/>
      <c r="C26" s="2857" t="s">
        <v>3398</v>
      </c>
      <c r="D26" s="2857"/>
      <c r="E26" s="2848">
        <v>0.43</v>
      </c>
      <c r="F26" s="2845"/>
      <c r="G26" s="2845"/>
    </row>
    <row r="27" spans="1:13" ht="19.5" customHeight="1" thickBot="1">
      <c r="A27" s="3498"/>
      <c r="B27" s="3488"/>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89" t="s">
        <v>2622</v>
      </c>
      <c r="B29" s="3492" t="s">
        <v>2603</v>
      </c>
      <c r="C29" s="2842" t="s">
        <v>2443</v>
      </c>
      <c r="D29" s="2843"/>
      <c r="E29" s="2844">
        <v>1</v>
      </c>
      <c r="F29" s="2845" t="s">
        <v>2444</v>
      </c>
      <c r="G29" s="2845"/>
    </row>
    <row r="30" spans="1:13" ht="19.5" customHeight="1">
      <c r="A30" s="3490"/>
      <c r="B30" s="3493"/>
      <c r="C30" s="2846" t="s">
        <v>2445</v>
      </c>
      <c r="D30" s="2847"/>
      <c r="E30" s="2848">
        <v>1</v>
      </c>
      <c r="F30" s="2845" t="s">
        <v>2446</v>
      </c>
      <c r="G30" s="2845"/>
    </row>
    <row r="31" spans="1:13" ht="19.5" customHeight="1">
      <c r="A31" s="3490"/>
      <c r="B31" s="3493"/>
      <c r="C31" s="2846" t="s">
        <v>2447</v>
      </c>
      <c r="D31" s="2847"/>
      <c r="E31" s="2848">
        <v>0.8</v>
      </c>
      <c r="F31" s="2845" t="s">
        <v>2448</v>
      </c>
      <c r="G31" s="2845"/>
    </row>
    <row r="32" spans="1:13" ht="19.5" customHeight="1">
      <c r="A32" s="3490"/>
      <c r="B32" s="3493"/>
      <c r="C32" s="2846" t="s">
        <v>2449</v>
      </c>
      <c r="D32" s="2847"/>
      <c r="E32" s="2848">
        <v>0.8</v>
      </c>
      <c r="F32" s="2845" t="s">
        <v>2450</v>
      </c>
      <c r="G32" s="2845"/>
    </row>
    <row r="33" spans="1:7" ht="19.5" customHeight="1">
      <c r="A33" s="3490"/>
      <c r="B33" s="3493"/>
      <c r="C33" s="2846" t="s">
        <v>2451</v>
      </c>
      <c r="D33" s="2847"/>
      <c r="E33" s="2848">
        <v>0.8</v>
      </c>
      <c r="F33" s="2845" t="s">
        <v>2452</v>
      </c>
      <c r="G33" s="2845"/>
    </row>
    <row r="34" spans="1:7" ht="19.5" customHeight="1">
      <c r="A34" s="3490"/>
      <c r="B34" s="3493"/>
      <c r="C34" s="2846" t="s">
        <v>2453</v>
      </c>
      <c r="D34" s="2847"/>
      <c r="E34" s="2848">
        <v>0.7</v>
      </c>
      <c r="F34" s="2845" t="s">
        <v>2454</v>
      </c>
      <c r="G34" s="2845"/>
    </row>
    <row r="35" spans="1:7" ht="19.5" customHeight="1">
      <c r="A35" s="3490"/>
      <c r="B35" s="3493"/>
      <c r="C35" s="2846" t="s">
        <v>2455</v>
      </c>
      <c r="D35" s="2847"/>
      <c r="E35" s="2848">
        <v>0.8</v>
      </c>
      <c r="F35" s="2845" t="s">
        <v>2456</v>
      </c>
      <c r="G35" s="2845"/>
    </row>
    <row r="36" spans="1:7" ht="19.5" customHeight="1">
      <c r="A36" s="3490"/>
      <c r="B36" s="3493"/>
      <c r="C36" s="2846" t="s">
        <v>2457</v>
      </c>
      <c r="D36" s="2847"/>
      <c r="E36" s="2848">
        <v>0.6</v>
      </c>
      <c r="F36" s="2845" t="s">
        <v>2458</v>
      </c>
      <c r="G36" s="2845"/>
    </row>
    <row r="37" spans="1:7" ht="19.5" customHeight="1">
      <c r="A37" s="3490"/>
      <c r="B37" s="3493"/>
      <c r="C37" s="2846" t="s">
        <v>2459</v>
      </c>
      <c r="D37" s="2847"/>
      <c r="E37" s="2848">
        <v>0.2</v>
      </c>
      <c r="F37" s="2845" t="s">
        <v>2460</v>
      </c>
      <c r="G37" s="2845"/>
    </row>
    <row r="38" spans="1:7" ht="19.5" customHeight="1">
      <c r="A38" s="3490"/>
      <c r="B38" s="3493"/>
      <c r="C38" s="2846" t="s">
        <v>2461</v>
      </c>
      <c r="D38" s="2847"/>
      <c r="E38" s="2848">
        <v>0.2</v>
      </c>
      <c r="F38" s="2845" t="s">
        <v>2462</v>
      </c>
      <c r="G38" s="2845"/>
    </row>
    <row r="39" spans="1:7" ht="19.5" customHeight="1">
      <c r="A39" s="3490"/>
      <c r="B39" s="3494" t="s">
        <v>2623</v>
      </c>
      <c r="C39" s="2846" t="s">
        <v>2463</v>
      </c>
      <c r="D39" s="2847"/>
      <c r="E39" s="2848">
        <v>0.6</v>
      </c>
      <c r="F39" s="2845" t="s">
        <v>2464</v>
      </c>
      <c r="G39" s="2845"/>
    </row>
    <row r="40" spans="1:7" ht="19.5" customHeight="1">
      <c r="A40" s="3490"/>
      <c r="B40" s="3493"/>
      <c r="C40" s="2846" t="s">
        <v>2465</v>
      </c>
      <c r="D40" s="2847"/>
      <c r="E40" s="2848">
        <v>0.6</v>
      </c>
      <c r="F40" s="2845" t="s">
        <v>2466</v>
      </c>
      <c r="G40" s="2845"/>
    </row>
    <row r="41" spans="1:7" ht="19.5" customHeight="1" thickBot="1">
      <c r="A41" s="3491"/>
      <c r="B41" s="3495"/>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496" t="s">
        <v>2601</v>
      </c>
      <c r="B43" s="3492" t="s">
        <v>2625</v>
      </c>
      <c r="C43" s="2842" t="s">
        <v>2470</v>
      </c>
      <c r="D43" s="2843"/>
      <c r="E43" s="2844">
        <v>1</v>
      </c>
      <c r="F43" s="2845" t="s">
        <v>2471</v>
      </c>
      <c r="G43" s="2845"/>
    </row>
    <row r="44" spans="1:7" ht="19.5" customHeight="1">
      <c r="A44" s="3497"/>
      <c r="B44" s="3493"/>
      <c r="C44" s="2846" t="s">
        <v>2472</v>
      </c>
      <c r="D44" s="2847"/>
      <c r="E44" s="2848">
        <v>1</v>
      </c>
      <c r="F44" s="2845" t="s">
        <v>2473</v>
      </c>
      <c r="G44" s="2845"/>
    </row>
    <row r="45" spans="1:7" ht="19.5" customHeight="1">
      <c r="A45" s="3497"/>
      <c r="B45" s="3499"/>
      <c r="C45" s="2846" t="s">
        <v>2474</v>
      </c>
      <c r="D45" s="2847"/>
      <c r="E45" s="2848">
        <v>1.5</v>
      </c>
      <c r="F45" s="2845" t="s">
        <v>2475</v>
      </c>
      <c r="G45" s="2845"/>
    </row>
    <row r="46" spans="1:7" ht="19.5" customHeight="1">
      <c r="A46" s="3497"/>
      <c r="B46" s="2857" t="s">
        <v>2626</v>
      </c>
      <c r="C46" s="2846" t="s">
        <v>2627</v>
      </c>
      <c r="D46" s="2847"/>
      <c r="E46" s="2848">
        <v>2</v>
      </c>
      <c r="F46" s="2845" t="s">
        <v>2476</v>
      </c>
      <c r="G46" s="2845"/>
    </row>
    <row r="47" spans="1:7" ht="19.5" customHeight="1">
      <c r="A47" s="3497"/>
      <c r="B47" s="3494" t="s">
        <v>2628</v>
      </c>
      <c r="C47" s="2846" t="s">
        <v>2477</v>
      </c>
      <c r="D47" s="2847"/>
      <c r="E47" s="2848">
        <v>1</v>
      </c>
      <c r="F47" s="2845" t="s">
        <v>2478</v>
      </c>
      <c r="G47" s="2845"/>
    </row>
    <row r="48" spans="1:7" ht="19.5" customHeight="1">
      <c r="A48" s="3497"/>
      <c r="B48" s="3493"/>
      <c r="C48" s="2846" t="s">
        <v>2479</v>
      </c>
      <c r="D48" s="2847"/>
      <c r="E48" s="2848">
        <v>1</v>
      </c>
      <c r="F48" s="2845" t="s">
        <v>2480</v>
      </c>
      <c r="G48" s="2845"/>
    </row>
    <row r="49" spans="1:7" ht="19.5" customHeight="1">
      <c r="A49" s="3497"/>
      <c r="B49" s="3493"/>
      <c r="C49" s="2846" t="s">
        <v>2481</v>
      </c>
      <c r="D49" s="2847"/>
      <c r="E49" s="2848">
        <v>1</v>
      </c>
      <c r="F49" s="2845" t="s">
        <v>2482</v>
      </c>
      <c r="G49" s="2845"/>
    </row>
    <row r="50" spans="1:7" ht="19.5" customHeight="1">
      <c r="A50" s="3497"/>
      <c r="B50" s="3493"/>
      <c r="C50" s="2846" t="s">
        <v>2483</v>
      </c>
      <c r="D50" s="2847"/>
      <c r="E50" s="2848">
        <v>1</v>
      </c>
      <c r="F50" s="2845" t="s">
        <v>2484</v>
      </c>
      <c r="G50" s="2845"/>
    </row>
    <row r="51" spans="1:7" ht="19.5" customHeight="1">
      <c r="A51" s="3497"/>
      <c r="B51" s="3493"/>
      <c r="C51" s="2846" t="s">
        <v>2485</v>
      </c>
      <c r="D51" s="2847"/>
      <c r="E51" s="2848">
        <v>1</v>
      </c>
      <c r="F51" s="2845" t="s">
        <v>2486</v>
      </c>
      <c r="G51" s="2845"/>
    </row>
    <row r="52" spans="1:7" ht="19.5" customHeight="1">
      <c r="A52" s="3497"/>
      <c r="B52" s="3493"/>
      <c r="C52" s="2846" t="s">
        <v>2487</v>
      </c>
      <c r="D52" s="2847"/>
      <c r="E52" s="2848">
        <v>1</v>
      </c>
      <c r="F52" s="2845" t="s">
        <v>2488</v>
      </c>
      <c r="G52" s="2845"/>
    </row>
    <row r="53" spans="1:7" ht="19.5" customHeight="1" thickBot="1">
      <c r="A53" s="3498"/>
      <c r="B53" s="3495"/>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4" t="s">
        <v>2642</v>
      </c>
      <c r="C75" s="2831" t="s">
        <v>2643</v>
      </c>
      <c r="D75" s="2831" t="s">
        <v>2644</v>
      </c>
      <c r="E75" s="2857">
        <v>0.2</v>
      </c>
      <c r="F75" s="2857">
        <v>25</v>
      </c>
    </row>
    <row r="76" spans="1:7" ht="24">
      <c r="A76" s="2857">
        <v>2</v>
      </c>
      <c r="B76" s="3493"/>
      <c r="C76" s="2831" t="s">
        <v>2645</v>
      </c>
      <c r="D76" s="2831" t="s">
        <v>2646</v>
      </c>
      <c r="E76" s="2857">
        <v>0.2</v>
      </c>
      <c r="F76" s="2857">
        <v>25</v>
      </c>
    </row>
    <row r="77" spans="1:7" ht="24">
      <c r="A77" s="2857">
        <v>3</v>
      </c>
      <c r="B77" s="3493"/>
      <c r="C77" s="2831" t="s">
        <v>2647</v>
      </c>
      <c r="D77" s="2831" t="s">
        <v>2648</v>
      </c>
      <c r="E77" s="2857">
        <v>0.2</v>
      </c>
      <c r="F77" s="2857">
        <v>25</v>
      </c>
    </row>
    <row r="78" spans="1:7" ht="13.5">
      <c r="A78" s="2857">
        <v>4</v>
      </c>
      <c r="B78" s="3493"/>
      <c r="C78" s="2831" t="s">
        <v>2649</v>
      </c>
      <c r="D78" s="2831" t="s">
        <v>2650</v>
      </c>
      <c r="E78" s="2857">
        <v>0.15</v>
      </c>
      <c r="F78" s="2857">
        <v>20</v>
      </c>
    </row>
    <row r="79" spans="1:7" ht="24">
      <c r="A79" s="2857">
        <v>5</v>
      </c>
      <c r="B79" s="3493"/>
      <c r="C79" s="2831" t="s">
        <v>2651</v>
      </c>
      <c r="D79" s="2831" t="s">
        <v>2652</v>
      </c>
      <c r="E79" s="2857">
        <v>0.15</v>
      </c>
      <c r="F79" s="2857">
        <v>20</v>
      </c>
    </row>
    <row r="80" spans="1:7" ht="24">
      <c r="A80" s="2857">
        <v>6</v>
      </c>
      <c r="B80" s="3493"/>
      <c r="C80" s="2831" t="s">
        <v>2653</v>
      </c>
      <c r="D80" s="2831" t="s">
        <v>2654</v>
      </c>
      <c r="E80" s="2857">
        <v>0.15</v>
      </c>
      <c r="F80" s="2857">
        <v>20</v>
      </c>
    </row>
    <row r="81" spans="1:6" ht="24">
      <c r="A81" s="2857">
        <v>7</v>
      </c>
      <c r="B81" s="3493"/>
      <c r="C81" s="2831" t="s">
        <v>2655</v>
      </c>
      <c r="D81" s="2831" t="s">
        <v>2656</v>
      </c>
      <c r="E81" s="2857">
        <v>0.15</v>
      </c>
      <c r="F81" s="2857">
        <v>20</v>
      </c>
    </row>
    <row r="82" spans="1:6" ht="24">
      <c r="A82" s="2857">
        <v>8</v>
      </c>
      <c r="B82" s="3493"/>
      <c r="C82" s="2831" t="s">
        <v>2657</v>
      </c>
      <c r="D82" s="2831" t="s">
        <v>2658</v>
      </c>
      <c r="E82" s="2857">
        <v>0.1</v>
      </c>
      <c r="F82" s="2857">
        <v>15</v>
      </c>
    </row>
    <row r="83" spans="1:6" ht="24">
      <c r="A83" s="2857">
        <v>9</v>
      </c>
      <c r="B83" s="3493"/>
      <c r="C83" s="2831" t="s">
        <v>2659</v>
      </c>
      <c r="D83" s="2831" t="s">
        <v>2660</v>
      </c>
      <c r="E83" s="2857">
        <v>0.1</v>
      </c>
      <c r="F83" s="2857">
        <v>15</v>
      </c>
    </row>
    <row r="84" spans="1:6" ht="24">
      <c r="A84" s="2857">
        <v>10</v>
      </c>
      <c r="B84" s="3493"/>
      <c r="C84" s="2831" t="s">
        <v>2661</v>
      </c>
      <c r="D84" s="2831" t="s">
        <v>2662</v>
      </c>
      <c r="E84" s="2857">
        <v>0.1</v>
      </c>
      <c r="F84" s="2857">
        <v>15</v>
      </c>
    </row>
    <row r="85" spans="1:6" ht="24">
      <c r="A85" s="2857">
        <v>11</v>
      </c>
      <c r="B85" s="3493"/>
      <c r="C85" s="2831" t="s">
        <v>2663</v>
      </c>
      <c r="D85" s="2831" t="s">
        <v>2664</v>
      </c>
      <c r="E85" s="2857">
        <v>0.1</v>
      </c>
      <c r="F85" s="2857">
        <v>15</v>
      </c>
    </row>
    <row r="86" spans="1:6" ht="24">
      <c r="A86" s="2857">
        <v>12</v>
      </c>
      <c r="B86" s="3493"/>
      <c r="C86" s="2831" t="s">
        <v>2665</v>
      </c>
      <c r="D86" s="2831" t="s">
        <v>2666</v>
      </c>
      <c r="E86" s="2857">
        <v>0.1</v>
      </c>
      <c r="F86" s="2857">
        <v>15</v>
      </c>
    </row>
    <row r="87" spans="1:6" ht="13.5">
      <c r="A87" s="2857">
        <v>13</v>
      </c>
      <c r="B87" s="3493"/>
      <c r="C87" s="2831" t="s">
        <v>2667</v>
      </c>
      <c r="D87" s="2831" t="s">
        <v>2668</v>
      </c>
      <c r="E87" s="2857">
        <v>0.1</v>
      </c>
      <c r="F87" s="2857">
        <v>15</v>
      </c>
    </row>
    <row r="88" spans="1:6" ht="13.5">
      <c r="A88" s="2857">
        <v>14</v>
      </c>
      <c r="B88" s="3493"/>
      <c r="C88" s="2831" t="s">
        <v>2669</v>
      </c>
      <c r="D88" s="2831" t="s">
        <v>2670</v>
      </c>
      <c r="E88" s="2857">
        <v>0.1</v>
      </c>
      <c r="F88" s="2857">
        <v>15</v>
      </c>
    </row>
    <row r="89" spans="1:6" ht="13.5">
      <c r="A89" s="2857">
        <v>15</v>
      </c>
      <c r="B89" s="3493"/>
      <c r="C89" s="2831" t="s">
        <v>2671</v>
      </c>
      <c r="D89" s="2831" t="s">
        <v>2672</v>
      </c>
      <c r="E89" s="2857">
        <v>0.1</v>
      </c>
      <c r="F89" s="2857">
        <v>15</v>
      </c>
    </row>
    <row r="90" spans="1:6" ht="24">
      <c r="A90" s="2857">
        <v>16</v>
      </c>
      <c r="B90" s="3493"/>
      <c r="C90" s="2831" t="s">
        <v>2673</v>
      </c>
      <c r="D90" s="2831" t="s">
        <v>2674</v>
      </c>
      <c r="E90" s="2857">
        <v>0.1</v>
      </c>
      <c r="F90" s="2857">
        <v>15</v>
      </c>
    </row>
    <row r="91" spans="1:6" ht="24">
      <c r="A91" s="2857">
        <v>17</v>
      </c>
      <c r="B91" s="3499"/>
      <c r="C91" s="2831" t="s">
        <v>2675</v>
      </c>
      <c r="D91" s="2831" t="s">
        <v>2676</v>
      </c>
      <c r="E91" s="2857">
        <v>0.1</v>
      </c>
      <c r="F91" s="2857">
        <v>15</v>
      </c>
    </row>
    <row r="92" spans="1:6" ht="13.5">
      <c r="A92" s="2857">
        <v>18</v>
      </c>
      <c r="B92" s="3494" t="s">
        <v>2677</v>
      </c>
      <c r="C92" s="2831" t="s">
        <v>2678</v>
      </c>
      <c r="D92" s="2831" t="s">
        <v>2679</v>
      </c>
      <c r="E92" s="2857">
        <v>0.2</v>
      </c>
      <c r="F92" s="2857">
        <v>25</v>
      </c>
    </row>
    <row r="93" spans="1:6" ht="24">
      <c r="A93" s="2857">
        <v>19</v>
      </c>
      <c r="B93" s="3493"/>
      <c r="C93" s="2831" t="s">
        <v>2680</v>
      </c>
      <c r="D93" s="2831" t="s">
        <v>2681</v>
      </c>
      <c r="E93" s="2857">
        <v>0.2</v>
      </c>
      <c r="F93" s="2857">
        <v>25</v>
      </c>
    </row>
    <row r="94" spans="1:6" ht="13.5">
      <c r="A94" s="2857">
        <v>20</v>
      </c>
      <c r="B94" s="3493"/>
      <c r="C94" s="2831" t="s">
        <v>2682</v>
      </c>
      <c r="D94" s="2831" t="s">
        <v>2683</v>
      </c>
      <c r="E94" s="2857">
        <v>0.15</v>
      </c>
      <c r="F94" s="2857">
        <v>20</v>
      </c>
    </row>
    <row r="95" spans="1:6" ht="13.5">
      <c r="A95" s="2857">
        <v>21</v>
      </c>
      <c r="B95" s="3493"/>
      <c r="C95" s="2831" t="s">
        <v>2684</v>
      </c>
      <c r="D95" s="2831" t="s">
        <v>2685</v>
      </c>
      <c r="E95" s="2857">
        <v>0.15</v>
      </c>
      <c r="F95" s="2857">
        <v>20</v>
      </c>
    </row>
    <row r="96" spans="1:6" ht="13.5">
      <c r="A96" s="2857">
        <v>22</v>
      </c>
      <c r="B96" s="3493"/>
      <c r="C96" s="2831" t="s">
        <v>2686</v>
      </c>
      <c r="D96" s="2831" t="s">
        <v>2687</v>
      </c>
      <c r="E96" s="2857">
        <v>0.15</v>
      </c>
      <c r="F96" s="2857">
        <v>20</v>
      </c>
    </row>
    <row r="97" spans="1:6" ht="36">
      <c r="A97" s="2857">
        <v>23</v>
      </c>
      <c r="B97" s="3493"/>
      <c r="C97" s="2831" t="s">
        <v>2688</v>
      </c>
      <c r="D97" s="2831" t="s">
        <v>2689</v>
      </c>
      <c r="E97" s="2857">
        <v>0.15</v>
      </c>
      <c r="F97" s="2857">
        <v>20</v>
      </c>
    </row>
    <row r="98" spans="1:6" ht="13.5">
      <c r="A98" s="2857">
        <v>24</v>
      </c>
      <c r="B98" s="3493"/>
      <c r="C98" s="2831" t="s">
        <v>2690</v>
      </c>
      <c r="D98" s="2831" t="s">
        <v>2691</v>
      </c>
      <c r="E98" s="2857">
        <v>0.1</v>
      </c>
      <c r="F98" s="2857">
        <v>15</v>
      </c>
    </row>
    <row r="99" spans="1:6" ht="13.5">
      <c r="A99" s="2857">
        <v>25</v>
      </c>
      <c r="B99" s="3493"/>
      <c r="C99" s="2831" t="s">
        <v>2692</v>
      </c>
      <c r="D99" s="2831" t="s">
        <v>2693</v>
      </c>
      <c r="E99" s="2857">
        <v>0.1</v>
      </c>
      <c r="F99" s="2857">
        <v>15</v>
      </c>
    </row>
    <row r="100" spans="1:6" ht="24">
      <c r="A100" s="2857">
        <v>26</v>
      </c>
      <c r="B100" s="3493"/>
      <c r="C100" s="2831" t="s">
        <v>2694</v>
      </c>
      <c r="D100" s="2831" t="s">
        <v>2695</v>
      </c>
      <c r="E100" s="2857">
        <v>0.1</v>
      </c>
      <c r="F100" s="2857">
        <v>15</v>
      </c>
    </row>
    <row r="101" spans="1:6" ht="24">
      <c r="A101" s="2857">
        <v>27</v>
      </c>
      <c r="B101" s="3493"/>
      <c r="C101" s="2831" t="s">
        <v>2696</v>
      </c>
      <c r="D101" s="2831" t="s">
        <v>2697</v>
      </c>
      <c r="E101" s="2857">
        <v>0.1</v>
      </c>
      <c r="F101" s="2857">
        <v>15</v>
      </c>
    </row>
    <row r="102" spans="1:6" ht="13.5">
      <c r="A102" s="2857">
        <v>28</v>
      </c>
      <c r="B102" s="3493"/>
      <c r="C102" s="2831" t="s">
        <v>2698</v>
      </c>
      <c r="D102" s="2831" t="s">
        <v>2699</v>
      </c>
      <c r="E102" s="2857">
        <v>0.1</v>
      </c>
      <c r="F102" s="2857">
        <v>15</v>
      </c>
    </row>
    <row r="103" spans="1:6" ht="13.5">
      <c r="A103" s="2857">
        <v>29</v>
      </c>
      <c r="B103" s="3493"/>
      <c r="C103" s="2831" t="s">
        <v>2700</v>
      </c>
      <c r="D103" s="2831" t="s">
        <v>2701</v>
      </c>
      <c r="E103" s="2857">
        <v>0.1</v>
      </c>
      <c r="F103" s="2857">
        <v>15</v>
      </c>
    </row>
    <row r="104" spans="1:6" ht="13.5">
      <c r="A104" s="2857">
        <v>30</v>
      </c>
      <c r="B104" s="3493"/>
      <c r="C104" s="2831" t="s">
        <v>2702</v>
      </c>
      <c r="D104" s="2831" t="s">
        <v>2703</v>
      </c>
      <c r="E104" s="2857">
        <v>0.1</v>
      </c>
      <c r="F104" s="2857">
        <v>15</v>
      </c>
    </row>
    <row r="105" spans="1:6" ht="24">
      <c r="A105" s="2857">
        <v>31</v>
      </c>
      <c r="B105" s="3493"/>
      <c r="C105" s="2831" t="s">
        <v>2704</v>
      </c>
      <c r="D105" s="2831" t="s">
        <v>2705</v>
      </c>
      <c r="E105" s="2857">
        <v>0.1</v>
      </c>
      <c r="F105" s="2857">
        <v>15</v>
      </c>
    </row>
    <row r="106" spans="1:6" ht="24">
      <c r="A106" s="2857">
        <v>32</v>
      </c>
      <c r="B106" s="3493"/>
      <c r="C106" s="2831" t="s">
        <v>2706</v>
      </c>
      <c r="D106" s="2831" t="s">
        <v>2707</v>
      </c>
      <c r="E106" s="2857">
        <v>0.1</v>
      </c>
      <c r="F106" s="2857">
        <v>15</v>
      </c>
    </row>
    <row r="107" spans="1:6" ht="24">
      <c r="A107" s="2857">
        <v>33</v>
      </c>
      <c r="B107" s="3493"/>
      <c r="C107" s="2831" t="s">
        <v>2708</v>
      </c>
      <c r="D107" s="2831" t="s">
        <v>2709</v>
      </c>
      <c r="E107" s="2857">
        <v>0.1</v>
      </c>
      <c r="F107" s="2857">
        <v>15</v>
      </c>
    </row>
    <row r="108" spans="1:6" ht="24">
      <c r="A108" s="2857">
        <v>34</v>
      </c>
      <c r="B108" s="3499"/>
      <c r="C108" s="2831" t="s">
        <v>2710</v>
      </c>
      <c r="D108" s="2831" t="s">
        <v>2711</v>
      </c>
      <c r="E108" s="2857">
        <v>0.1</v>
      </c>
      <c r="F108" s="2857">
        <v>15</v>
      </c>
    </row>
    <row r="109" spans="1:6" ht="24">
      <c r="A109" s="2857">
        <v>35</v>
      </c>
      <c r="B109" s="3494" t="s">
        <v>2712</v>
      </c>
      <c r="C109" s="2857" t="s">
        <v>2713</v>
      </c>
      <c r="D109" s="2831" t="s">
        <v>2714</v>
      </c>
      <c r="E109" s="2857">
        <v>0.15</v>
      </c>
      <c r="F109" s="2857">
        <v>20</v>
      </c>
    </row>
    <row r="110" spans="1:6" ht="13.5">
      <c r="A110" s="2857">
        <v>36</v>
      </c>
      <c r="B110" s="3493"/>
      <c r="C110" s="2857" t="s">
        <v>2715</v>
      </c>
      <c r="D110" s="2831" t="s">
        <v>2716</v>
      </c>
      <c r="E110" s="2857">
        <v>0.15</v>
      </c>
      <c r="F110" s="2857">
        <v>20</v>
      </c>
    </row>
    <row r="111" spans="1:6" ht="13.5">
      <c r="A111" s="2857">
        <v>37</v>
      </c>
      <c r="B111" s="3493"/>
      <c r="C111" s="2857" t="s">
        <v>2717</v>
      </c>
      <c r="D111" s="2831" t="s">
        <v>2718</v>
      </c>
      <c r="E111" s="2857">
        <v>0.15</v>
      </c>
      <c r="F111" s="2857">
        <v>20</v>
      </c>
    </row>
    <row r="112" spans="1:6" ht="13.5">
      <c r="A112" s="2857">
        <v>38</v>
      </c>
      <c r="B112" s="3493"/>
      <c r="C112" s="2857" t="s">
        <v>2719</v>
      </c>
      <c r="D112" s="2831" t="s">
        <v>2720</v>
      </c>
      <c r="E112" s="2857">
        <v>0.1</v>
      </c>
      <c r="F112" s="2857">
        <v>15</v>
      </c>
    </row>
    <row r="113" spans="1:6" ht="24">
      <c r="A113" s="2857">
        <v>39</v>
      </c>
      <c r="B113" s="3493"/>
      <c r="C113" s="2857" t="s">
        <v>2721</v>
      </c>
      <c r="D113" s="2831" t="s">
        <v>2722</v>
      </c>
      <c r="E113" s="2857">
        <v>0.1</v>
      </c>
      <c r="F113" s="2857">
        <v>15</v>
      </c>
    </row>
    <row r="114" spans="1:6" ht="24">
      <c r="A114" s="2857">
        <v>40</v>
      </c>
      <c r="B114" s="3499"/>
      <c r="C114" s="2857" t="s">
        <v>2723</v>
      </c>
      <c r="D114" s="2831" t="s">
        <v>2724</v>
      </c>
      <c r="E114" s="2857">
        <v>0.1</v>
      </c>
      <c r="F114" s="2857">
        <v>15</v>
      </c>
    </row>
    <row r="115" spans="1:6" ht="13.5">
      <c r="A115" s="2857">
        <v>41</v>
      </c>
      <c r="B115" s="3487" t="s">
        <v>2725</v>
      </c>
      <c r="C115" s="2857" t="s">
        <v>2726</v>
      </c>
      <c r="D115" s="2831" t="s">
        <v>2727</v>
      </c>
      <c r="E115" s="2857">
        <v>0.1</v>
      </c>
      <c r="F115" s="2857">
        <v>15</v>
      </c>
    </row>
    <row r="116" spans="1:6" ht="13.5">
      <c r="A116" s="2857">
        <v>42</v>
      </c>
      <c r="B116" s="3487"/>
      <c r="C116" s="2857" t="s">
        <v>2728</v>
      </c>
      <c r="D116" s="2831" t="s">
        <v>2729</v>
      </c>
      <c r="E116" s="2857">
        <v>0.1</v>
      </c>
      <c r="F116" s="2857">
        <v>15</v>
      </c>
    </row>
    <row r="117" spans="1:6" ht="24">
      <c r="A117" s="2857">
        <v>43</v>
      </c>
      <c r="B117" s="3487"/>
      <c r="C117" s="2857" t="s">
        <v>2730</v>
      </c>
      <c r="D117" s="2831" t="s">
        <v>2731</v>
      </c>
      <c r="E117" s="2857">
        <v>0.1</v>
      </c>
      <c r="F117" s="2857">
        <v>15</v>
      </c>
    </row>
    <row r="118" spans="1:6" ht="13.5">
      <c r="A118" s="2857">
        <v>44</v>
      </c>
      <c r="B118" s="3494" t="s">
        <v>2732</v>
      </c>
      <c r="C118" s="2857" t="s">
        <v>2733</v>
      </c>
      <c r="D118" s="2831" t="s">
        <v>2734</v>
      </c>
      <c r="E118" s="2857">
        <v>0.1</v>
      </c>
      <c r="F118" s="2857">
        <v>15</v>
      </c>
    </row>
    <row r="119" spans="1:6" ht="24">
      <c r="A119" s="2857">
        <v>45</v>
      </c>
      <c r="B119" s="3499"/>
      <c r="C119" s="2831" t="s">
        <v>2735</v>
      </c>
      <c r="D119" s="2831" t="s">
        <v>2736</v>
      </c>
      <c r="E119" s="2857">
        <v>0.1</v>
      </c>
      <c r="F119" s="2857">
        <v>15</v>
      </c>
    </row>
    <row r="120" spans="1:6" ht="24">
      <c r="A120" s="2857">
        <v>46</v>
      </c>
      <c r="B120" s="3494" t="s">
        <v>2737</v>
      </c>
      <c r="C120" s="2857" t="s">
        <v>2738</v>
      </c>
      <c r="D120" s="2831" t="s">
        <v>2739</v>
      </c>
      <c r="E120" s="2857">
        <v>0.1</v>
      </c>
      <c r="F120" s="2857">
        <v>15</v>
      </c>
    </row>
    <row r="121" spans="1:6" ht="24">
      <c r="A121" s="2857">
        <v>47</v>
      </c>
      <c r="B121" s="3499"/>
      <c r="C121" s="2857" t="s">
        <v>2740</v>
      </c>
      <c r="D121" s="2831" t="s">
        <v>2741</v>
      </c>
      <c r="E121" s="2857">
        <v>0.1</v>
      </c>
      <c r="F121" s="2857">
        <v>15</v>
      </c>
    </row>
    <row r="122" spans="1:6" ht="13.5">
      <c r="A122" s="2857">
        <v>48</v>
      </c>
      <c r="B122" s="3494" t="s">
        <v>2742</v>
      </c>
      <c r="C122" s="2857" t="s">
        <v>2743</v>
      </c>
      <c r="D122" s="2831" t="s">
        <v>2744</v>
      </c>
      <c r="E122" s="2857">
        <v>0.1</v>
      </c>
      <c r="F122" s="2857">
        <v>15</v>
      </c>
    </row>
    <row r="123" spans="1:6" ht="13.5">
      <c r="A123" s="2857">
        <v>49</v>
      </c>
      <c r="B123" s="3499"/>
      <c r="C123" s="2857" t="s">
        <v>2745</v>
      </c>
      <c r="D123" s="2831" t="s">
        <v>2746</v>
      </c>
      <c r="E123" s="2857">
        <v>0.1</v>
      </c>
      <c r="F123" s="2857">
        <v>15</v>
      </c>
    </row>
    <row r="124" spans="1:6" ht="24">
      <c r="A124" s="2857">
        <v>50</v>
      </c>
      <c r="B124" s="3487" t="s">
        <v>2747</v>
      </c>
      <c r="C124" s="2857" t="s">
        <v>2748</v>
      </c>
      <c r="D124" s="2831" t="s">
        <v>2749</v>
      </c>
      <c r="E124" s="2857">
        <v>0.1</v>
      </c>
      <c r="F124" s="2857">
        <v>15</v>
      </c>
    </row>
    <row r="125" spans="1:6" ht="24">
      <c r="A125" s="2857">
        <v>51</v>
      </c>
      <c r="B125" s="3487"/>
      <c r="C125" s="2857" t="s">
        <v>2750</v>
      </c>
      <c r="D125" s="2831" t="s">
        <v>2751</v>
      </c>
      <c r="E125" s="2857">
        <v>0.1</v>
      </c>
      <c r="F125" s="2857">
        <v>15</v>
      </c>
    </row>
    <row r="126" spans="1:6" ht="24">
      <c r="A126" s="2857">
        <v>52</v>
      </c>
      <c r="B126" s="3487" t="s">
        <v>2752</v>
      </c>
      <c r="C126" s="2857" t="s">
        <v>2753</v>
      </c>
      <c r="D126" s="2831" t="s">
        <v>2754</v>
      </c>
      <c r="E126" s="2857">
        <v>0.1</v>
      </c>
      <c r="F126" s="2857">
        <v>15</v>
      </c>
    </row>
    <row r="127" spans="1:6" ht="24">
      <c r="A127" s="2857">
        <v>53</v>
      </c>
      <c r="B127" s="3487"/>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87" t="s">
        <v>2760</v>
      </c>
      <c r="C129" s="2857" t="s">
        <v>2761</v>
      </c>
      <c r="D129" s="2831" t="s">
        <v>2762</v>
      </c>
      <c r="E129" s="2857">
        <v>0.1</v>
      </c>
      <c r="F129" s="2857">
        <v>15</v>
      </c>
    </row>
    <row r="130" spans="1:6" ht="13.5">
      <c r="A130" s="2857">
        <v>56</v>
      </c>
      <c r="B130" s="3487"/>
      <c r="C130" s="2857" t="s">
        <v>2763</v>
      </c>
      <c r="D130" s="2831" t="s">
        <v>2764</v>
      </c>
      <c r="E130" s="2857">
        <v>0.1</v>
      </c>
      <c r="F130" s="2857">
        <v>15</v>
      </c>
    </row>
    <row r="131" spans="1:6" ht="24">
      <c r="A131" s="2857">
        <v>57</v>
      </c>
      <c r="B131" s="3487"/>
      <c r="C131" s="2857" t="s">
        <v>2765</v>
      </c>
      <c r="D131" s="2831" t="s">
        <v>2766</v>
      </c>
      <c r="E131" s="2857">
        <v>0.1</v>
      </c>
      <c r="F131" s="2857">
        <v>15</v>
      </c>
    </row>
    <row r="132" spans="1:6" ht="24">
      <c r="A132" s="2857">
        <v>58</v>
      </c>
      <c r="B132" s="3487" t="s">
        <v>2767</v>
      </c>
      <c r="C132" s="2857" t="s">
        <v>2768</v>
      </c>
      <c r="D132" s="2831" t="s">
        <v>2769</v>
      </c>
      <c r="E132" s="2857">
        <v>0.1</v>
      </c>
      <c r="F132" s="2857">
        <v>15</v>
      </c>
    </row>
    <row r="133" spans="1:6" ht="13.5">
      <c r="A133" s="2857">
        <v>59</v>
      </c>
      <c r="B133" s="3487"/>
      <c r="C133" s="2857" t="s">
        <v>2770</v>
      </c>
      <c r="D133" s="2831" t="s">
        <v>2771</v>
      </c>
      <c r="E133" s="2857">
        <v>0.1</v>
      </c>
      <c r="F133" s="2857">
        <v>15</v>
      </c>
    </row>
    <row r="134" spans="1:6" ht="13.5">
      <c r="A134" s="2857">
        <v>60</v>
      </c>
      <c r="B134" s="3494" t="s">
        <v>2772</v>
      </c>
      <c r="C134" s="2857" t="s">
        <v>2773</v>
      </c>
      <c r="D134" s="2831" t="s">
        <v>2774</v>
      </c>
      <c r="E134" s="2857">
        <v>0.1</v>
      </c>
      <c r="F134" s="2857">
        <v>15</v>
      </c>
    </row>
    <row r="135" spans="1:6" ht="13.5">
      <c r="A135" s="2857">
        <v>61</v>
      </c>
      <c r="B135" s="3499"/>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87" t="s">
        <v>2780</v>
      </c>
      <c r="C137" s="2857" t="s">
        <v>2781</v>
      </c>
      <c r="D137" s="2831" t="s">
        <v>2782</v>
      </c>
      <c r="E137" s="2857">
        <v>0.1</v>
      </c>
      <c r="F137" s="2857">
        <v>15</v>
      </c>
    </row>
    <row r="138" spans="1:6" ht="13.5">
      <c r="A138" s="2857">
        <v>64</v>
      </c>
      <c r="B138" s="3487"/>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0.83350000000000002</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0.79279999999999995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28415</v>
      </c>
      <c r="C2" s="2" t="s">
        <v>106</v>
      </c>
      <c r="D2" s="191"/>
      <c r="E2" s="191"/>
      <c r="F2" s="191"/>
      <c r="G2" s="191"/>
    </row>
    <row r="3" spans="1:7" s="192" customFormat="1" ht="18" customHeight="1" thickBot="1">
      <c r="A3" s="195" t="s">
        <v>58</v>
      </c>
      <c r="B3" s="196">
        <f ca="1">ROUND(B2*10000/'数据-汇总表'!E3,0)</f>
        <v>154705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1836.72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1836.72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735</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1836.72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61" t="s">
        <v>94</v>
      </c>
    </row>
    <row r="43" spans="1:7" ht="13.5" customHeight="1">
      <c r="A43" s="734" t="s">
        <v>347</v>
      </c>
      <c r="B43" s="207" t="s">
        <v>426</v>
      </c>
      <c r="C43" s="230">
        <f ca="1">ROUND(IF('数据-取费表'!B22&lt;=1,C39*F22*'数据-取费表'!B21/2,C39*(POWER((1+F22),'数据-取费表'!B21/2)-1)),0)</f>
        <v>1</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126</v>
      </c>
      <c r="D45" s="227">
        <f>C47</f>
        <v>3.0000000000000001E-3</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1076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742</v>
      </c>
      <c r="D51" s="224"/>
      <c r="E51" s="224"/>
      <c r="F51" s="256"/>
      <c r="G51" s="226" t="s">
        <v>37</v>
      </c>
    </row>
    <row r="52" spans="1:7" s="200" customFormat="1" ht="16.5" thickBot="1">
      <c r="A52" s="257" t="s">
        <v>38</v>
      </c>
      <c r="B52" s="258"/>
      <c r="C52" s="259">
        <f ca="1">C31+C51</f>
        <v>28415</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0" t="s">
        <v>3172</v>
      </c>
      <c r="B1" s="3500"/>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1" t="s">
        <v>3223</v>
      </c>
      <c r="B1" s="3501"/>
      <c r="C1" s="3501"/>
      <c r="D1" s="3501"/>
      <c r="E1" s="3501"/>
      <c r="F1" s="3502"/>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45967</v>
      </c>
      <c r="B1" s="2929" t="s">
        <v>3367</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5" t="s">
        <v>3365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5" t="s">
        <v>3364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5" t="s">
        <v>3360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5" t="s">
        <v>3359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5" t="s">
        <v>3357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5" t="s">
        <v>3356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5" t="s">
        <v>3355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5" t="s">
        <v>3353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5" t="s">
        <v>3344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5" t="s">
        <v>2816</v>
      </c>
    </row>
    <row r="29" spans="1:44" s="2009" customFormat="1" ht="12.75">
      <c r="B29" s="2929" t="s">
        <v>3368</v>
      </c>
      <c r="C29" s="2930"/>
      <c r="D29" s="2930"/>
      <c r="E29" s="2930"/>
      <c r="F29" s="2930"/>
      <c r="G29" s="2930"/>
      <c r="H29" s="2930"/>
      <c r="I29" s="2930"/>
      <c r="J29" s="2896"/>
      <c r="K29" s="2930" t="s">
        <v>2817</v>
      </c>
      <c r="L29" s="2930"/>
      <c r="M29" s="2930"/>
      <c r="N29" s="2930"/>
      <c r="O29" s="2930"/>
      <c r="P29" s="2930"/>
      <c r="Q29" s="2896"/>
      <c r="R29" s="3503" t="s">
        <v>2818</v>
      </c>
      <c r="S29" s="3504"/>
      <c r="T29" s="3504"/>
      <c r="U29" s="3504"/>
      <c r="V29" s="3504"/>
      <c r="W29" s="3504"/>
      <c r="X29" s="2896"/>
      <c r="Y29" s="3503" t="s">
        <v>2819</v>
      </c>
      <c r="Z29" s="3504"/>
      <c r="AA29" s="3504"/>
      <c r="AB29" s="3504"/>
      <c r="AC29" s="3504"/>
      <c r="AD29" s="3504"/>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5" t="s">
        <v>3366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5" t="s">
        <v>3363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5" t="s">
        <v>3361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5" t="s">
        <v>3359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5" t="s">
        <v>3358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5" t="s">
        <v>3356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5" t="s">
        <v>3355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5" t="s">
        <v>3354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5" t="s">
        <v>3344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6" t="s">
        <v>2830</v>
      </c>
      <c r="B1" s="3516"/>
      <c r="C1" s="3516"/>
      <c r="D1" s="3516"/>
      <c r="E1" s="3516"/>
      <c r="F1" s="3516"/>
      <c r="G1" s="3517"/>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14"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15"/>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801" t="s">
        <v>925</v>
      </c>
      <c r="E3" s="801" t="s">
        <v>931</v>
      </c>
      <c r="F3" s="801" t="s">
        <v>925</v>
      </c>
      <c r="G3" s="801" t="s">
        <v>926</v>
      </c>
      <c r="H3" s="801" t="s">
        <v>925</v>
      </c>
      <c r="I3" s="801" t="s">
        <v>926</v>
      </c>
    </row>
    <row r="4" spans="1:9" ht="15">
      <c r="A4" s="1403" t="str">
        <f>项目基本情况!S2</f>
        <v>北京市房地产</v>
      </c>
      <c r="B4" s="801">
        <f>项目基本情况!C17</f>
        <v>1836.72</v>
      </c>
      <c r="C4" s="801">
        <f>项目基本情况!C18</f>
        <v>231.72</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927</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租售</vt:lpstr>
      <vt:lpstr>租金比较法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2025-11-14T01:57:59Z</dcterms:modified>
</cp:coreProperties>
</file>