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2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69" i="80" l="1"/>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9" i="76"/>
  <c r="E7" i="76"/>
  <c r="B8" i="76"/>
  <c r="B10" i="76"/>
  <c r="E8" i="76"/>
  <c r="B13" i="76"/>
  <c r="E13" i="76"/>
  <c r="B7" i="76"/>
  <c r="E10" i="76"/>
  <c r="E12" i="76"/>
  <c r="B11" i="76"/>
  <c r="B12" i="76"/>
  <c r="E11"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F3" i="73"/>
  <c r="F4" i="73"/>
  <c r="F5" i="73"/>
  <c r="I1" i="73" l="1"/>
  <c r="B39" i="1" s="1"/>
  <c r="D7" i="73"/>
  <c r="D3" i="73"/>
  <c r="D4" i="73"/>
  <c r="D6"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38" i="87"/>
  <c r="F16" i="86"/>
  <c r="F42" i="15"/>
  <c r="F26" i="15"/>
  <c r="L48" i="67"/>
  <c r="L48" i="15"/>
  <c r="L48" i="87"/>
  <c r="F26" i="86"/>
  <c r="M29" i="86"/>
  <c r="F36" i="87"/>
  <c r="F26" i="87"/>
  <c r="F9" i="86"/>
  <c r="L47" i="67"/>
  <c r="F6" i="86"/>
  <c r="J15" i="87"/>
  <c r="M24" i="67"/>
  <c r="F43" i="67"/>
  <c r="M9" i="67"/>
  <c r="J15" i="86"/>
  <c r="F13" i="87"/>
  <c r="M8" i="67"/>
  <c r="G1" i="73"/>
  <c r="F42" i="67"/>
  <c r="F9" i="15"/>
  <c r="M6" i="86"/>
  <c r="F8" i="86"/>
  <c r="M8" i="86"/>
  <c r="F16" i="87"/>
  <c r="F42" i="86"/>
  <c r="M24" i="86"/>
  <c r="L48" i="86"/>
  <c r="C76" i="15"/>
  <c r="F6" i="87"/>
  <c r="F8" i="15"/>
  <c r="M8" i="87"/>
  <c r="C76" i="86"/>
  <c r="M27" i="87"/>
  <c r="F36" i="15"/>
  <c r="F6" i="15"/>
  <c r="M23" i="87"/>
  <c r="M24" i="87"/>
  <c r="M29" i="67"/>
  <c r="F36" i="67"/>
  <c r="M28" i="15"/>
  <c r="F9" i="67"/>
  <c r="M23" i="67"/>
  <c r="M23" i="15"/>
  <c r="F13" i="67"/>
  <c r="F7" i="87"/>
  <c r="F7" i="67"/>
  <c r="M8" i="15"/>
  <c r="M27" i="86"/>
  <c r="F9" i="87"/>
  <c r="F43" i="15"/>
  <c r="F37" i="15"/>
  <c r="M28" i="87"/>
  <c r="F6" i="67"/>
  <c r="F37" i="87"/>
  <c r="F40" i="87"/>
  <c r="M6" i="15"/>
  <c r="F43" i="87"/>
  <c r="M23" i="86"/>
  <c r="M28" i="86"/>
  <c r="M29" i="87"/>
  <c r="M24" i="15"/>
  <c r="F16" i="67"/>
  <c r="F43" i="86"/>
  <c r="M9" i="87"/>
  <c r="M22" i="86"/>
  <c r="L47" i="15"/>
  <c r="F38" i="67"/>
  <c r="M6" i="87"/>
  <c r="F13" i="86"/>
  <c r="F42" i="87"/>
  <c r="F37" i="86"/>
  <c r="J15" i="15"/>
  <c r="M26" i="15"/>
  <c r="M26" i="67"/>
  <c r="M6" i="67"/>
  <c r="F38" i="86"/>
  <c r="F40" i="67"/>
  <c r="F13" i="15"/>
  <c r="C76" i="67"/>
  <c r="J15" i="67"/>
  <c r="M9" i="86"/>
  <c r="F8" i="67"/>
  <c r="M28" i="67"/>
  <c r="C76" i="87"/>
  <c r="M9" i="15"/>
  <c r="F37" i="67"/>
  <c r="M29" i="15"/>
  <c r="M26" i="87"/>
  <c r="M22" i="87"/>
  <c r="F16" i="15"/>
  <c r="F7" i="15"/>
  <c r="M22" i="15"/>
  <c r="M22" i="67"/>
  <c r="F36" i="86"/>
  <c r="F40" i="86"/>
  <c r="F38" i="15"/>
  <c r="L47" i="87"/>
  <c r="L47" i="86"/>
  <c r="F26" i="67"/>
  <c r="F7" i="86"/>
  <c r="M26" i="86"/>
  <c r="F8" i="87"/>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7" i="86"/>
  <c r="C16" i="86"/>
  <c r="C16" i="87"/>
  <c r="C17" i="15"/>
  <c r="C16" i="15"/>
  <c r="C16" i="67"/>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95" i="3"/>
  <c r="AY382" i="3"/>
  <c r="AY300" i="3"/>
  <c r="AY401" i="3"/>
  <c r="AY76" i="3"/>
  <c r="AY178" i="3"/>
  <c r="AY117" i="3"/>
  <c r="AY254" i="3"/>
  <c r="AY365" i="3"/>
  <c r="AY73" i="3"/>
  <c r="AY202" i="3"/>
  <c r="AY145" i="3"/>
  <c r="AY259" i="3"/>
  <c r="AY388" i="3"/>
  <c r="AY333" i="3"/>
  <c r="AY316" i="3"/>
  <c r="AY472" i="3"/>
  <c r="AY430" i="3"/>
  <c r="AY411" i="3"/>
  <c r="AY585" i="3"/>
  <c r="AY571"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86"/>
  <c r="C17" i="87"/>
  <c r="AY87" i="3" l="1"/>
  <c r="AY144" i="3"/>
  <c r="AY152" i="3"/>
  <c r="AY253" i="3"/>
  <c r="AY303" i="3"/>
  <c r="AY529" i="3"/>
  <c r="AY217" i="3"/>
  <c r="AY463" i="3"/>
  <c r="AY544" i="3"/>
  <c r="AY92" i="3"/>
  <c r="AY36" i="3"/>
  <c r="AY182" i="3"/>
  <c r="AY146" i="3"/>
  <c r="AY126" i="3"/>
  <c r="AY302" i="3"/>
  <c r="AY239" i="3"/>
  <c r="AY222" i="3"/>
  <c r="AY389" i="3"/>
  <c r="BS6" i="3"/>
  <c r="AY93" i="3"/>
  <c r="AY41" i="3"/>
  <c r="AY24" i="3"/>
  <c r="AY197" i="3"/>
  <c r="AY177" i="3"/>
  <c r="AY114" i="3"/>
  <c r="AY290" i="3"/>
  <c r="AY274" i="3"/>
  <c r="AY210" i="3"/>
  <c r="AY377" i="3"/>
  <c r="AY349" i="3"/>
  <c r="AY317" i="3"/>
  <c r="AY332" i="3"/>
  <c r="AY491" i="3"/>
  <c r="AY488" i="3"/>
  <c r="AY457" i="3"/>
  <c r="AY446" i="3"/>
  <c r="AY414" i="3"/>
  <c r="AY427" i="3"/>
  <c r="AY581" i="3"/>
  <c r="BM6" i="3"/>
  <c r="AY561" i="3"/>
  <c r="BF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76" i="3"/>
  <c r="AY479" i="3"/>
  <c r="AY320" i="3"/>
  <c r="AY305" i="3"/>
  <c r="AY337" i="3"/>
  <c r="AY361" i="3"/>
  <c r="AY396" i="3"/>
  <c r="AY250" i="3"/>
  <c r="AY267" i="3"/>
  <c r="AY113" i="3"/>
  <c r="AY153" i="3"/>
  <c r="AY174" i="3"/>
  <c r="AY21" i="3"/>
  <c r="AY64" i="3"/>
  <c r="AY81" i="3"/>
  <c r="AY523" i="3"/>
  <c r="AY496" i="3"/>
  <c r="AY532" i="3"/>
  <c r="AY543" i="3"/>
  <c r="AY552" i="3"/>
  <c r="AY520" i="3"/>
  <c r="AY534" i="3"/>
  <c r="BQ6" i="3"/>
  <c r="AY398" i="3"/>
  <c r="AY462" i="3"/>
  <c r="AY475" i="3"/>
  <c r="AY348" i="3"/>
  <c r="AY353" i="3"/>
  <c r="AY242" i="3"/>
  <c r="AY295" i="3"/>
  <c r="AY166" i="3"/>
  <c r="AY56" i="3"/>
  <c r="BI6" i="3"/>
  <c r="AY211" i="3"/>
  <c r="AY271" i="3"/>
  <c r="AY157" i="3"/>
  <c r="AY25" i="3"/>
  <c r="BE6" i="3"/>
  <c r="AY327" i="3"/>
  <c r="AY460" i="3"/>
  <c r="AY111" i="3"/>
  <c r="AY34" i="3"/>
  <c r="J101" i="43"/>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67"/>
  <c r="M21" i="86"/>
  <c r="F35" i="86"/>
  <c r="M21" i="87"/>
  <c r="M21" i="15"/>
  <c r="F35" i="8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7"/>
  <c r="F41" i="86"/>
  <c r="AE6" i="1"/>
  <c r="F69" i="87" l="1"/>
  <c r="C68" i="87" s="1"/>
  <c r="J29" i="87"/>
  <c r="C40" i="87"/>
  <c r="F45" i="87" s="1"/>
  <c r="F69" i="86"/>
  <c r="C68" i="86" s="1"/>
  <c r="J29" i="86"/>
  <c r="C40" i="86"/>
  <c r="C66" i="15"/>
  <c r="C60" i="15"/>
  <c r="C59" i="15" s="1"/>
  <c r="AG6" i="1"/>
  <c r="C80" i="15"/>
  <c r="C79" i="15" s="1"/>
  <c r="C65" i="15"/>
  <c r="Q68" i="15"/>
  <c r="L57" i="15"/>
  <c r="L60" i="15" s="1"/>
  <c r="M27" i="67"/>
  <c r="F41" i="15"/>
  <c r="M27" i="15"/>
  <c r="L51" i="15"/>
  <c r="F41" i="67"/>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21"/>
  <c r="D2" i="34"/>
  <c r="C19" i="9"/>
  <c r="D2" i="35"/>
  <c r="D2" i="37"/>
  <c r="F20" i="31"/>
  <c r="E2" i="68"/>
  <c r="D2" i="36"/>
  <c r="D2" i="33"/>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<sst xmlns="http://schemas.openxmlformats.org/spreadsheetml/2006/main" count="8232" uniqueCount="3148">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</sst>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估价对象为北京市石景山区石景山路乙18号院4号楼房地产，为所有。根据，估价对象（分摊）出让国有建设用地使用权面积为22069.85平方米，建筑面积为120487.72平方米。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22069.85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22069.85</v>
      </c>
    </row>
    <row r="46" spans="1:2" s="1590" customFormat="1">
      <c r="A46" s="1588" t="s">
        <v>1269</v>
      </c>
      <c r="B46" s="1589" t="str">
        <f>'预评函-3'!D2</f>
        <v>出让国有建设用地使用权价值</v>
      </c>
    </row>
    <row r="47" spans="1:2" s="1590" customFormat="1">
      <c r="A47" s="1588" t="s">
        <v>1244</v>
      </c>
      <c r="B47" s="1589">
        <f ca="1">'预评函-3'!D4</f>
        <v>367907</v>
      </c>
    </row>
    <row r="48" spans="1:2" s="1590" customFormat="1">
      <c r="A48" s="1588" t="s">
        <v>1245</v>
      </c>
      <c r="B48" s="1589">
        <f ca="1">'预评函-3'!E4</f>
        <v>30534</v>
      </c>
    </row>
    <row r="49" spans="1:2" s="1590" customFormat="1">
      <c r="A49" s="1588" t="s">
        <v>1246</v>
      </c>
      <c r="B49" s="1589" t="str">
        <f ca="1">'预评函-3'!D5</f>
        <v>叁拾陆亿柒仟玖佰零柒万元整</v>
      </c>
    </row>
    <row r="50" spans="1:2" s="1590" customFormat="1">
      <c r="A50" s="1588" t="s">
        <v>1270</v>
      </c>
      <c r="B50" s="1589" t="str">
        <f>'预评函-3'!F2</f>
        <v>在建建筑物价值</v>
      </c>
    </row>
    <row r="51" spans="1:2" s="1590" customFormat="1">
      <c r="A51" s="1588" t="s">
        <v>1247</v>
      </c>
      <c r="B51" s="1589">
        <f ca="1">'预评函-3'!F4</f>
        <v>87988</v>
      </c>
    </row>
    <row r="52" spans="1:2" s="1590" customFormat="1">
      <c r="A52" s="1588" t="s">
        <v>1248</v>
      </c>
      <c r="B52" s="1589">
        <f ca="1">'预评函-3'!G4</f>
        <v>7303</v>
      </c>
    </row>
    <row r="53" spans="1:2" s="1590" customFormat="1">
      <c r="A53" s="1588" t="s">
        <v>1276</v>
      </c>
      <c r="B53" s="1589" t="str">
        <f ca="1">'预评函-3'!F5</f>
        <v>捌亿柒仟玖佰捌拾捌万元整</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3" sqref="C2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41" t="str">
        <f>IF(B10="北京市","北京市",C10)&amp;F10&amp;IF(结果表!G1="在建","出让国有建设用地使用权及在建建筑物",IF(结果表!G1="土地","出让国有建设用地使用权",))&amp;B9&amp;"预评估"</f>
        <v>北京市石景山区石景山路乙18号院4号楼房地产抵押价值预评估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44"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45"/>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51"/>
      <c r="C16" s="3052"/>
      <c r="D16" s="3053"/>
      <c r="E16" s="2080" t="s">
        <v>1767</v>
      </c>
      <c r="F16" s="3054"/>
      <c r="G16" s="3055"/>
      <c r="H16" s="3055"/>
      <c r="I16" s="3056"/>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57" t="s">
        <v>3060</v>
      </c>
      <c r="F17" s="3058"/>
      <c r="G17" s="3058"/>
      <c r="H17" s="3058"/>
      <c r="I17" s="3059"/>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22069.85</v>
      </c>
      <c r="D18" s="2085" t="s">
        <v>1770</v>
      </c>
      <c r="E18" s="3060"/>
      <c r="F18" s="3061"/>
      <c r="G18" s="3061"/>
      <c r="H18" s="3061"/>
      <c r="I18" s="3062"/>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47" t="s">
        <v>1777</v>
      </c>
      <c r="C20" s="3048"/>
      <c r="D20" s="3049" t="s">
        <v>1778</v>
      </c>
      <c r="E20" s="3050"/>
      <c r="F20" s="2092" t="s">
        <v>1779</v>
      </c>
      <c r="G20" s="2039"/>
      <c r="H20" s="2039"/>
      <c r="I20" s="2039"/>
      <c r="J20" s="2039"/>
      <c r="K20" s="3046"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34"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4"/>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4"/>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5"/>
      <c r="B30" s="2032" t="s">
        <v>1795</v>
      </c>
      <c r="C30" s="3036"/>
      <c r="D30" s="303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8"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39"/>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33" t="s">
        <v>1805</v>
      </c>
      <c r="T34" s="2129" t="str">
        <f>NUMBERSTRING(7-K34,1)&amp;"通"</f>
        <v>七通</v>
      </c>
      <c r="U34" s="2026"/>
      <c r="V34" s="2026"/>
    </row>
    <row r="35" spans="1:22" ht="18" customHeight="1">
      <c r="A35" s="2130"/>
      <c r="B35" s="3040" t="s">
        <v>1806</v>
      </c>
      <c r="C35" s="3040"/>
      <c r="D35" s="3040"/>
      <c r="E35" s="304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3"/>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22069.85</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22069.850000000002</v>
      </c>
      <c r="F6" s="16" t="s">
        <v>1</v>
      </c>
      <c r="G6" s="16" t="s">
        <v>2</v>
      </c>
      <c r="H6" s="20">
        <f>SUMIF(I$12:AB$12,"总值",I6:AB6)</f>
        <v>21510.95</v>
      </c>
      <c r="I6" s="16">
        <f t="shared" ref="I6:AB6" si="2">ROUND($A$3*I5/$B$3,2)</f>
        <v>13754.06</v>
      </c>
      <c r="J6" s="16">
        <f t="shared" si="2"/>
        <v>0</v>
      </c>
      <c r="K6" s="16">
        <f t="shared" si="2"/>
        <v>4608.8500000000004</v>
      </c>
      <c r="L6" s="16">
        <f t="shared" si="2"/>
        <v>0</v>
      </c>
      <c r="M6" s="16">
        <f t="shared" si="2"/>
        <v>3148.04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558.9</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22069.85</v>
      </c>
      <c r="AZ6" s="16" t="s">
        <v>3</v>
      </c>
      <c r="BA6" s="16">
        <f>ROUND($AY$6*BA5/$AZ$5,2)</f>
        <v>21510.95</v>
      </c>
      <c r="BB6" s="16">
        <f>ROUND($AY$6*BB5/$AZ$5,2)</f>
        <v>13754.06</v>
      </c>
      <c r="BC6" s="16">
        <f t="shared" ref="BC6:BH6" si="4">ROUND($AY$6*BC5/$AZ$5,2)</f>
        <v>4608.8500000000004</v>
      </c>
      <c r="BD6" s="16">
        <f t="shared" si="4"/>
        <v>3148.04</v>
      </c>
      <c r="BE6" s="16">
        <f t="shared" si="4"/>
        <v>0</v>
      </c>
      <c r="BF6" s="16">
        <f t="shared" si="4"/>
        <v>0</v>
      </c>
      <c r="BG6" s="16">
        <f t="shared" si="4"/>
        <v>0</v>
      </c>
      <c r="BH6" s="16">
        <f t="shared" si="4"/>
        <v>0</v>
      </c>
      <c r="BI6" s="16">
        <f t="shared" ref="BI6:BT6" si="5">ROUND($AY$6*BI5/$AZ$5,2)</f>
        <v>0</v>
      </c>
      <c r="BJ6" s="16">
        <f t="shared" si="5"/>
        <v>0</v>
      </c>
      <c r="BK6" s="16">
        <f t="shared" si="5"/>
        <v>0</v>
      </c>
      <c r="BL6" s="16">
        <f t="shared" si="5"/>
        <v>558.9</v>
      </c>
      <c r="BM6" s="16">
        <f t="shared" si="5"/>
        <v>0</v>
      </c>
      <c r="BN6" s="16">
        <f t="shared" si="5"/>
        <v>0</v>
      </c>
      <c r="BO6" s="16">
        <f t="shared" si="5"/>
        <v>0</v>
      </c>
      <c r="BP6" s="16">
        <f t="shared" si="5"/>
        <v>0</v>
      </c>
      <c r="BQ6" s="16">
        <f t="shared" si="5"/>
        <v>0</v>
      </c>
      <c r="BR6" s="16">
        <f t="shared" si="5"/>
        <v>558.9</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6606.48</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6606.48</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12315.33</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12315.33</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3148.04</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3148.04</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 sqref="N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22069.85</v>
      </c>
      <c r="E3" s="46">
        <f>'数据-基础表'!AZ5</f>
        <v>120487.72</v>
      </c>
      <c r="F3" s="1389"/>
      <c r="G3" s="1396"/>
      <c r="H3" s="1244" t="s">
        <v>1877</v>
      </c>
      <c r="I3" s="55">
        <f>ROUND('数据-基础表'!B3/'数据-基础表'!A3,2)</f>
        <v>5.46</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3.4</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5.46</v>
      </c>
      <c r="J5" s="1389"/>
      <c r="K5" s="1389"/>
      <c r="L5" s="1389"/>
      <c r="M5" s="1389"/>
      <c r="N5" s="1389"/>
      <c r="O5" s="1389"/>
      <c r="P5" s="1389"/>
    </row>
    <row r="6" spans="1:16" ht="15" thickBot="1">
      <c r="A6" s="2229"/>
      <c r="B6" s="3079" t="s">
        <v>1882</v>
      </c>
      <c r="C6" s="3079"/>
      <c r="D6" s="48">
        <f>ROUND($D$3*E6/$E$3,2)</f>
        <v>22069.85</v>
      </c>
      <c r="E6" s="49">
        <f>E3-E5</f>
        <v>120487.72</v>
      </c>
      <c r="F6" s="1389"/>
      <c r="G6" s="2230" t="s">
        <v>1883</v>
      </c>
      <c r="H6" s="1396" t="s">
        <v>1884</v>
      </c>
      <c r="I6" s="936">
        <f>ROUND(F31/D31,2)</f>
        <v>3.4</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13754.06</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4608.8500000000004</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3148.04</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21510.95</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6047.58</v>
      </c>
      <c r="E19" s="56">
        <f t="shared" ref="E19:E26" si="1">SUM(F19:G19)</f>
        <v>33016.050000000003</v>
      </c>
      <c r="F19" s="57">
        <f>'数据-基础表'!I13</f>
        <v>12526.05</v>
      </c>
      <c r="G19" s="58">
        <f>'数据-基础表'!K13</f>
        <v>20490</v>
      </c>
      <c r="H19" s="722">
        <f>ROUND($D$3*I19/$E$3,2)</f>
        <v>157.13</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6204.71</v>
      </c>
      <c r="S19" s="1245">
        <f t="shared" si="5"/>
        <v>33873.870000000003</v>
      </c>
    </row>
    <row r="20" spans="1:19">
      <c r="A20" s="2258"/>
      <c r="B20" s="50" t="s">
        <v>1924</v>
      </c>
      <c r="C20" s="2255" t="str">
        <f>定义!A5</f>
        <v>无租约商业用房</v>
      </c>
      <c r="D20" s="48">
        <f t="shared" ref="D20:D26" si="6">ROUND($D$3*E20/$E$3,2)</f>
        <v>12315.33</v>
      </c>
      <c r="E20" s="56">
        <f t="shared" si="1"/>
        <v>67234.069999999992</v>
      </c>
      <c r="F20" s="57">
        <f>'数据-基础表'!I14</f>
        <v>62562.599999999991</v>
      </c>
      <c r="G20" s="58">
        <f>'数据-基础表'!K14</f>
        <v>4671.4700000000012</v>
      </c>
      <c r="H20" s="722">
        <f t="shared" ref="H20:H26" si="7">ROUND($D$3*I20/$E$3,2)</f>
        <v>319.98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12635.31</v>
      </c>
      <c r="S20" s="1245">
        <f t="shared" si="5"/>
        <v>68980.939999999988</v>
      </c>
    </row>
    <row r="21" spans="1:19">
      <c r="A21" s="2258"/>
      <c r="B21" s="50" t="s">
        <v>1924</v>
      </c>
      <c r="C21" s="2961" t="str">
        <f>定义!A4</f>
        <v>地下车库用房</v>
      </c>
      <c r="D21" s="48">
        <f t="shared" si="6"/>
        <v>3148.04</v>
      </c>
      <c r="E21" s="56">
        <f t="shared" si="1"/>
        <v>17186.37</v>
      </c>
      <c r="F21" s="57"/>
      <c r="G21" s="58">
        <f>'数据-基础表'!M15</f>
        <v>17186.37</v>
      </c>
      <c r="H21" s="722">
        <f t="shared" si="7"/>
        <v>81.790000000000006</v>
      </c>
      <c r="I21" s="51">
        <f t="shared" si="2"/>
        <v>446.54</v>
      </c>
      <c r="J21" s="1389"/>
      <c r="K21" s="1388">
        <f t="shared" si="3"/>
        <v>446.54</v>
      </c>
      <c r="L21" s="1244">
        <f t="shared" si="4"/>
        <v>0</v>
      </c>
      <c r="M21" s="1400">
        <f t="shared" si="8"/>
        <v>446.54</v>
      </c>
      <c r="N21" s="2256"/>
      <c r="O21" s="2257"/>
      <c r="P21" s="1400">
        <f t="shared" si="9"/>
        <v>0</v>
      </c>
      <c r="R21" s="1244">
        <f t="shared" si="5"/>
        <v>3229.83</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1925</v>
      </c>
      <c r="D27" s="1390">
        <f>SUM(D19:D26)</f>
        <v>21510.95</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558.9</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f>IF(SUM(R19:R26)=$D$3,SUM(R19:R26),SUM(R19:R26)&amp;"误差"&amp;ROUND(SUM(R19:R26)-$D$3,2))</f>
        <v>22069.85</v>
      </c>
      <c r="S27" s="1244">
        <f>IF(SUM(S19:S26)=$E$3,SUM(S19:S26),SUM(S19:S26)&amp;"误差"&amp;ROUND(SUM(S19:S26)-E3,2))</f>
        <v>120487.72</v>
      </c>
    </row>
    <row r="28" spans="1:19">
      <c r="A28" s="2258"/>
      <c r="B28" s="50" t="s">
        <v>1926</v>
      </c>
      <c r="C28" s="1256" t="s">
        <v>1927</v>
      </c>
      <c r="D28" s="48">
        <f>ROUND($D$3*E28/$E$3,2)</f>
        <v>558.9</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558.9</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22069.850000000002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29" sqref="C29"/>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6204.71</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12635.31</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3229.83</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22069.85</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22069.85</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206569</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206569</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22069.85</v>
      </c>
      <c r="D14" s="1738">
        <f ca="1">结果表!H118</f>
        <v>455895</v>
      </c>
      <c r="E14" s="1738">
        <f ca="1">ROUND(D14*10000/B14,0)</f>
        <v>37837</v>
      </c>
      <c r="F14" s="1738">
        <f ca="1">ROUND(D14*10000/C14,0)</f>
        <v>206569</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15" t="str">
        <f>项目基本情况!S2</f>
        <v>北京市石景山区石景山路乙18号院4号楼房地产</v>
      </c>
      <c r="B2" s="3116"/>
      <c r="C2" s="3116"/>
      <c r="D2" s="3116"/>
      <c r="E2" s="3116"/>
      <c r="F2" s="3116"/>
      <c r="G2" s="3116"/>
      <c r="H2" s="3116"/>
      <c r="I2" s="3117"/>
    </row>
    <row r="3" spans="1:12" ht="12.75">
      <c r="A3" s="3119" t="s">
        <v>2077</v>
      </c>
      <c r="B3" s="3120"/>
      <c r="C3" s="3120"/>
      <c r="D3" s="3120"/>
      <c r="E3" s="3120"/>
      <c r="F3" s="3120"/>
      <c r="G3" s="3120"/>
      <c r="H3" s="3120"/>
      <c r="I3" s="3120"/>
    </row>
    <row r="4" spans="1:12" ht="14.25">
      <c r="A4" s="2416" t="s">
        <v>2078</v>
      </c>
      <c r="B4" s="2417" t="s">
        <v>2079</v>
      </c>
      <c r="C4" s="2418" t="s">
        <v>3033</v>
      </c>
      <c r="D4" s="2418" t="s">
        <v>3108</v>
      </c>
      <c r="E4" s="3112" t="s">
        <v>2080</v>
      </c>
      <c r="F4" s="3113"/>
      <c r="G4" s="3113"/>
      <c r="H4" s="3113"/>
      <c r="I4" s="312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5" t="s">
        <v>2081</v>
      </c>
      <c r="B5" s="3033">
        <v>25</v>
      </c>
      <c r="C5" s="3098"/>
      <c r="D5" s="3118"/>
      <c r="E5" s="139" t="s">
        <v>2082</v>
      </c>
      <c r="F5" s="2420"/>
      <c r="G5" s="2420"/>
      <c r="H5" s="2420"/>
      <c r="I5" s="1828"/>
    </row>
    <row r="6" spans="1:12" ht="12.75">
      <c r="A6" s="3095"/>
      <c r="B6" s="3033"/>
      <c r="C6" s="3099"/>
      <c r="D6" s="3118"/>
      <c r="E6" s="139" t="s">
        <v>2083</v>
      </c>
      <c r="F6" s="2420"/>
      <c r="G6" s="2420"/>
      <c r="H6" s="2420"/>
      <c r="I6" s="1828"/>
    </row>
    <row r="7" spans="1:12" ht="12.75">
      <c r="A7" s="3095"/>
      <c r="B7" s="3033"/>
      <c r="C7" s="3100"/>
      <c r="D7" s="3118"/>
      <c r="E7" s="139" t="s">
        <v>2084</v>
      </c>
      <c r="F7" s="2420"/>
      <c r="G7" s="2420"/>
      <c r="H7" s="2420"/>
      <c r="I7" s="1828"/>
    </row>
    <row r="8" spans="1:12" ht="12.75">
      <c r="A8" s="3095" t="s">
        <v>2085</v>
      </c>
      <c r="B8" s="3033">
        <v>15</v>
      </c>
      <c r="C8" s="3098"/>
      <c r="D8" s="3118"/>
      <c r="E8" s="139" t="s">
        <v>2086</v>
      </c>
      <c r="F8" s="2420"/>
      <c r="G8" s="2420"/>
      <c r="H8" s="2420"/>
      <c r="I8" s="1828"/>
    </row>
    <row r="9" spans="1:12" ht="12.75">
      <c r="A9" s="3095"/>
      <c r="B9" s="3033"/>
      <c r="C9" s="3100"/>
      <c r="D9" s="3118"/>
      <c r="E9" s="139" t="s">
        <v>2087</v>
      </c>
      <c r="F9" s="2420"/>
      <c r="G9" s="2420"/>
      <c r="H9" s="2420"/>
      <c r="I9" s="1828"/>
    </row>
    <row r="10" spans="1:12" ht="12.75">
      <c r="A10" s="3095" t="s">
        <v>2088</v>
      </c>
      <c r="B10" s="3033">
        <v>15</v>
      </c>
      <c r="C10" s="3098"/>
      <c r="D10" s="3118"/>
      <c r="E10" s="139" t="s">
        <v>2089</v>
      </c>
      <c r="F10" s="2420"/>
      <c r="G10" s="2420"/>
      <c r="H10" s="2420"/>
      <c r="I10" s="1828"/>
    </row>
    <row r="11" spans="1:12" ht="12.75">
      <c r="A11" s="3095"/>
      <c r="B11" s="3033"/>
      <c r="C11" s="3100"/>
      <c r="D11" s="3118"/>
      <c r="E11" s="139" t="s">
        <v>2090</v>
      </c>
      <c r="F11" s="2420"/>
      <c r="G11" s="2420"/>
      <c r="H11" s="2420"/>
      <c r="I11" s="1828"/>
    </row>
    <row r="12" spans="1:12" ht="12.75">
      <c r="A12" s="3095" t="s">
        <v>2091</v>
      </c>
      <c r="B12" s="3033">
        <v>15</v>
      </c>
      <c r="C12" s="3098"/>
      <c r="D12" s="3118"/>
      <c r="E12" s="139" t="s">
        <v>2092</v>
      </c>
      <c r="F12" s="2420"/>
      <c r="G12" s="2420"/>
      <c r="H12" s="2420"/>
      <c r="I12" s="1828"/>
    </row>
    <row r="13" spans="1:12" ht="12.75">
      <c r="A13" s="3095"/>
      <c r="B13" s="3033"/>
      <c r="C13" s="3100"/>
      <c r="D13" s="3118"/>
      <c r="E13" s="139" t="s">
        <v>2093</v>
      </c>
      <c r="F13" s="2420"/>
      <c r="G13" s="2420"/>
      <c r="H13" s="2420"/>
      <c r="I13" s="1828"/>
    </row>
    <row r="14" spans="1:12" ht="12.75">
      <c r="A14" s="3095" t="s">
        <v>2094</v>
      </c>
      <c r="B14" s="3033">
        <v>30</v>
      </c>
      <c r="C14" s="3098">
        <v>3</v>
      </c>
      <c r="D14" s="3118">
        <v>7</v>
      </c>
      <c r="E14" s="139" t="s">
        <v>2095</v>
      </c>
      <c r="F14" s="2420"/>
      <c r="G14" s="2420"/>
      <c r="H14" s="2420"/>
      <c r="I14" s="1828"/>
    </row>
    <row r="15" spans="1:12" ht="12.75">
      <c r="A15" s="3095"/>
      <c r="B15" s="3033"/>
      <c r="C15" s="3099"/>
      <c r="D15" s="3118"/>
      <c r="E15" s="139" t="s">
        <v>2096</v>
      </c>
      <c r="F15" s="2420"/>
      <c r="G15" s="2420"/>
      <c r="H15" s="2420"/>
      <c r="I15" s="1828"/>
    </row>
    <row r="16" spans="1:12" ht="12.75">
      <c r="A16" s="3095"/>
      <c r="B16" s="3033"/>
      <c r="C16" s="3100"/>
      <c r="D16" s="3118"/>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22069.85</v>
      </c>
      <c r="M19" s="2419">
        <f>IF(C1="",'数据-汇总表'!D3,SUMIF(项目类型,C1,'数据-汇总表'!D17:D26))</f>
        <v>22069.85</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157913</v>
      </c>
      <c r="D21" s="789">
        <f ca="1">ROUND(D19*10000/L19,0)</f>
        <v>227422</v>
      </c>
      <c r="E21" s="997"/>
      <c r="F21" s="2429" t="s">
        <v>2110</v>
      </c>
      <c r="G21" s="148">
        <f ca="1">ROUND(G19*10000/L19,0)</f>
        <v>206569</v>
      </c>
      <c r="H21" s="2430" t="s">
        <v>2109</v>
      </c>
      <c r="I21" s="137"/>
      <c r="J21" s="794">
        <v>455895</v>
      </c>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089" t="s">
        <v>2112</v>
      </c>
      <c r="B24" s="2426" t="s">
        <v>2104</v>
      </c>
      <c r="C24" s="144">
        <f>IF(B30=0,0,D30)</f>
        <v>0</v>
      </c>
      <c r="D24" s="2433"/>
      <c r="E24" s="137"/>
      <c r="F24" s="137"/>
      <c r="G24" s="137"/>
      <c r="H24" s="137"/>
      <c r="I24" s="137"/>
    </row>
    <row r="25" spans="1:35" ht="14.25">
      <c r="A25" s="3090"/>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t="s">
        <v>3147</v>
      </c>
      <c r="D33" s="2443" t="s">
        <v>3033</v>
      </c>
      <c r="E33" s="2444" t="s">
        <v>2121</v>
      </c>
      <c r="F33" s="2445" t="str">
        <f>IF(D32="楼面单价","取值（单价）","取值（总价）")</f>
        <v>取值（总价）</v>
      </c>
      <c r="G33" s="137"/>
      <c r="H33" s="137"/>
      <c r="I33" s="137"/>
    </row>
    <row r="34" spans="1:15" ht="15">
      <c r="A34" s="2446"/>
      <c r="B34" s="2447" t="s">
        <v>2122</v>
      </c>
      <c r="C34" s="156">
        <f ca="1">IF(C33="自定义",F34,C32-C35)</f>
        <v>367907</v>
      </c>
      <c r="D34" s="1052">
        <f ca="1">IF(C33="自定义",ROUND(C34/C32,3),IF(C33="收益比率",SUMIF(INDIRECT("'"&amp;D33&amp;"'"&amp;"!b:b"),"土地收益比率",INDIRECT("'"&amp;D33&amp;"'"&amp;"!c:c")),SUMIF(INDIRECT("'"&amp;D33&amp;"'"&amp;"!b:b"),"土地成本比率",INDIRECT("'"&amp;D33&amp;"'"&amp;"!c:c"))))</f>
        <v>0.80699999999999994</v>
      </c>
      <c r="E34" s="2448" t="s">
        <v>2123</v>
      </c>
      <c r="F34" s="1733"/>
      <c r="G34" s="137"/>
      <c r="H34" s="137"/>
      <c r="I34" s="137"/>
    </row>
    <row r="35" spans="1:15" ht="15.75" thickBot="1">
      <c r="A35" s="2449"/>
      <c r="B35" s="2450" t="s">
        <v>2124</v>
      </c>
      <c r="C35" s="1438">
        <f ca="1">IF(C33="自定义",F35,ROUND(C32*D35,0))</f>
        <v>87988</v>
      </c>
      <c r="D35" s="1439">
        <f ca="1">IF(C33="自定义",ROUND(C35/C32,3),IF(C33="收益比率",SUMIF(INDIRECT("'"&amp;D33&amp;"'"&amp;"!b:b"),"建筑物收益比率",INDIRECT("'"&amp;D33&amp;"'"&amp;"!c:c")),SUMIF(INDIRECT("'"&amp;D33&amp;"'"&amp;"!b:b"),"建筑物成本比率",INDIRECT("'"&amp;D33&amp;"'"&amp;"!c:c"))))</f>
        <v>0.193</v>
      </c>
      <c r="E35" s="2451" t="s">
        <v>2125</v>
      </c>
      <c r="F35" s="162"/>
      <c r="G35" s="137"/>
      <c r="H35" s="137"/>
      <c r="I35" s="137"/>
    </row>
    <row r="36" spans="1:15" ht="15.75" thickBot="1">
      <c r="A36" s="3107" t="s">
        <v>2126</v>
      </c>
      <c r="B36" s="2452" t="s">
        <v>2127</v>
      </c>
      <c r="C36" s="153"/>
      <c r="D36" s="2453"/>
      <c r="E36" s="2454"/>
      <c r="F36" s="2455"/>
      <c r="G36" s="137"/>
      <c r="H36" s="137"/>
      <c r="I36" s="137"/>
    </row>
    <row r="37" spans="1:15" ht="15.75" thickBot="1">
      <c r="A37" s="3108"/>
      <c r="B37" s="2262" t="s">
        <v>2128</v>
      </c>
      <c r="C37" s="155"/>
      <c r="D37" s="1389"/>
      <c r="E37" s="1389"/>
      <c r="F37" s="2455"/>
      <c r="G37" s="137"/>
      <c r="H37" s="137"/>
      <c r="I37" s="137"/>
    </row>
    <row r="38" spans="1:15" ht="15.75" thickBot="1">
      <c r="A38" s="3109"/>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086" t="s">
        <v>2140</v>
      </c>
      <c r="B45" s="3087"/>
      <c r="C45" s="3088"/>
      <c r="D45" s="163">
        <f ca="1">ROUND(H101*F45,0)</f>
        <v>455895</v>
      </c>
      <c r="E45" s="164" t="s">
        <v>2141</v>
      </c>
      <c r="F45" s="165">
        <v>1</v>
      </c>
      <c r="G45" s="166" t="s">
        <v>2142</v>
      </c>
      <c r="H45" s="137"/>
      <c r="I45" s="137"/>
      <c r="J45" s="3146" t="s">
        <v>2143</v>
      </c>
      <c r="K45" s="3146"/>
      <c r="L45" s="3146"/>
      <c r="M45" s="3146"/>
      <c r="N45" s="3146"/>
      <c r="O45" s="3146"/>
    </row>
    <row r="46" spans="1:15" ht="14.25" customHeight="1">
      <c r="A46" s="3083" t="s">
        <v>2144</v>
      </c>
      <c r="B46" s="3084"/>
      <c r="C46" s="3084"/>
      <c r="D46" s="3084"/>
      <c r="E46" s="3084"/>
      <c r="F46" s="3084"/>
      <c r="G46" s="3085"/>
      <c r="H46" s="2471"/>
      <c r="I46" s="167"/>
      <c r="J46" s="1806">
        <v>1</v>
      </c>
      <c r="K46" s="3146" t="s">
        <v>2145</v>
      </c>
      <c r="L46" s="3146"/>
      <c r="M46" s="3166"/>
      <c r="N46" s="3166"/>
      <c r="O46" s="3166"/>
    </row>
    <row r="47" spans="1:15" ht="12" customHeight="1">
      <c r="A47" s="168" t="s">
        <v>2146</v>
      </c>
      <c r="B47" s="169"/>
      <c r="C47" s="170"/>
      <c r="D47" s="171" t="s">
        <v>2147</v>
      </c>
      <c r="E47" s="24" t="s">
        <v>2148</v>
      </c>
      <c r="F47" s="172" t="s">
        <v>2149</v>
      </c>
      <c r="G47" s="173" t="s">
        <v>2150</v>
      </c>
      <c r="H47" s="2471"/>
      <c r="I47" s="167"/>
      <c r="J47" s="1806">
        <v>2</v>
      </c>
      <c r="K47" s="3146" t="s">
        <v>2151</v>
      </c>
      <c r="L47" s="3146"/>
      <c r="M47" s="3167">
        <f>'数据-取费表'!B2</f>
        <v>43164</v>
      </c>
      <c r="N47" s="3167"/>
      <c r="O47" s="3167"/>
    </row>
    <row r="48" spans="1:15" ht="25.5">
      <c r="A48" s="3114" t="s">
        <v>2152</v>
      </c>
      <c r="B48" s="3097"/>
      <c r="C48" s="3097"/>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146" t="s">
        <v>2155</v>
      </c>
      <c r="L48" s="3146"/>
      <c r="M48" s="3168">
        <f ca="1">H101</f>
        <v>455895</v>
      </c>
      <c r="N48" s="3168"/>
      <c r="O48" s="3168"/>
    </row>
    <row r="49" spans="1:35" ht="25.5" customHeight="1">
      <c r="A49" s="175" t="s">
        <v>2156</v>
      </c>
      <c r="B49" s="3082" t="s">
        <v>2157</v>
      </c>
      <c r="C49" s="3082"/>
      <c r="D49" s="176">
        <v>0</v>
      </c>
      <c r="E49" s="23" t="s">
        <v>2158</v>
      </c>
      <c r="F49" s="28" t="s">
        <v>34</v>
      </c>
      <c r="G49" s="3152"/>
      <c r="H49" s="137"/>
      <c r="I49" s="2474"/>
      <c r="J49" s="1806">
        <v>4</v>
      </c>
      <c r="K49" s="3146" t="str">
        <f>IF(项目基本情况!E8="房地产抵押价值","房地产抵押价值","抵押担保权已注销时的房地产抵押价值")</f>
        <v>抵押担保权已注销时的房地产抵押价值</v>
      </c>
      <c r="L49" s="3146"/>
      <c r="M49" s="3168">
        <f ca="1">IF(项目基本情况!E8="房地产抵押价值",H107,H109)</f>
        <v>455895</v>
      </c>
      <c r="N49" s="3168"/>
      <c r="O49" s="3168"/>
    </row>
    <row r="50" spans="1:35" ht="25.5" customHeight="1">
      <c r="A50" s="177"/>
      <c r="B50" s="3082" t="s">
        <v>2159</v>
      </c>
      <c r="C50" s="3082"/>
      <c r="D50" s="178"/>
      <c r="E50" s="31"/>
      <c r="F50" s="179"/>
      <c r="G50" s="3153"/>
      <c r="H50" s="137"/>
      <c r="I50" s="2474"/>
      <c r="J50" s="3146" t="s">
        <v>2160</v>
      </c>
      <c r="K50" s="3146"/>
      <c r="L50" s="3146"/>
      <c r="M50" s="3146"/>
      <c r="N50" s="3146"/>
      <c r="O50" s="3146"/>
    </row>
    <row r="51" spans="1:35" ht="12" customHeight="1">
      <c r="A51" s="180"/>
      <c r="B51" s="3082" t="s">
        <v>2161</v>
      </c>
      <c r="C51" s="3082"/>
      <c r="D51" s="181"/>
      <c r="E51" s="30"/>
      <c r="F51" s="179"/>
      <c r="G51" s="3154"/>
      <c r="H51" s="137"/>
      <c r="I51" s="2474"/>
      <c r="J51" s="2475" t="s">
        <v>2162</v>
      </c>
      <c r="K51" s="3146" t="s">
        <v>2163</v>
      </c>
      <c r="L51" s="3146"/>
      <c r="M51" s="2475" t="s">
        <v>2164</v>
      </c>
      <c r="N51" s="2475" t="s">
        <v>2165</v>
      </c>
      <c r="O51" s="2475" t="s">
        <v>2166</v>
      </c>
    </row>
    <row r="52" spans="1:35" ht="24" customHeight="1">
      <c r="A52" s="182" t="s">
        <v>2167</v>
      </c>
      <c r="B52" s="3082" t="s">
        <v>2168</v>
      </c>
      <c r="C52" s="3082"/>
      <c r="D52" s="181">
        <f ca="1">ROUND(D45*'数据-取费表'!B41/(1+'数据-取费表'!C42),0)</f>
        <v>24314</v>
      </c>
      <c r="E52" s="11" t="s">
        <v>2169</v>
      </c>
      <c r="F52" s="183">
        <f>'数据-取费表'!B41</f>
        <v>5.6000000000000001E-2</v>
      </c>
      <c r="G52" s="2476"/>
      <c r="H52" s="137"/>
      <c r="I52" s="2474"/>
      <c r="J52" s="1806">
        <v>1</v>
      </c>
      <c r="K52" s="3147" t="s">
        <v>2170</v>
      </c>
      <c r="L52" s="3147"/>
      <c r="M52" s="1748">
        <f>D48</f>
        <v>0</v>
      </c>
      <c r="N52" s="1806" t="str">
        <f>E48</f>
        <v>销售额×税（费）率</v>
      </c>
      <c r="O52" s="1749" t="str">
        <f>F48</f>
        <v>免征</v>
      </c>
    </row>
    <row r="53" spans="1:35" ht="12" customHeight="1">
      <c r="A53" s="182" t="s">
        <v>2171</v>
      </c>
      <c r="B53" s="3105" t="s">
        <v>2172</v>
      </c>
      <c r="C53" s="3106"/>
      <c r="D53" s="181">
        <f ca="1">ROUND(D45*'数据-取费表'!B41/(1+'数据-取费表'!C42),0)</f>
        <v>24314</v>
      </c>
      <c r="E53" s="11" t="s">
        <v>2169</v>
      </c>
      <c r="F53" s="183">
        <f>'数据-取费表'!B41</f>
        <v>5.6000000000000001E-2</v>
      </c>
      <c r="G53" s="2476"/>
      <c r="H53" s="137"/>
      <c r="I53" s="2474"/>
      <c r="J53" s="1806">
        <v>2</v>
      </c>
      <c r="K53" s="3147" t="s">
        <v>2173</v>
      </c>
      <c r="L53" s="3147"/>
      <c r="M53" s="1748">
        <f t="shared" ref="M53:O54" ca="1" si="0">D55</f>
        <v>228</v>
      </c>
      <c r="N53" s="1806" t="str">
        <f t="shared" si="0"/>
        <v>销售额×税（费）率</v>
      </c>
      <c r="O53" s="1749">
        <f t="shared" si="0"/>
        <v>5.0000000000000001E-4</v>
      </c>
    </row>
    <row r="54" spans="1:35" ht="12" customHeight="1">
      <c r="A54" s="182" t="s">
        <v>2174</v>
      </c>
      <c r="B54" s="3105" t="s">
        <v>2175</v>
      </c>
      <c r="C54" s="3106"/>
      <c r="D54" s="181">
        <f ca="1">C68</f>
        <v>24314</v>
      </c>
      <c r="E54" s="30" t="s">
        <v>2176</v>
      </c>
      <c r="F54" s="183">
        <f>'数据-取费表'!B41</f>
        <v>5.6000000000000001E-2</v>
      </c>
      <c r="G54" s="2476"/>
      <c r="H54" s="2477"/>
      <c r="I54" s="2474"/>
      <c r="J54" s="1806">
        <v>3</v>
      </c>
      <c r="K54" s="3147" t="s">
        <v>2177</v>
      </c>
      <c r="L54" s="3147"/>
      <c r="M54" s="1748">
        <f t="shared" ca="1" si="0"/>
        <v>258037</v>
      </c>
      <c r="N54" s="1806" t="str">
        <f t="shared" si="0"/>
        <v>增值额×税（费）率</v>
      </c>
      <c r="O54" s="1750" t="str">
        <f t="shared" si="0"/>
        <v>——</v>
      </c>
    </row>
    <row r="55" spans="1:35" ht="24" customHeight="1">
      <c r="A55" s="3096" t="s">
        <v>2178</v>
      </c>
      <c r="B55" s="3097"/>
      <c r="C55" s="3097"/>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c r="A56" s="3096" t="s">
        <v>2181</v>
      </c>
      <c r="B56" s="3097"/>
      <c r="C56" s="3097"/>
      <c r="D56" s="184">
        <f ca="1">IF(H56="个人住宅",D57,D58)</f>
        <v>258037</v>
      </c>
      <c r="E56" s="11" t="s">
        <v>2182</v>
      </c>
      <c r="F56" s="183" t="str">
        <f>IF(H56="正常",F58,"免征")</f>
        <v>——</v>
      </c>
      <c r="G56" s="2478" t="s">
        <v>2183</v>
      </c>
      <c r="H56" s="2479" t="s">
        <v>2180</v>
      </c>
      <c r="I56" s="2480"/>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c r="A57" s="182" t="s">
        <v>2156</v>
      </c>
      <c r="B57" s="3112" t="s">
        <v>2184</v>
      </c>
      <c r="C57" s="3121"/>
      <c r="D57" s="186">
        <v>0</v>
      </c>
      <c r="E57" s="23" t="s">
        <v>2158</v>
      </c>
      <c r="F57" s="154"/>
      <c r="G57" s="2476"/>
      <c r="H57" s="2480"/>
      <c r="I57" s="2480"/>
      <c r="J57" s="3147">
        <f>IF(AND(J55="",J56=""),4,IF(项目基本情况!K6="上海银行",结果表!J56+1,结果表!J55+1))</f>
        <v>4</v>
      </c>
      <c r="K57" s="3147" t="s">
        <v>2185</v>
      </c>
      <c r="L57" s="2481" t="s">
        <v>2186</v>
      </c>
      <c r="M57" s="1753"/>
      <c r="N57" s="1754">
        <f ca="1">SUMIF(M52:M56,"&lt;9e307")</f>
        <v>258265</v>
      </c>
      <c r="O57" s="2482"/>
      <c r="P57" s="1747">
        <f ca="1">N57/M49</f>
        <v>0.5665010583577359</v>
      </c>
    </row>
    <row r="58" spans="1:35" ht="24.75">
      <c r="A58" s="182" t="s">
        <v>2167</v>
      </c>
      <c r="B58" s="3112" t="s">
        <v>2187</v>
      </c>
      <c r="C58" s="3113"/>
      <c r="D58" s="184">
        <f ca="1">IF(H58="转让取得",C81,C97)</f>
        <v>258037</v>
      </c>
      <c r="E58" s="11" t="s">
        <v>2182</v>
      </c>
      <c r="F58" s="24" t="s">
        <v>34</v>
      </c>
      <c r="G58" s="2476"/>
      <c r="H58" s="2479" t="s">
        <v>2188</v>
      </c>
      <c r="I58" s="2480"/>
      <c r="J58" s="3147"/>
      <c r="K58" s="3147"/>
      <c r="L58" s="2481" t="s">
        <v>2189</v>
      </c>
      <c r="M58" s="1755"/>
      <c r="N58" s="2483" t="str">
        <f ca="1">NUMBERSTRING(INT(N57*10000),2)&amp;"元整"</f>
        <v>贰拾伍亿捌仟贰佰陆拾伍万元整</v>
      </c>
      <c r="O58" s="2484"/>
    </row>
    <row r="59" spans="1:35" ht="24.75" thickBot="1">
      <c r="A59" s="3150" t="s">
        <v>2190</v>
      </c>
      <c r="B59" s="3151"/>
      <c r="C59" s="3151"/>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48">
        <f>J57+1</f>
        <v>5</v>
      </c>
      <c r="K59" s="3147" t="s">
        <v>2192</v>
      </c>
      <c r="L59" s="1806" t="s">
        <v>2186</v>
      </c>
      <c r="M59" s="1756"/>
      <c r="N59" s="1757">
        <f ca="1">M49-N57</f>
        <v>197630</v>
      </c>
      <c r="O59" s="2486"/>
    </row>
    <row r="60" spans="1:35" ht="12" customHeight="1">
      <c r="A60" s="2487"/>
      <c r="B60" s="2409"/>
      <c r="C60" s="2409"/>
      <c r="D60" s="2409"/>
      <c r="E60" s="2161"/>
      <c r="F60" s="2480"/>
      <c r="G60" s="2480"/>
      <c r="H60" s="2488"/>
      <c r="I60" s="137"/>
      <c r="J60" s="3149"/>
      <c r="K60" s="3147"/>
      <c r="L60" s="2481" t="s">
        <v>2189</v>
      </c>
      <c r="M60" s="1755"/>
      <c r="N60" s="2483" t="str">
        <f ca="1">NUMBERSTRING(INT(N59*10000),2)&amp;"元整"</f>
        <v>壹拾玖亿柒仟陆佰叁拾万元整</v>
      </c>
      <c r="O60" s="2484"/>
    </row>
    <row r="61" spans="1:35" ht="13.5" thickBot="1">
      <c r="A61" s="3094" t="s">
        <v>2193</v>
      </c>
      <c r="B61" s="3094"/>
      <c r="C61" s="3094"/>
      <c r="D61" s="3094"/>
      <c r="E61" s="3094"/>
      <c r="F61" s="2480"/>
      <c r="G61" s="2480"/>
      <c r="H61" s="2488"/>
      <c r="I61" s="137"/>
      <c r="J61" s="1806">
        <f>J59+1</f>
        <v>6</v>
      </c>
      <c r="K61" s="3147" t="s">
        <v>2194</v>
      </c>
      <c r="L61" s="3147"/>
      <c r="M61" s="1758"/>
      <c r="N61" s="1759">
        <f ca="1">ROUND(N59*10000/'数据-汇总表'!E3,0)</f>
        <v>16403</v>
      </c>
      <c r="O61" s="2489"/>
    </row>
    <row r="62" spans="1:35" ht="12.75">
      <c r="A62" s="3110" t="s">
        <v>2195</v>
      </c>
      <c r="B62" s="3111"/>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17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17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17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17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17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17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17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1" t="s">
        <v>2214</v>
      </c>
      <c r="B70" s="3132"/>
      <c r="C70" s="3132"/>
      <c r="D70" s="3132"/>
      <c r="E70" s="3132"/>
      <c r="F70" s="3132"/>
      <c r="G70" s="3132"/>
      <c r="H70" s="313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2195</v>
      </c>
      <c r="B71" s="3111"/>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05" t="s">
        <v>2223</v>
      </c>
      <c r="F76" s="3082"/>
      <c r="G76" s="3082"/>
      <c r="H76" s="313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091" t="s">
        <v>2228</v>
      </c>
      <c r="F78" s="3092"/>
      <c r="G78" s="3092"/>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1" t="s">
        <v>2232</v>
      </c>
      <c r="B83" s="3132"/>
      <c r="C83" s="3132"/>
      <c r="D83" s="3132"/>
      <c r="E83" s="3132"/>
      <c r="F83" s="3132"/>
      <c r="G83" s="3132"/>
      <c r="H83" s="313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2195</v>
      </c>
      <c r="B84" s="3111"/>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091" t="s">
        <v>2241</v>
      </c>
      <c r="F91" s="3092"/>
      <c r="G91" s="3092"/>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091" t="s">
        <v>2245</v>
      </c>
      <c r="F92" s="3092"/>
      <c r="G92" s="3092"/>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091" t="s">
        <v>2228</v>
      </c>
      <c r="F93" s="3092"/>
      <c r="G93" s="3092"/>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02" t="s">
        <v>2249</v>
      </c>
      <c r="F94" s="3103"/>
      <c r="G94" s="3103"/>
      <c r="H94" s="310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093"/>
      <c r="E100" s="3077" t="s">
        <v>2252</v>
      </c>
      <c r="F100" s="3077"/>
      <c r="G100" s="3077"/>
      <c r="H100" s="3093"/>
      <c r="I100" s="137"/>
    </row>
    <row r="101" spans="1:35" ht="18.75" customHeight="1">
      <c r="A101" s="3155" t="s">
        <v>2253</v>
      </c>
      <c r="B101" s="3156"/>
      <c r="C101" s="735" t="str">
        <f>C4</f>
        <v>成本法</v>
      </c>
      <c r="D101" s="736" t="str">
        <f>D4</f>
        <v>收益法（汇总）</v>
      </c>
      <c r="E101" s="3169" t="s">
        <v>2254</v>
      </c>
      <c r="F101" s="3123"/>
      <c r="G101" s="2511" t="s">
        <v>2255</v>
      </c>
      <c r="H101" s="1042">
        <f ca="1">H118</f>
        <v>455895</v>
      </c>
      <c r="I101" s="137"/>
    </row>
    <row r="102" spans="1:35" ht="18.75" customHeight="1">
      <c r="A102" s="3125" t="s">
        <v>2256</v>
      </c>
      <c r="B102" s="2511" t="s">
        <v>2255</v>
      </c>
      <c r="C102" s="735">
        <f ca="1">C19</f>
        <v>348511</v>
      </c>
      <c r="D102" s="736">
        <f ca="1">D19</f>
        <v>501917</v>
      </c>
      <c r="E102" s="3169"/>
      <c r="F102" s="3123"/>
      <c r="G102" s="2511" t="s">
        <v>2257</v>
      </c>
      <c r="H102" s="370">
        <f ca="1">I118</f>
        <v>37837</v>
      </c>
      <c r="I102" s="137"/>
    </row>
    <row r="103" spans="1:35" ht="42.75" customHeight="1">
      <c r="A103" s="3125"/>
      <c r="B103" s="2511" t="s">
        <v>2257</v>
      </c>
      <c r="C103" s="737">
        <f ca="1">C20</f>
        <v>28925</v>
      </c>
      <c r="D103" s="738">
        <f ca="1">D20</f>
        <v>41657</v>
      </c>
      <c r="E103" s="3164" t="s">
        <v>2258</v>
      </c>
      <c r="F103" s="3165"/>
      <c r="G103" s="2512" t="s">
        <v>2259</v>
      </c>
      <c r="H103" s="1042">
        <f>IF(D36="正常操作",H104+H105+H106,H105+H106)</f>
        <v>0</v>
      </c>
      <c r="I103" s="137"/>
    </row>
    <row r="104" spans="1:35" ht="18.75" customHeight="1">
      <c r="A104" s="3125"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26"/>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22" t="str">
        <f>IF(项目基本情况!E8="已注销","——","3.房地产抵押价值")</f>
        <v>——</v>
      </c>
      <c r="F107" s="3123"/>
      <c r="G107" s="2511" t="s">
        <v>2255</v>
      </c>
      <c r="H107" s="1042" t="str">
        <f>IF(E107="——","——",H101-H103)</f>
        <v>——</v>
      </c>
      <c r="I107" s="137"/>
    </row>
    <row r="108" spans="1:35" ht="18.75" customHeight="1">
      <c r="A108" s="137"/>
      <c r="B108" s="137"/>
      <c r="C108" s="137"/>
      <c r="D108" s="137"/>
      <c r="E108" s="3122"/>
      <c r="F108" s="3123"/>
      <c r="G108" s="2511" t="s">
        <v>2257</v>
      </c>
      <c r="H108" s="370" t="e">
        <f>ROUND(H107*10000/'数据-汇总表'!E3,0)</f>
        <v>#VALUE!</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3.抵押担保权已注销时的房地产抵押价值</v>
      </c>
      <c r="F109" s="3123"/>
      <c r="G109" s="2511" t="s">
        <v>2255</v>
      </c>
      <c r="H109" s="347">
        <f ca="1">IF(E109="——","——",H101-H105-H106)</f>
        <v>455895</v>
      </c>
      <c r="I109" s="137"/>
    </row>
    <row r="110" spans="1:35" ht="18.75" customHeight="1">
      <c r="A110" s="137"/>
      <c r="B110" s="137"/>
      <c r="C110" s="137"/>
      <c r="D110" s="137"/>
      <c r="E110" s="3122"/>
      <c r="F110" s="3123"/>
      <c r="G110" s="2511" t="s">
        <v>2257</v>
      </c>
      <c r="H110" s="370">
        <f ca="1">IF(H109="——","——",ROUND(H109*10000/'数据-汇总表'!E3,0))</f>
        <v>37837</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11" t="s">
        <v>2255</v>
      </c>
      <c r="H111" s="1042" t="str">
        <f>IF(E111="——","——",N59)</f>
        <v>——</v>
      </c>
      <c r="I111" s="137"/>
    </row>
    <row r="112" spans="1:35" ht="18.75" customHeight="1" thickBot="1">
      <c r="A112" s="137"/>
      <c r="B112" s="137"/>
      <c r="C112" s="137"/>
      <c r="D112" s="137"/>
      <c r="E112" s="3159"/>
      <c r="F112" s="3160"/>
      <c r="G112" s="2516" t="s">
        <v>2257</v>
      </c>
      <c r="H112" s="789" t="str">
        <f>IF(E111="——","——",N61)</f>
        <v>——</v>
      </c>
      <c r="I112" s="137"/>
    </row>
    <row r="113" spans="1:11" ht="18.75" customHeight="1">
      <c r="A113" s="137"/>
      <c r="B113" s="137"/>
      <c r="C113" s="137"/>
      <c r="D113" s="137"/>
      <c r="E113" s="3127" t="s">
        <v>2263</v>
      </c>
      <c r="F113" s="3127"/>
      <c r="G113" s="3127"/>
      <c r="H113" s="3127"/>
      <c r="I113" s="137"/>
    </row>
    <row r="114" spans="1:11" ht="3.75" customHeight="1">
      <c r="A114" s="2409"/>
      <c r="B114" s="2409"/>
      <c r="C114" s="2409"/>
      <c r="D114" s="2409"/>
      <c r="E114" s="2487"/>
      <c r="F114" s="2487"/>
      <c r="G114" s="2487"/>
      <c r="H114" s="2487"/>
      <c r="I114" s="2409"/>
    </row>
    <row r="115" spans="1:11" ht="18.75" customHeight="1">
      <c r="A115" s="3140" t="s">
        <v>2265</v>
      </c>
      <c r="B115" s="3141"/>
      <c r="C115" s="3141"/>
      <c r="D115" s="3141"/>
      <c r="E115" s="3141"/>
      <c r="F115" s="3141"/>
      <c r="G115" s="3141"/>
      <c r="H115" s="3141"/>
      <c r="I115" s="3142"/>
    </row>
    <row r="116" spans="1:11" ht="27" customHeight="1">
      <c r="A116" s="3033" t="s">
        <v>2266</v>
      </c>
      <c r="B116" s="3128" t="s">
        <v>2267</v>
      </c>
      <c r="C116" s="3128" t="s">
        <v>2268</v>
      </c>
      <c r="D116" s="3144" t="s">
        <v>2269</v>
      </c>
      <c r="E116" s="3145"/>
      <c r="F116" s="3136" t="s">
        <v>2270</v>
      </c>
      <c r="G116" s="3136"/>
      <c r="H116" s="3033" t="s">
        <v>2271</v>
      </c>
      <c r="I116" s="3033"/>
    </row>
    <row r="117" spans="1:11" ht="18.75" customHeight="1">
      <c r="A117" s="3033"/>
      <c r="B117" s="3129"/>
      <c r="C117" s="312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22069.85</v>
      </c>
      <c r="D118" s="1792">
        <f ca="1">ROUND(IF(D32="总价",C34,E118*B118/10000),0)</f>
        <v>367907</v>
      </c>
      <c r="E118" s="1792">
        <f ca="1">ROUND(IF(C33="自定义",IF(D32="楼面单价",C34,D118*10000/B118),I118-G118),0)</f>
        <v>30534</v>
      </c>
      <c r="F118" s="1792">
        <f ca="1">ROUND(IF(D32="总价",C35,G118*B118/10000),0)</f>
        <v>87988</v>
      </c>
      <c r="G118" s="1792">
        <f ca="1">ROUND(IF(D32="楼面单价",C35,F118*10000/B118),0)</f>
        <v>7303</v>
      </c>
      <c r="H118" s="1792">
        <f ca="1">ROUND(IF(D32="总价",C32,I118*B118/10000),0)</f>
        <v>455895</v>
      </c>
      <c r="I118" s="1792">
        <f ca="1">ROUND(IF(D32="楼面单价",C32,H118*10000/B118),0)</f>
        <v>37837</v>
      </c>
    </row>
    <row r="119" spans="1:11" ht="18.75" customHeight="1">
      <c r="A119" s="3033" t="s">
        <v>2275</v>
      </c>
      <c r="B119" s="3033"/>
      <c r="C119" s="3033"/>
      <c r="D119" s="3133" t="str">
        <f ca="1">NUMBERSTRING(INT(D118*10000),2)&amp;"元整"</f>
        <v>叁拾陆亿柒仟玖佰零柒万元整</v>
      </c>
      <c r="E119" s="3135"/>
      <c r="F119" s="3133" t="str">
        <f ca="1">NUMBERSTRING(INT(F118*10000),2)&amp;"元整"</f>
        <v>捌亿柒仟玖佰捌拾捌万元整</v>
      </c>
      <c r="G119" s="3135"/>
      <c r="H119" s="3133" t="str">
        <f ca="1">NUMBERSTRING(INT(H118*10000),2)&amp;"元整"</f>
        <v>肆拾伍亿伍仟捌佰玖拾伍万元整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137" t="s">
        <v>2275</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
      </c>
      <c r="B122" s="3124"/>
      <c r="C122" s="3124"/>
      <c r="D122" s="3161" t="str">
        <f>H107</f>
        <v>——</v>
      </c>
      <c r="E122" s="3162"/>
      <c r="F122" s="3162"/>
      <c r="G122" s="3162"/>
      <c r="H122" s="3162"/>
      <c r="I122" s="3163"/>
    </row>
    <row r="123" spans="1:11" ht="18.75" customHeight="1">
      <c r="A123" s="3033" t="s">
        <v>2275</v>
      </c>
      <c r="B123" s="3033"/>
      <c r="C123" s="3033"/>
      <c r="D123" s="3133" t="e">
        <f>NUMBERSTRING(INT(D122*10000),2)&amp;"元整"</f>
        <v>#VALUE!</v>
      </c>
      <c r="E123" s="3134"/>
      <c r="F123" s="3134"/>
      <c r="G123" s="3134"/>
      <c r="H123" s="3134"/>
      <c r="I123" s="3135"/>
    </row>
    <row r="124" spans="1:11" ht="18.75" customHeight="1">
      <c r="A124" s="3124" t="str">
        <f>IF(项目基本情况!B9="房地产市场价值","",MID(E109,3,LEN(E109)-2))</f>
        <v>抵押担保权已注销时的房地产抵押价值</v>
      </c>
      <c r="B124" s="3124"/>
      <c r="C124" s="3124"/>
      <c r="D124" s="3161">
        <f ca="1">H109</f>
        <v>455895</v>
      </c>
      <c r="E124" s="3162"/>
      <c r="F124" s="3162"/>
      <c r="G124" s="3162"/>
      <c r="H124" s="3162"/>
      <c r="I124" s="3163"/>
    </row>
    <row r="125" spans="1:11" ht="18.75" customHeight="1">
      <c r="A125" s="3033" t="s">
        <v>2275</v>
      </c>
      <c r="B125" s="3033"/>
      <c r="C125" s="3033"/>
      <c r="D125" s="3133" t="str">
        <f ca="1">NUMBERSTRING(INT(D124*10000),2)&amp;"元整"</f>
        <v>肆拾伍亿伍仟捌佰玖拾伍万元整</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2275</v>
      </c>
      <c r="B127" s="3033"/>
      <c r="C127" s="3033"/>
      <c r="D127" s="3133" t="e">
        <f>NUMBERSTRING(INT(D126*10000),2)&amp;"元整"</f>
        <v>#VALUE!</v>
      </c>
      <c r="E127" s="3134"/>
      <c r="F127" s="3134"/>
      <c r="G127" s="3134"/>
      <c r="H127" s="3134"/>
      <c r="I127" s="3135"/>
    </row>
    <row r="128" spans="1:11" ht="21.75" customHeight="1">
      <c r="A128" s="3143" t="s">
        <v>2276</v>
      </c>
      <c r="B128" s="3143"/>
      <c r="C128" s="3143"/>
      <c r="D128" s="3143"/>
      <c r="E128" s="3143"/>
      <c r="F128" s="3143"/>
      <c r="G128" s="3143"/>
      <c r="H128" s="3143"/>
      <c r="I128" s="314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3.4</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78"/>
      <c r="B4" s="3179"/>
      <c r="C4" s="3179"/>
      <c r="D4" s="3180"/>
      <c r="E4" s="3180"/>
      <c r="F4" s="3180"/>
      <c r="G4" s="3180"/>
      <c r="H4" s="3180"/>
      <c r="I4" s="3180"/>
      <c r="J4" s="3181"/>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82"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3.4</v>
      </c>
      <c r="AA7" s="1603"/>
      <c r="AB7" s="1603"/>
      <c r="AC7" s="1604"/>
      <c r="AD7" s="1605"/>
      <c r="AE7" s="1605"/>
      <c r="AF7" s="1605"/>
      <c r="AG7" s="1605"/>
      <c r="AH7" s="1605"/>
      <c r="AI7" s="1605"/>
      <c r="AJ7" s="1606"/>
    </row>
    <row r="8" spans="1:36" ht="25.5">
      <c r="A8" s="3183"/>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5" t="s">
        <v>2797</v>
      </c>
      <c r="X8" s="3176"/>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83"/>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7"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3"/>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3"/>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7" t="s">
        <v>2821</v>
      </c>
      <c r="X11" s="1611" t="s">
        <v>2822</v>
      </c>
      <c r="Y11" s="1612">
        <f>$G$3</f>
        <v>3.4</v>
      </c>
      <c r="Z11" s="1612">
        <f t="shared" ref="Z11:AJ11" si="3">$G$3</f>
        <v>3.4</v>
      </c>
      <c r="AA11" s="1612">
        <f t="shared" si="3"/>
        <v>3.4</v>
      </c>
      <c r="AB11" s="1612">
        <f t="shared" si="3"/>
        <v>3.4</v>
      </c>
      <c r="AC11" s="1612">
        <f t="shared" si="3"/>
        <v>3.4</v>
      </c>
      <c r="AD11" s="1612">
        <f t="shared" si="3"/>
        <v>3.4</v>
      </c>
      <c r="AE11" s="1612">
        <f t="shared" si="3"/>
        <v>3.4</v>
      </c>
      <c r="AF11" s="1612">
        <f t="shared" si="3"/>
        <v>3.4</v>
      </c>
      <c r="AG11" s="1612">
        <f t="shared" si="3"/>
        <v>3.4</v>
      </c>
      <c r="AH11" s="1612">
        <f t="shared" si="3"/>
        <v>3.4</v>
      </c>
      <c r="AI11" s="1612">
        <f t="shared" si="3"/>
        <v>3.4</v>
      </c>
      <c r="AJ11" s="1612">
        <f t="shared" si="3"/>
        <v>3.4</v>
      </c>
    </row>
    <row r="12" spans="1:36" ht="25.5" thickBot="1">
      <c r="A12" s="3182"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7"/>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4"/>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77"/>
      <c r="X13" s="1613"/>
      <c r="Y13" s="1610">
        <f>(-0.163*(Y12^2)-0.59*Y12+7617)*(10^(-4))/Y11</f>
        <v>0.22402941176470589</v>
      </c>
      <c r="Z13" s="1610">
        <f t="shared" ref="Z13:AJ13" si="5">(-0.163*(Z12^2)-0.59*Z12+7617)*(10^(-4))/Z11</f>
        <v>0.22402941176470589</v>
      </c>
      <c r="AA13" s="1610">
        <f t="shared" si="5"/>
        <v>0.22402941176470589</v>
      </c>
      <c r="AB13" s="1610">
        <f t="shared" si="5"/>
        <v>0.22402941176470589</v>
      </c>
      <c r="AC13" s="1610">
        <f t="shared" si="5"/>
        <v>0.22402941176470589</v>
      </c>
      <c r="AD13" s="1610">
        <f t="shared" si="5"/>
        <v>0.22402941176470589</v>
      </c>
      <c r="AE13" s="1610">
        <f t="shared" si="5"/>
        <v>0.22402941176470589</v>
      </c>
      <c r="AF13" s="1610">
        <f t="shared" si="5"/>
        <v>0.22402941176470589</v>
      </c>
      <c r="AG13" s="1610">
        <f t="shared" si="5"/>
        <v>0.22402941176470589</v>
      </c>
      <c r="AH13" s="1610">
        <f t="shared" si="5"/>
        <v>0.22402941176470589</v>
      </c>
      <c r="AI13" s="1610">
        <f t="shared" si="5"/>
        <v>0.22402941176470589</v>
      </c>
      <c r="AJ13" s="1610">
        <f t="shared" si="5"/>
        <v>0.22402941176470589</v>
      </c>
    </row>
    <row r="14" spans="1:36" ht="15">
      <c r="A14" s="3184"/>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5"/>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82"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83"/>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0.90629999999999999</v>
      </c>
      <c r="E22" s="910">
        <f>ROUNDDOWN(G3,1)</f>
        <v>3.4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92"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3"/>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3"/>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94"/>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86" t="s">
        <v>2929</v>
      </c>
      <c r="B90" s="3186"/>
      <c r="C90" s="3186"/>
      <c r="D90" s="3186"/>
      <c r="E90" s="3186"/>
      <c r="F90" s="3186"/>
      <c r="G90" s="3186"/>
      <c r="H90" s="3186"/>
      <c r="I90" s="3186"/>
      <c r="J90" s="3186"/>
      <c r="K90" s="2880"/>
      <c r="L90" s="2880"/>
      <c r="M90" s="2880"/>
      <c r="N90" s="2880"/>
    </row>
    <row r="91" spans="1:37">
      <c r="A91" s="3188" t="s">
        <v>2930</v>
      </c>
      <c r="B91" s="3188" t="s">
        <v>2931</v>
      </c>
      <c r="C91" s="2835" t="s">
        <v>2932</v>
      </c>
      <c r="D91" s="2836"/>
      <c r="E91" s="2836"/>
      <c r="F91" s="2836"/>
      <c r="G91" s="2836"/>
      <c r="H91" s="2836"/>
      <c r="I91" s="2836"/>
      <c r="J91" s="2881"/>
      <c r="K91" s="2882"/>
      <c r="L91" s="2882"/>
      <c r="M91" s="2882"/>
      <c r="N91" s="2882"/>
    </row>
    <row r="92" spans="1:37">
      <c r="A92" s="3188"/>
      <c r="B92" s="3188"/>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9"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0"/>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91"/>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9" t="s">
        <v>2934</v>
      </c>
      <c r="B101" s="2887" t="s">
        <v>2935</v>
      </c>
      <c r="C101" s="2888">
        <f>$G$3</f>
        <v>3.4</v>
      </c>
      <c r="D101" s="2888">
        <f t="shared" ref="D101:N101" si="31">$G$3</f>
        <v>3.4</v>
      </c>
      <c r="E101" s="2888">
        <f t="shared" si="31"/>
        <v>3.4</v>
      </c>
      <c r="F101" s="2888">
        <f t="shared" si="31"/>
        <v>3.4</v>
      </c>
      <c r="G101" s="2888">
        <f t="shared" si="31"/>
        <v>3.4</v>
      </c>
      <c r="H101" s="2888">
        <f t="shared" si="31"/>
        <v>3.4</v>
      </c>
      <c r="I101" s="2888">
        <f t="shared" si="31"/>
        <v>3.4</v>
      </c>
      <c r="J101" s="2888">
        <f t="shared" si="31"/>
        <v>3.4</v>
      </c>
      <c r="K101" s="2888">
        <f t="shared" si="31"/>
        <v>3.4</v>
      </c>
      <c r="L101" s="2888">
        <f t="shared" si="31"/>
        <v>3.4</v>
      </c>
      <c r="M101" s="2888">
        <f t="shared" si="31"/>
        <v>3.4</v>
      </c>
      <c r="N101" s="2888">
        <f t="shared" si="31"/>
        <v>3.4</v>
      </c>
    </row>
    <row r="102" spans="1:14">
      <c r="A102" s="3190"/>
      <c r="B102" s="2883">
        <v>1</v>
      </c>
      <c r="C102" s="2884">
        <f>1.9362/C101</f>
        <v>0.56947058823529406</v>
      </c>
      <c r="D102" s="2884">
        <f>1.9362/D101</f>
        <v>0.56947058823529406</v>
      </c>
      <c r="E102" s="2884">
        <f>1.8629/E101</f>
        <v>0.54791176470588232</v>
      </c>
      <c r="F102" s="2884">
        <f>1.8629/F101</f>
        <v>0.54791176470588232</v>
      </c>
      <c r="G102" s="2884">
        <f>1.8629/G101</f>
        <v>0.54791176470588232</v>
      </c>
      <c r="H102" s="2884">
        <f>1.8629/H101</f>
        <v>0.54791176470588232</v>
      </c>
      <c r="I102" s="2884">
        <f>1.8629/I101</f>
        <v>0.54791176470588232</v>
      </c>
      <c r="J102" s="2884">
        <f>1.942/J101</f>
        <v>0.57117647058823529</v>
      </c>
      <c r="K102" s="2884">
        <f>1.942/K101</f>
        <v>0.57117647058823529</v>
      </c>
      <c r="L102" s="2884">
        <f>1.942/L101</f>
        <v>0.57117647058823529</v>
      </c>
      <c r="M102" s="2884">
        <f>1.942/M101</f>
        <v>0.57117647058823529</v>
      </c>
      <c r="N102" s="2884">
        <f>1.942/N101</f>
        <v>0.57117647058823529</v>
      </c>
    </row>
    <row r="103" spans="1:14">
      <c r="A103" s="3190"/>
      <c r="B103" s="2883">
        <v>2</v>
      </c>
      <c r="C103" s="2884">
        <f>1.4198/C101</f>
        <v>0.41758823529411765</v>
      </c>
      <c r="D103" s="2884">
        <f>1.4198/D101</f>
        <v>0.41758823529411765</v>
      </c>
      <c r="E103" s="2884">
        <f>1.3372/E101</f>
        <v>0.39329411764705879</v>
      </c>
      <c r="F103" s="2884">
        <f>1.3372/F101</f>
        <v>0.39329411764705879</v>
      </c>
      <c r="G103" s="2884">
        <f>1.3372/G101</f>
        <v>0.39329411764705879</v>
      </c>
      <c r="H103" s="2884">
        <f>1.3372/H101</f>
        <v>0.39329411764705879</v>
      </c>
      <c r="I103" s="2884">
        <f>1.3372/I101</f>
        <v>0.39329411764705879</v>
      </c>
      <c r="J103" s="2884">
        <f>1.2799/J101</f>
        <v>0.37644117647058828</v>
      </c>
      <c r="K103" s="2884">
        <f>1.2799/K101</f>
        <v>0.37644117647058828</v>
      </c>
      <c r="L103" s="2884">
        <f>1.2799/L101</f>
        <v>0.37644117647058828</v>
      </c>
      <c r="M103" s="2884">
        <f>1.2799/M101</f>
        <v>0.37644117647058828</v>
      </c>
      <c r="N103" s="2884">
        <f>1.2799/N101</f>
        <v>0.37644117647058828</v>
      </c>
    </row>
    <row r="104" spans="1:14">
      <c r="A104" s="3190"/>
      <c r="B104" s="2883">
        <v>3</v>
      </c>
      <c r="C104" s="2884">
        <f>1.1594/C101</f>
        <v>0.34100000000000003</v>
      </c>
      <c r="D104" s="2884">
        <f>1.1594/D101</f>
        <v>0.34100000000000003</v>
      </c>
      <c r="E104" s="2884">
        <f>1.0788/E101</f>
        <v>0.31729411764705884</v>
      </c>
      <c r="F104" s="2884">
        <f>1.0788/F101</f>
        <v>0.31729411764705884</v>
      </c>
      <c r="G104" s="2884">
        <f>1.0788/G101</f>
        <v>0.31729411764705884</v>
      </c>
      <c r="H104" s="2884">
        <f>1.0788/H101</f>
        <v>0.31729411764705884</v>
      </c>
      <c r="I104" s="2884">
        <f>1.0788/I101</f>
        <v>0.31729411764705884</v>
      </c>
      <c r="J104" s="2884">
        <f>1.0072/J101</f>
        <v>0.2962352941176471</v>
      </c>
      <c r="K104" s="2884">
        <f>1.0072/K101</f>
        <v>0.2962352941176471</v>
      </c>
      <c r="L104" s="2884">
        <f>1.0072/L101</f>
        <v>0.2962352941176471</v>
      </c>
      <c r="M104" s="2884">
        <f>1.0072/M101</f>
        <v>0.2962352941176471</v>
      </c>
      <c r="N104" s="2884">
        <f>1.0072/N101</f>
        <v>0.2962352941176471</v>
      </c>
    </row>
    <row r="105" spans="1:14">
      <c r="A105" s="3190"/>
      <c r="B105" s="2883">
        <v>4</v>
      </c>
      <c r="C105" s="2884">
        <f>0.9622/C101</f>
        <v>0.28300000000000003</v>
      </c>
      <c r="D105" s="2884">
        <f>0.9622/D101</f>
        <v>0.28300000000000003</v>
      </c>
      <c r="E105" s="2884">
        <f>0.8656/E101</f>
        <v>0.25458823529411767</v>
      </c>
      <c r="F105" s="2884">
        <f>0.8656/F101</f>
        <v>0.25458823529411767</v>
      </c>
      <c r="G105" s="2884">
        <f>0.8656/G101</f>
        <v>0.25458823529411767</v>
      </c>
      <c r="H105" s="2884">
        <f>0.8656/H101</f>
        <v>0.25458823529411767</v>
      </c>
      <c r="I105" s="2884">
        <f>0.8656/I101</f>
        <v>0.25458823529411767</v>
      </c>
      <c r="J105" s="2884">
        <f>0.7525/J101</f>
        <v>0.2213235294117647</v>
      </c>
      <c r="K105" s="2884">
        <f>0.7525/K101</f>
        <v>0.2213235294117647</v>
      </c>
      <c r="L105" s="2884">
        <f>0.7525/L101</f>
        <v>0.2213235294117647</v>
      </c>
      <c r="M105" s="2884">
        <f>0.7525/M101</f>
        <v>0.2213235294117647</v>
      </c>
      <c r="N105" s="2884">
        <f>0.7525/N101</f>
        <v>0.2213235294117647</v>
      </c>
    </row>
    <row r="106" spans="1:14">
      <c r="A106" s="3190"/>
      <c r="B106" s="2883">
        <v>5</v>
      </c>
      <c r="C106" s="2884">
        <f>0.8417/C101</f>
        <v>0.24755882352941178</v>
      </c>
      <c r="D106" s="2884">
        <f>0.8417/D101</f>
        <v>0.24755882352941178</v>
      </c>
      <c r="E106" s="2884">
        <f>0.7371/E101</f>
        <v>0.21679411764705883</v>
      </c>
      <c r="F106" s="2884">
        <f>0.7371/F101</f>
        <v>0.21679411764705883</v>
      </c>
      <c r="G106" s="2884">
        <f>0.7371/G101</f>
        <v>0.21679411764705883</v>
      </c>
      <c r="H106" s="2884">
        <f>0.7371/H101</f>
        <v>0.21679411764705883</v>
      </c>
      <c r="I106" s="2884">
        <f>0.7371/I101</f>
        <v>0.21679411764705883</v>
      </c>
      <c r="J106" s="2884">
        <f>0.5659/J101</f>
        <v>0.16644117647058823</v>
      </c>
      <c r="K106" s="2884">
        <f>0.5659/K101</f>
        <v>0.16644117647058823</v>
      </c>
      <c r="L106" s="2884">
        <f>0.5659/L101</f>
        <v>0.16644117647058823</v>
      </c>
      <c r="M106" s="2884">
        <f>0.5659/M101</f>
        <v>0.16644117647058823</v>
      </c>
      <c r="N106" s="2884">
        <f>0.5659/N101</f>
        <v>0.16644117647058823</v>
      </c>
    </row>
    <row r="107" spans="1:14">
      <c r="A107" s="3190"/>
      <c r="B107" s="2883">
        <v>6</v>
      </c>
      <c r="C107" s="2884">
        <f>0.7608/C101</f>
        <v>0.22376470588235295</v>
      </c>
      <c r="D107" s="2884">
        <f>0.7608/D101</f>
        <v>0.22376470588235295</v>
      </c>
      <c r="E107" s="2884">
        <f>0.6482/E101</f>
        <v>0.19064705882352942</v>
      </c>
      <c r="F107" s="2884">
        <f>0.6482/F101</f>
        <v>0.19064705882352942</v>
      </c>
      <c r="G107" s="2884">
        <f>0.6482/G101</f>
        <v>0.19064705882352942</v>
      </c>
      <c r="H107" s="2884">
        <f>0.6482/H101</f>
        <v>0.19064705882352942</v>
      </c>
      <c r="I107" s="2884">
        <f>0.6482/I101</f>
        <v>0.19064705882352942</v>
      </c>
      <c r="J107" s="2884">
        <f>0.4525/J101</f>
        <v>0.13308823529411765</v>
      </c>
      <c r="K107" s="2884">
        <f>0.4525/K101</f>
        <v>0.13308823529411765</v>
      </c>
      <c r="L107" s="2884">
        <f>0.4525/L101</f>
        <v>0.13308823529411765</v>
      </c>
      <c r="M107" s="2884">
        <f>0.4525/M101</f>
        <v>0.13308823529411765</v>
      </c>
      <c r="N107" s="2884">
        <f>0.4525/N101</f>
        <v>0.13308823529411765</v>
      </c>
    </row>
    <row r="108" spans="1:14">
      <c r="A108" s="3190"/>
      <c r="B108" s="3148"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91"/>
      <c r="B109" s="3149"/>
      <c r="C109" s="2886">
        <f>(-0.163*(C108^2)-0.59*C108+7617)*(10^(-4))/C101</f>
        <v>0.22400726470588236</v>
      </c>
      <c r="D109" s="2886">
        <f>(-0.163*(D108^2)-0.59*D108+7617)*(10^(-4))/D101</f>
        <v>0.22400726470588236</v>
      </c>
      <c r="E109" s="2886">
        <f>(-0.161*(E108^2)-7.509*E108+6533)*(10^(-4))/E101</f>
        <v>0.1919214705882353</v>
      </c>
      <c r="F109" s="2886">
        <f>(-0.161*(F108^2)-7.509*F108+6533)*(10^(-4))/F101</f>
        <v>0.1919214705882353</v>
      </c>
      <c r="G109" s="2886">
        <f>(-0.161*(G108^2)-7.509*G108+6533)*(10^(-4))/G101</f>
        <v>0.1919214705882353</v>
      </c>
      <c r="H109" s="2886">
        <f>(-0.161*(H108^2)-7.509*H108+6533)*(10^(-4))/H101</f>
        <v>0.1919214705882353</v>
      </c>
      <c r="I109" s="2886">
        <f>(-0.161*(I108^2)-7.509*I108+6533)*(10^(-4))/I101</f>
        <v>0.1919214705882353</v>
      </c>
      <c r="J109" s="2886">
        <f>(-0.214*(J108^2)-21.991*J108+4665)*(10^(-4))/J101</f>
        <v>0.13655279411764706</v>
      </c>
      <c r="K109" s="2886">
        <f>(-0.214*(K108^2)-21.991*K108+4665)*(10^(-4))/K101</f>
        <v>0.13655279411764706</v>
      </c>
      <c r="L109" s="2886">
        <f>(-0.214*(L108^2)-21.991*L108+4665)*(10^(-4))/L101</f>
        <v>0.13655279411764706</v>
      </c>
      <c r="M109" s="2886">
        <f>(-0.214*(M108^2)-21.991*M108+4665)*(10^(-4))/M101</f>
        <v>0.13655279411764706</v>
      </c>
      <c r="N109" s="2886">
        <f>(-0.214*(N108^2)-21.991*N108+4665)*(10^(-4))/N101</f>
        <v>0.13655279411764706</v>
      </c>
    </row>
    <row r="110" spans="1:14">
      <c r="A110" s="3187" t="s">
        <v>2937</v>
      </c>
      <c r="B110" s="3187"/>
      <c r="C110" s="3187"/>
      <c r="D110" s="3187"/>
      <c r="E110" s="3187"/>
      <c r="F110" s="3187"/>
      <c r="G110" s="3187"/>
      <c r="H110" s="3187"/>
      <c r="I110" s="3187"/>
      <c r="J110" s="3187"/>
      <c r="K110" s="2889"/>
      <c r="L110" s="2889"/>
      <c r="M110" s="2889"/>
      <c r="N110" s="2889"/>
    </row>
    <row r="112" spans="1:14" ht="13.5" thickBot="1"/>
    <row r="113" spans="1:13" ht="25.5" thickBot="1">
      <c r="A113" s="897" t="s">
        <v>2938</v>
      </c>
      <c r="B113" s="1284">
        <f>G3</f>
        <v>3.4</v>
      </c>
      <c r="C113" s="898" t="s">
        <v>2939</v>
      </c>
      <c r="D113" s="899">
        <f>SUMPRODUCT((A115:A118=F113)*(B114:M114=H113)*B115:M118)</f>
        <v>0.79600000000000004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0.90149999999999997</v>
      </c>
      <c r="C115" s="904">
        <f>B115</f>
        <v>0.90149999999999997</v>
      </c>
      <c r="D115" s="904">
        <f>ROUND(0.8331-0.0109*B113,4)</f>
        <v>0.79600000000000004</v>
      </c>
      <c r="E115" s="904">
        <f>D115</f>
        <v>0.79600000000000004</v>
      </c>
      <c r="F115" s="904">
        <f>E115</f>
        <v>0.79600000000000004</v>
      </c>
      <c r="G115" s="904">
        <f>F115</f>
        <v>0.79600000000000004</v>
      </c>
      <c r="H115" s="904">
        <f>G115</f>
        <v>0.79600000000000004</v>
      </c>
      <c r="I115" s="904">
        <f>ROUND(0.689-0.0155*B113,4)</f>
        <v>0.63629999999999998</v>
      </c>
      <c r="J115" s="904">
        <f t="shared" ref="J115:M118" si="33">I115</f>
        <v>0.63629999999999998</v>
      </c>
      <c r="K115" s="904">
        <f t="shared" si="33"/>
        <v>0.63629999999999998</v>
      </c>
      <c r="L115" s="904">
        <f t="shared" si="33"/>
        <v>0.63629999999999998</v>
      </c>
      <c r="M115" s="905">
        <f t="shared" si="33"/>
        <v>0.63629999999999998</v>
      </c>
    </row>
    <row r="116" spans="1:13">
      <c r="A116" s="903" t="s">
        <v>2837</v>
      </c>
      <c r="B116" s="904">
        <f>ROUND(0.949-0.012*B113,4)</f>
        <v>0.90820000000000001</v>
      </c>
      <c r="C116" s="904">
        <f>B116</f>
        <v>0.90820000000000001</v>
      </c>
      <c r="D116" s="904">
        <f>ROUND(0.8567-0.013*B113,4)</f>
        <v>0.8125</v>
      </c>
      <c r="E116" s="904">
        <f t="shared" ref="E116:H117" si="34">D116</f>
        <v>0.8125</v>
      </c>
      <c r="F116" s="904">
        <f t="shared" si="34"/>
        <v>0.8125</v>
      </c>
      <c r="G116" s="904">
        <f t="shared" si="34"/>
        <v>0.8125</v>
      </c>
      <c r="H116" s="904">
        <f t="shared" si="34"/>
        <v>0.8125</v>
      </c>
      <c r="I116" s="904">
        <f>ROUND(0.7694-0.014*B113,4)</f>
        <v>0.7218</v>
      </c>
      <c r="J116" s="904">
        <f t="shared" si="33"/>
        <v>0.7218</v>
      </c>
      <c r="K116" s="904">
        <f t="shared" si="33"/>
        <v>0.7218</v>
      </c>
      <c r="L116" s="904">
        <f t="shared" si="33"/>
        <v>0.7218</v>
      </c>
      <c r="M116" s="905">
        <f t="shared" si="33"/>
        <v>0.7218</v>
      </c>
    </row>
    <row r="117" spans="1:13">
      <c r="A117" s="903" t="s">
        <v>2838</v>
      </c>
      <c r="B117" s="904">
        <f>ROUND(0.8808-0.006*B113,4)</f>
        <v>0.86040000000000005</v>
      </c>
      <c r="C117" s="904">
        <f>B117</f>
        <v>0.86040000000000005</v>
      </c>
      <c r="D117" s="904">
        <f>ROUND(0.8748-0.008*B113,4)</f>
        <v>0.84760000000000002</v>
      </c>
      <c r="E117" s="904">
        <f t="shared" si="34"/>
        <v>0.84760000000000002</v>
      </c>
      <c r="F117" s="904">
        <f t="shared" si="34"/>
        <v>0.84760000000000002</v>
      </c>
      <c r="G117" s="904">
        <f t="shared" si="34"/>
        <v>0.84760000000000002</v>
      </c>
      <c r="H117" s="904">
        <f t="shared" si="34"/>
        <v>0.84760000000000002</v>
      </c>
      <c r="I117" s="904">
        <f>ROUND(0.7412-0.0095*B113,4)</f>
        <v>0.70889999999999997</v>
      </c>
      <c r="J117" s="904">
        <f t="shared" si="33"/>
        <v>0.70889999999999997</v>
      </c>
      <c r="K117" s="904">
        <f t="shared" si="33"/>
        <v>0.70889999999999997</v>
      </c>
      <c r="L117" s="904">
        <f t="shared" si="33"/>
        <v>0.70889999999999997</v>
      </c>
      <c r="M117" s="905">
        <f t="shared" si="33"/>
        <v>0.70889999999999997</v>
      </c>
    </row>
    <row r="118" spans="1:13" ht="13.5" thickBot="1">
      <c r="A118" s="713" t="s">
        <v>2839</v>
      </c>
      <c r="B118" s="906">
        <f>ROUND(0.7275-0.01*B113,4)</f>
        <v>0.69350000000000001</v>
      </c>
      <c r="C118" s="906">
        <f>B118</f>
        <v>0.69350000000000001</v>
      </c>
      <c r="D118" s="906">
        <f>ROUND(0.7043-0.012*B113,4)</f>
        <v>0.66349999999999998</v>
      </c>
      <c r="E118" s="906">
        <f>D118</f>
        <v>0.66349999999999998</v>
      </c>
      <c r="F118" s="906">
        <f>E118</f>
        <v>0.66349999999999998</v>
      </c>
      <c r="G118" s="906">
        <f>ROUND(0.6299-0.0122*B113,4)</f>
        <v>0.58840000000000003</v>
      </c>
      <c r="H118" s="906">
        <f>G118</f>
        <v>0.58840000000000003</v>
      </c>
      <c r="I118" s="906">
        <f>ROUND(0.5667-0.0136*B113,4)</f>
        <v>0.52049999999999996</v>
      </c>
      <c r="J118" s="906">
        <f t="shared" si="33"/>
        <v>0.52049999999999996</v>
      </c>
      <c r="K118" s="906">
        <f t="shared" si="33"/>
        <v>0.52049999999999996</v>
      </c>
      <c r="L118" s="906">
        <f t="shared" si="33"/>
        <v>0.52049999999999996</v>
      </c>
      <c r="M118" s="907">
        <f t="shared" si="33"/>
        <v>0.52049999999999996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1906.8</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7.45</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6204.71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1136.7</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7.45</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6204.71</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-58299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2569</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2044.2</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7.45</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6204.71</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-2569</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-20539</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-6221</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298" t="s">
        <v>1079</v>
      </c>
      <c r="E2" s="1298" t="s">
        <v>1080</v>
      </c>
      <c r="F2" s="1298" t="s">
        <v>1081</v>
      </c>
      <c r="G2" s="1298" t="s">
        <v>1082</v>
      </c>
      <c r="H2" s="1298" t="s">
        <v>1083</v>
      </c>
      <c r="I2" s="1299" t="s">
        <v>1084</v>
      </c>
    </row>
    <row r="3" spans="1:9">
      <c r="A3" s="3210"/>
      <c r="B3" s="3211" t="s">
        <v>1085</v>
      </c>
      <c r="C3" s="3211"/>
      <c r="D3" s="1300"/>
      <c r="E3" s="1298"/>
      <c r="F3" s="1301"/>
      <c r="G3" s="1301"/>
      <c r="H3" s="1302"/>
      <c r="I3" s="1303">
        <f>ROUND(D3*E3*F3*G3*H3/10000,0)</f>
        <v>0</v>
      </c>
    </row>
    <row r="4" spans="1:9">
      <c r="A4" s="3210"/>
      <c r="B4" s="3211" t="s">
        <v>1086</v>
      </c>
      <c r="C4" s="3211"/>
      <c r="D4" s="1300"/>
      <c r="E4" s="1298"/>
      <c r="F4" s="1301"/>
      <c r="G4" s="1301"/>
      <c r="H4" s="1302"/>
      <c r="I4" s="1303">
        <f t="shared" ref="I4:I9" si="0">ROUND(D4*E4*F4*G4*H4/10000,0)</f>
        <v>0</v>
      </c>
    </row>
    <row r="5" spans="1:9">
      <c r="A5" s="3210"/>
      <c r="B5" s="3211" t="s">
        <v>1087</v>
      </c>
      <c r="C5" s="3211"/>
      <c r="D5" s="1300"/>
      <c r="E5" s="1298"/>
      <c r="F5" s="1301"/>
      <c r="G5" s="1301"/>
      <c r="H5" s="1302"/>
      <c r="I5" s="1303">
        <f t="shared" si="0"/>
        <v>0</v>
      </c>
    </row>
    <row r="6" spans="1:9">
      <c r="A6" s="3210"/>
      <c r="B6" s="3211" t="s">
        <v>1088</v>
      </c>
      <c r="C6" s="3211"/>
      <c r="D6" s="1300"/>
      <c r="E6" s="1298"/>
      <c r="F6" s="1301"/>
      <c r="G6" s="1301"/>
      <c r="H6" s="1302"/>
      <c r="I6" s="1303">
        <f t="shared" si="0"/>
        <v>0</v>
      </c>
    </row>
    <row r="7" spans="1:9">
      <c r="A7" s="3210"/>
      <c r="B7" s="3211" t="s">
        <v>1089</v>
      </c>
      <c r="C7" s="3211"/>
      <c r="D7" s="1300"/>
      <c r="E7" s="1298"/>
      <c r="F7" s="1301"/>
      <c r="G7" s="1301"/>
      <c r="H7" s="1302"/>
      <c r="I7" s="1303">
        <f t="shared" si="0"/>
        <v>0</v>
      </c>
    </row>
    <row r="8" spans="1:9">
      <c r="A8" s="3210"/>
      <c r="B8" s="3211" t="s">
        <v>1090</v>
      </c>
      <c r="C8" s="3211"/>
      <c r="D8" s="1300"/>
      <c r="E8" s="1298"/>
      <c r="F8" s="1301"/>
      <c r="G8" s="1301"/>
      <c r="H8" s="1302"/>
      <c r="I8" s="1303">
        <f t="shared" si="0"/>
        <v>0</v>
      </c>
    </row>
    <row r="9" spans="1:9">
      <c r="A9" s="3210"/>
      <c r="B9" s="3211" t="s">
        <v>1091</v>
      </c>
      <c r="C9" s="3211"/>
      <c r="D9" s="1300"/>
      <c r="E9" s="1298"/>
      <c r="F9" s="1301"/>
      <c r="G9" s="1301"/>
      <c r="H9" s="1302"/>
      <c r="I9" s="1303">
        <f t="shared" si="0"/>
        <v>0</v>
      </c>
    </row>
    <row r="10" spans="1:9">
      <c r="A10" s="3210"/>
      <c r="B10" s="3212" t="s">
        <v>1092</v>
      </c>
      <c r="C10" s="3212"/>
      <c r="D10" s="1304"/>
      <c r="E10" s="1304" t="e">
        <f>ROUND(D1*10000/D10/H9,0)</f>
        <v>#DIV/0!</v>
      </c>
      <c r="F10" s="1305"/>
      <c r="G10" s="1305"/>
      <c r="H10" s="1306"/>
      <c r="I10" s="1307">
        <f>SUM(I3:I9)</f>
        <v>0</v>
      </c>
    </row>
    <row r="11" spans="1:9" ht="14.25">
      <c r="A11" s="3210" t="s">
        <v>1093</v>
      </c>
      <c r="B11" s="3211" t="s">
        <v>1094</v>
      </c>
      <c r="C11" s="3211"/>
      <c r="D11" s="1300" t="s">
        <v>1095</v>
      </c>
      <c r="E11" s="1300" t="s">
        <v>1096</v>
      </c>
      <c r="F11" s="1301" t="s">
        <v>1097</v>
      </c>
      <c r="G11" s="1301" t="s">
        <v>1083</v>
      </c>
      <c r="H11" s="1308" t="s">
        <v>1098</v>
      </c>
      <c r="I11" s="1299" t="s">
        <v>1084</v>
      </c>
    </row>
    <row r="12" spans="1:9">
      <c r="A12" s="3210"/>
      <c r="B12" s="3211" t="s">
        <v>1099</v>
      </c>
      <c r="C12" s="3211"/>
      <c r="D12" s="1300"/>
      <c r="E12" s="1300"/>
      <c r="F12" s="1301"/>
      <c r="G12" s="1302"/>
      <c r="H12" s="1309"/>
      <c r="I12" s="1299">
        <f>ROUND(D12*E12*F12*G12/10000,0)</f>
        <v>0</v>
      </c>
    </row>
    <row r="13" spans="1:9">
      <c r="A13" s="3210"/>
      <c r="B13" s="3211" t="s">
        <v>1100</v>
      </c>
      <c r="C13" s="3211"/>
      <c r="D13" s="1300"/>
      <c r="E13" s="1300"/>
      <c r="F13" s="1301"/>
      <c r="G13" s="1302"/>
      <c r="H13" s="1309"/>
      <c r="I13" s="1299">
        <f>ROUND(D13*E13*F13*G13/10000,0)</f>
        <v>0</v>
      </c>
    </row>
    <row r="14" spans="1:9">
      <c r="A14" s="3210"/>
      <c r="B14" s="3211" t="s">
        <v>1101</v>
      </c>
      <c r="C14" s="3211"/>
      <c r="D14" s="1300"/>
      <c r="E14" s="1300"/>
      <c r="F14" s="1301"/>
      <c r="G14" s="1302"/>
      <c r="H14" s="1309"/>
      <c r="I14" s="1299">
        <f>ROUND(D14*E14*F14*G14/10000,0)</f>
        <v>0</v>
      </c>
    </row>
    <row r="15" spans="1:9">
      <c r="A15" s="3210"/>
      <c r="B15" s="3212" t="s">
        <v>1092</v>
      </c>
      <c r="C15" s="3212"/>
      <c r="D15" s="1304"/>
      <c r="E15" s="1304">
        <f>SUM(E12:E14)</f>
        <v>0</v>
      </c>
      <c r="F15" s="1305"/>
      <c r="G15" s="1302"/>
      <c r="H15" s="1309"/>
      <c r="I15" s="1310">
        <f>SUM(I12:I14)</f>
        <v>0</v>
      </c>
    </row>
    <row r="16" spans="1:9" ht="24">
      <c r="A16" s="3210" t="s">
        <v>1102</v>
      </c>
      <c r="B16" s="3211" t="s">
        <v>1103</v>
      </c>
      <c r="C16" s="3211"/>
      <c r="D16" s="1300" t="s">
        <v>1079</v>
      </c>
      <c r="E16" s="1311" t="s">
        <v>1104</v>
      </c>
      <c r="F16" s="1301" t="s">
        <v>1105</v>
      </c>
      <c r="G16" s="1302" t="s">
        <v>1083</v>
      </c>
      <c r="H16" s="1308" t="s">
        <v>1098</v>
      </c>
      <c r="I16" s="1299" t="s">
        <v>1084</v>
      </c>
    </row>
    <row r="17" spans="1:9" ht="14.25">
      <c r="A17" s="3210"/>
      <c r="B17" s="3211" t="s">
        <v>1106</v>
      </c>
      <c r="C17" s="3211"/>
      <c r="D17" s="1300"/>
      <c r="E17" s="1300"/>
      <c r="F17" s="1301"/>
      <c r="G17" s="1302"/>
      <c r="H17" s="1312"/>
      <c r="I17" s="1313">
        <f>ROUND(D17*E17*F17*G17/10000,0)</f>
        <v>0</v>
      </c>
    </row>
    <row r="18" spans="1:9" ht="14.25">
      <c r="A18" s="3210"/>
      <c r="B18" s="3211" t="s">
        <v>1107</v>
      </c>
      <c r="C18" s="3211"/>
      <c r="D18" s="1300"/>
      <c r="E18" s="1300"/>
      <c r="F18" s="1301"/>
      <c r="G18" s="1302"/>
      <c r="H18" s="1312"/>
      <c r="I18" s="1313">
        <f>ROUND(D18*E18*F18*G18/10000,0)</f>
        <v>0</v>
      </c>
    </row>
    <row r="19" spans="1:9" ht="14.25">
      <c r="A19" s="3210"/>
      <c r="B19" s="3211" t="s">
        <v>1108</v>
      </c>
      <c r="C19" s="3211"/>
      <c r="D19" s="1300"/>
      <c r="E19" s="1300"/>
      <c r="F19" s="1301"/>
      <c r="G19" s="1302"/>
      <c r="H19" s="1312"/>
      <c r="I19" s="1313">
        <f>ROUND(D19*E19*F19*G19/10000,0)</f>
        <v>0</v>
      </c>
    </row>
    <row r="20" spans="1:9">
      <c r="A20" s="3210"/>
      <c r="B20" s="3212" t="s">
        <v>1092</v>
      </c>
      <c r="C20" s="3212"/>
      <c r="D20" s="1304">
        <f>SUM(D17:D19)</f>
        <v>0</v>
      </c>
      <c r="E20" s="1304"/>
      <c r="F20" s="1305"/>
      <c r="G20" s="1302"/>
      <c r="H20" s="1309"/>
      <c r="I20" s="1310">
        <f>SUM(I17:I19)</f>
        <v>0</v>
      </c>
    </row>
    <row r="21" spans="1:9">
      <c r="A21" s="3210"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07">
        <f>C27-C30-C31-C32</f>
        <v>0</v>
      </c>
      <c r="F26" s="3207"/>
      <c r="G26" s="3207"/>
      <c r="H26" s="1734" t="s">
        <v>1338</v>
      </c>
    </row>
    <row r="27" spans="1:9">
      <c r="A27" s="1321">
        <v>1</v>
      </c>
      <c r="B27" s="1322" t="s">
        <v>1118</v>
      </c>
      <c r="C27" s="1322">
        <f>C28+C29</f>
        <v>0</v>
      </c>
      <c r="D27" s="1322"/>
      <c r="E27" s="3208"/>
      <c r="F27" s="3208"/>
      <c r="G27" s="3208"/>
    </row>
    <row r="28" spans="1:9">
      <c r="A28" s="1323" t="s">
        <v>1119</v>
      </c>
      <c r="B28" s="1322" t="s">
        <v>1120</v>
      </c>
      <c r="C28" s="1322"/>
      <c r="D28" s="1322"/>
      <c r="E28" s="3208"/>
      <c r="F28" s="3208"/>
      <c r="G28" s="320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09"/>
      <c r="F32" s="3209"/>
      <c r="G32" s="3209"/>
    </row>
    <row r="33" spans="1:7" hidden="1">
      <c r="A33" s="3204" t="s">
        <v>1129</v>
      </c>
      <c r="B33" s="3205"/>
      <c r="C33" s="3205"/>
      <c r="D33" s="3206"/>
      <c r="E33" s="3207"/>
      <c r="F33" s="3207"/>
      <c r="G33" s="3207"/>
    </row>
    <row r="34" spans="1:7" hidden="1">
      <c r="A34" s="1325">
        <v>1</v>
      </c>
      <c r="B34" s="1322" t="s">
        <v>1130</v>
      </c>
      <c r="C34" s="1322"/>
      <c r="D34" s="1322"/>
      <c r="E34" s="3208"/>
      <c r="F34" s="3208"/>
      <c r="G34" s="3208"/>
    </row>
    <row r="35" spans="1:7" hidden="1">
      <c r="A35" s="1325">
        <v>2</v>
      </c>
      <c r="B35" s="1322" t="s">
        <v>1131</v>
      </c>
      <c r="C35" s="1322"/>
      <c r="D35" s="1322"/>
      <c r="E35" s="3208"/>
      <c r="F35" s="3208"/>
      <c r="G35" s="3208"/>
    </row>
    <row r="36" spans="1:7" hidden="1">
      <c r="A36" s="1325">
        <v>3</v>
      </c>
      <c r="B36" s="1322" t="s">
        <v>1132</v>
      </c>
      <c r="C36" s="1322"/>
      <c r="D36" s="1322"/>
      <c r="E36" s="3208"/>
      <c r="F36" s="3208"/>
      <c r="G36" s="3208"/>
    </row>
    <row r="37" spans="1:7" hidden="1">
      <c r="A37" s="1325">
        <v>4</v>
      </c>
      <c r="B37" s="1322" t="s">
        <v>1133</v>
      </c>
      <c r="C37" s="1322"/>
      <c r="D37" s="1322"/>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53" t="s">
        <v>2495</v>
      </c>
      <c r="S4" s="3254"/>
      <c r="T4" s="3253" t="s">
        <v>2496</v>
      </c>
      <c r="U4" s="3254"/>
      <c r="V4" s="3259" t="s">
        <v>2497</v>
      </c>
      <c r="W4" s="3259"/>
      <c r="X4" s="1810"/>
      <c r="Y4" s="3253" t="s">
        <v>2499</v>
      </c>
      <c r="Z4" s="3254"/>
      <c r="AA4" s="3240" t="s">
        <v>2495</v>
      </c>
      <c r="AB4" s="3240" t="s">
        <v>2496</v>
      </c>
      <c r="AC4" s="3240" t="s">
        <v>2497</v>
      </c>
    </row>
    <row r="5" spans="1:29" ht="15">
      <c r="A5" s="403"/>
      <c r="B5" s="404"/>
      <c r="C5" s="3262" t="s">
        <v>2500</v>
      </c>
      <c r="D5" s="3263"/>
      <c r="E5" s="3269" t="s">
        <v>2501</v>
      </c>
      <c r="F5" s="3270"/>
      <c r="G5" s="3262" t="s">
        <v>2502</v>
      </c>
      <c r="H5" s="3263"/>
      <c r="I5" s="3262" t="s">
        <v>2503</v>
      </c>
      <c r="J5" s="3263"/>
      <c r="K5" s="2590"/>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2590"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64" t="s">
        <v>2507</v>
      </c>
      <c r="Q7" s="3266"/>
      <c r="R7" s="769" t="s">
        <v>23</v>
      </c>
      <c r="S7" s="770">
        <f t="shared" ref="S7:S15" si="0">F7</f>
        <v>0</v>
      </c>
      <c r="T7" s="769" t="s">
        <v>23</v>
      </c>
      <c r="U7" s="770">
        <f t="shared" ref="U7:U15" si="1">H7</f>
        <v>0</v>
      </c>
      <c r="V7" s="769" t="s">
        <v>23</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64" t="s">
        <v>2510</v>
      </c>
      <c r="Q8" s="3265"/>
      <c r="R8" s="769" t="s">
        <v>23</v>
      </c>
      <c r="S8" s="770">
        <f t="shared" si="0"/>
        <v>0</v>
      </c>
      <c r="T8" s="769" t="s">
        <v>23</v>
      </c>
      <c r="U8" s="770">
        <f t="shared" si="1"/>
        <v>0</v>
      </c>
      <c r="V8" s="769" t="s">
        <v>23</v>
      </c>
      <c r="W8" s="770">
        <f t="shared" si="2"/>
        <v>0</v>
      </c>
      <c r="X8" s="771"/>
      <c r="Y8" s="3264" t="s">
        <v>2510</v>
      </c>
      <c r="Z8" s="3265"/>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9"/>
      <c r="Q11" s="1792"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9"/>
      <c r="Q12" s="1792">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9"/>
      <c r="Q13" s="1792">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9"/>
      <c r="Q14" s="1792">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37" t="s">
        <v>2518</v>
      </c>
      <c r="Q15" s="1807" t="str">
        <f t="shared" si="6"/>
        <v>居住社区成熟度</v>
      </c>
      <c r="R15" s="773" t="s">
        <v>21</v>
      </c>
      <c r="S15" s="774">
        <f t="shared" si="0"/>
        <v>100</v>
      </c>
      <c r="T15" s="773" t="s">
        <v>21</v>
      </c>
      <c r="U15" s="774">
        <f t="shared" si="1"/>
        <v>100</v>
      </c>
      <c r="V15" s="773" t="s">
        <v>21</v>
      </c>
      <c r="W15" s="774">
        <f t="shared" si="2"/>
        <v>100</v>
      </c>
      <c r="X15" s="1810"/>
      <c r="Y15" s="3230"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38"/>
      <c r="Q17" s="1807" t="str">
        <f>B17</f>
        <v>交通便捷度</v>
      </c>
      <c r="R17" s="773" t="s">
        <v>21</v>
      </c>
      <c r="S17" s="774">
        <f>F17</f>
        <v>100</v>
      </c>
      <c r="T17" s="773" t="s">
        <v>21</v>
      </c>
      <c r="U17" s="774">
        <f>H17</f>
        <v>100</v>
      </c>
      <c r="V17" s="773" t="s">
        <v>21</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38"/>
      <c r="Q19" s="1807" t="str">
        <f>B19</f>
        <v>公共配套设施</v>
      </c>
      <c r="R19" s="773" t="s">
        <v>21</v>
      </c>
      <c r="S19" s="774">
        <f>F19</f>
        <v>100</v>
      </c>
      <c r="T19" s="773" t="s">
        <v>21</v>
      </c>
      <c r="U19" s="774">
        <f>H19</f>
        <v>100</v>
      </c>
      <c r="V19" s="773" t="s">
        <v>21</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38"/>
      <c r="Q23" s="1807" t="str">
        <f>B23</f>
        <v>自然及人文环境</v>
      </c>
      <c r="R23" s="773" t="s">
        <v>21</v>
      </c>
      <c r="S23" s="774">
        <f>F23</f>
        <v>100</v>
      </c>
      <c r="T23" s="773" t="s">
        <v>21</v>
      </c>
      <c r="U23" s="774">
        <f>H23</f>
        <v>100</v>
      </c>
      <c r="V23" s="773" t="s">
        <v>21</v>
      </c>
      <c r="W23" s="774">
        <f>J23</f>
        <v>100</v>
      </c>
      <c r="X23" s="1810"/>
      <c r="Y23" s="3231"/>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3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31"/>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38"/>
      <c r="Q26" s="1807" t="str">
        <f t="shared" si="11"/>
        <v>朝向</v>
      </c>
      <c r="R26" s="773" t="s">
        <v>21</v>
      </c>
      <c r="S26" s="774">
        <f t="shared" si="12"/>
        <v>100</v>
      </c>
      <c r="T26" s="773" t="s">
        <v>21</v>
      </c>
      <c r="U26" s="774">
        <f t="shared" si="13"/>
        <v>100</v>
      </c>
      <c r="V26" s="773" t="s">
        <v>21</v>
      </c>
      <c r="W26" s="774">
        <f t="shared" si="14"/>
        <v>100</v>
      </c>
      <c r="X26" s="1810"/>
      <c r="Y26" s="3231"/>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38"/>
      <c r="Q27" s="1792">
        <f t="shared" si="11"/>
        <v>111</v>
      </c>
      <c r="R27" s="769" t="s">
        <v>21</v>
      </c>
      <c r="S27" s="770">
        <f t="shared" si="12"/>
        <v>100</v>
      </c>
      <c r="T27" s="769" t="s">
        <v>21</v>
      </c>
      <c r="U27" s="770">
        <f t="shared" si="13"/>
        <v>100</v>
      </c>
      <c r="V27" s="769" t="s">
        <v>21</v>
      </c>
      <c r="W27" s="770">
        <f t="shared" si="14"/>
        <v>100</v>
      </c>
      <c r="X27" s="771"/>
      <c r="Y27" s="323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38"/>
      <c r="Q28" s="1807">
        <f t="shared" si="11"/>
        <v>111</v>
      </c>
      <c r="R28" s="773" t="s">
        <v>21</v>
      </c>
      <c r="S28" s="774">
        <f t="shared" si="12"/>
        <v>100</v>
      </c>
      <c r="T28" s="773" t="s">
        <v>21</v>
      </c>
      <c r="U28" s="774">
        <f t="shared" si="13"/>
        <v>100</v>
      </c>
      <c r="V28" s="773" t="s">
        <v>21</v>
      </c>
      <c r="W28" s="774">
        <f t="shared" si="14"/>
        <v>100</v>
      </c>
      <c r="X28" s="1810"/>
      <c r="Y28" s="323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38"/>
      <c r="Q29" s="1807">
        <f t="shared" si="11"/>
        <v>111</v>
      </c>
      <c r="R29" s="773" t="s">
        <v>21</v>
      </c>
      <c r="S29" s="774">
        <f t="shared" si="12"/>
        <v>100</v>
      </c>
      <c r="T29" s="773" t="s">
        <v>21</v>
      </c>
      <c r="U29" s="774">
        <f t="shared" si="13"/>
        <v>100</v>
      </c>
      <c r="V29" s="773" t="s">
        <v>21</v>
      </c>
      <c r="W29" s="774">
        <f t="shared" si="14"/>
        <v>100</v>
      </c>
      <c r="X29" s="1810"/>
      <c r="Y29" s="323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38"/>
      <c r="Q30" s="1807">
        <f t="shared" si="11"/>
        <v>111</v>
      </c>
      <c r="R30" s="773" t="s">
        <v>21</v>
      </c>
      <c r="S30" s="774">
        <f t="shared" si="12"/>
        <v>100</v>
      </c>
      <c r="T30" s="773" t="s">
        <v>21</v>
      </c>
      <c r="U30" s="774">
        <f t="shared" si="13"/>
        <v>100</v>
      </c>
      <c r="V30" s="773" t="s">
        <v>21</v>
      </c>
      <c r="W30" s="774">
        <f t="shared" si="14"/>
        <v>100</v>
      </c>
      <c r="X30" s="1810"/>
      <c r="Y30" s="323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38"/>
      <c r="Q31" s="1807">
        <f t="shared" si="11"/>
        <v>111</v>
      </c>
      <c r="R31" s="773" t="s">
        <v>21</v>
      </c>
      <c r="S31" s="774">
        <f t="shared" si="12"/>
        <v>100</v>
      </c>
      <c r="T31" s="773" t="s">
        <v>21</v>
      </c>
      <c r="U31" s="774">
        <f t="shared" si="13"/>
        <v>100</v>
      </c>
      <c r="V31" s="773" t="s">
        <v>21</v>
      </c>
      <c r="W31" s="774">
        <f t="shared" si="14"/>
        <v>100</v>
      </c>
      <c r="X31" s="1810"/>
      <c r="Y31" s="3231"/>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32" t="s">
        <v>2523</v>
      </c>
      <c r="Q32" s="1807" t="str">
        <f t="shared" si="11"/>
        <v>建筑类型</v>
      </c>
      <c r="R32" s="773" t="s">
        <v>21</v>
      </c>
      <c r="S32" s="774">
        <f t="shared" si="12"/>
        <v>100</v>
      </c>
      <c r="T32" s="773" t="s">
        <v>21</v>
      </c>
      <c r="U32" s="774">
        <f t="shared" si="13"/>
        <v>100</v>
      </c>
      <c r="V32" s="773" t="s">
        <v>21</v>
      </c>
      <c r="W32" s="774">
        <f t="shared" si="14"/>
        <v>100</v>
      </c>
      <c r="X32" s="1810"/>
      <c r="Y32" s="3235"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33"/>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33"/>
      <c r="Q34" s="1807" t="str">
        <f t="shared" si="11"/>
        <v>建筑结构</v>
      </c>
      <c r="R34" s="773" t="s">
        <v>21</v>
      </c>
      <c r="S34" s="774">
        <f t="shared" si="12"/>
        <v>100</v>
      </c>
      <c r="T34" s="773" t="s">
        <v>21</v>
      </c>
      <c r="U34" s="774">
        <f t="shared" si="13"/>
        <v>100</v>
      </c>
      <c r="V34" s="773" t="s">
        <v>21</v>
      </c>
      <c r="W34" s="774">
        <f t="shared" si="14"/>
        <v>100</v>
      </c>
      <c r="X34" s="1810"/>
      <c r="Y34" s="3235"/>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33"/>
      <c r="Q35" s="1807" t="str">
        <f t="shared" si="11"/>
        <v>建筑品质</v>
      </c>
      <c r="R35" s="773" t="s">
        <v>21</v>
      </c>
      <c r="S35" s="774">
        <f t="shared" si="12"/>
        <v>100</v>
      </c>
      <c r="T35" s="773" t="s">
        <v>21</v>
      </c>
      <c r="U35" s="774">
        <f t="shared" si="13"/>
        <v>100</v>
      </c>
      <c r="V35" s="773" t="s">
        <v>21</v>
      </c>
      <c r="W35" s="774">
        <f t="shared" si="14"/>
        <v>100</v>
      </c>
      <c r="X35" s="1810"/>
      <c r="Y35" s="3235"/>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33"/>
      <c r="Q36" s="1807" t="str">
        <f t="shared" si="11"/>
        <v>公共部分装修</v>
      </c>
      <c r="R36" s="773" t="s">
        <v>21</v>
      </c>
      <c r="S36" s="774">
        <f t="shared" si="12"/>
        <v>100</v>
      </c>
      <c r="T36" s="773" t="s">
        <v>21</v>
      </c>
      <c r="U36" s="774">
        <f t="shared" si="13"/>
        <v>100</v>
      </c>
      <c r="V36" s="773" t="s">
        <v>21</v>
      </c>
      <c r="W36" s="774">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33"/>
      <c r="Q37" s="1792"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33" t="s">
        <v>2523</v>
      </c>
      <c r="Q38" s="1807" t="str">
        <f t="shared" si="11"/>
        <v>物业管理</v>
      </c>
      <c r="R38" s="773" t="s">
        <v>21</v>
      </c>
      <c r="S38" s="774">
        <f t="shared" si="12"/>
        <v>100</v>
      </c>
      <c r="T38" s="773" t="s">
        <v>21</v>
      </c>
      <c r="U38" s="774">
        <f t="shared" si="13"/>
        <v>100</v>
      </c>
      <c r="V38" s="773" t="s">
        <v>21</v>
      </c>
      <c r="W38" s="774">
        <f t="shared" si="14"/>
        <v>100</v>
      </c>
      <c r="X38" s="1810"/>
      <c r="Y38" s="3235"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33"/>
      <c r="Q39" s="1807" t="str">
        <f t="shared" si="11"/>
        <v>市政基础设施</v>
      </c>
      <c r="R39" s="773" t="s">
        <v>21</v>
      </c>
      <c r="S39" s="774">
        <f t="shared" si="12"/>
        <v>100</v>
      </c>
      <c r="T39" s="773" t="s">
        <v>21</v>
      </c>
      <c r="U39" s="774">
        <f t="shared" si="13"/>
        <v>100</v>
      </c>
      <c r="V39" s="773" t="s">
        <v>21</v>
      </c>
      <c r="W39" s="774">
        <f t="shared" si="14"/>
        <v>100</v>
      </c>
      <c r="X39" s="1810"/>
      <c r="Y39" s="3235"/>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33"/>
      <c r="Q40" s="1807" t="str">
        <f t="shared" si="11"/>
        <v>房型</v>
      </c>
      <c r="R40" s="773" t="s">
        <v>21</v>
      </c>
      <c r="S40" s="774">
        <f t="shared" si="12"/>
        <v>100</v>
      </c>
      <c r="T40" s="773" t="s">
        <v>21</v>
      </c>
      <c r="U40" s="774">
        <f t="shared" si="13"/>
        <v>100</v>
      </c>
      <c r="V40" s="773" t="s">
        <v>21</v>
      </c>
      <c r="W40" s="774">
        <f t="shared" si="14"/>
        <v>100</v>
      </c>
      <c r="X40" s="1810"/>
      <c r="Y40" s="3235"/>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33"/>
      <c r="Q42" s="1807" t="str">
        <f t="shared" si="11"/>
        <v>内部装修</v>
      </c>
      <c r="R42" s="773" t="s">
        <v>21</v>
      </c>
      <c r="S42" s="774">
        <f t="shared" si="12"/>
        <v>100</v>
      </c>
      <c r="T42" s="773" t="s">
        <v>21</v>
      </c>
      <c r="U42" s="774">
        <f t="shared" si="13"/>
        <v>100</v>
      </c>
      <c r="V42" s="773" t="s">
        <v>21</v>
      </c>
      <c r="W42" s="774">
        <f t="shared" si="14"/>
        <v>100</v>
      </c>
      <c r="X42" s="1810"/>
      <c r="Y42" s="3235"/>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33"/>
      <c r="Q43" s="1807" t="str">
        <f t="shared" si="11"/>
        <v>内部装修维护情况</v>
      </c>
      <c r="R43" s="773" t="s">
        <v>21</v>
      </c>
      <c r="S43" s="774">
        <f t="shared" si="12"/>
        <v>100</v>
      </c>
      <c r="T43" s="773" t="s">
        <v>21</v>
      </c>
      <c r="U43" s="774">
        <f t="shared" si="13"/>
        <v>100</v>
      </c>
      <c r="V43" s="773" t="s">
        <v>21</v>
      </c>
      <c r="W43" s="774">
        <f t="shared" si="14"/>
        <v>100</v>
      </c>
      <c r="X43" s="1810"/>
      <c r="Y43" s="323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33"/>
      <c r="Q44" s="1792">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33"/>
      <c r="Q45" s="1807">
        <f t="shared" si="11"/>
        <v>111</v>
      </c>
      <c r="R45" s="773" t="s">
        <v>21</v>
      </c>
      <c r="S45" s="774">
        <f t="shared" si="12"/>
        <v>100</v>
      </c>
      <c r="T45" s="773" t="s">
        <v>21</v>
      </c>
      <c r="U45" s="774">
        <f t="shared" si="13"/>
        <v>100</v>
      </c>
      <c r="V45" s="773" t="s">
        <v>21</v>
      </c>
      <c r="W45" s="774">
        <f t="shared" si="14"/>
        <v>100</v>
      </c>
      <c r="X45" s="1810"/>
      <c r="Y45" s="3235"/>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34"/>
      <c r="Q46" s="1807">
        <f t="shared" si="11"/>
        <v>111</v>
      </c>
      <c r="R46" s="773" t="s">
        <v>20</v>
      </c>
      <c r="S46" s="774">
        <f t="shared" si="12"/>
        <v>100</v>
      </c>
      <c r="T46" s="773" t="s">
        <v>20</v>
      </c>
      <c r="U46" s="774">
        <f t="shared" si="13"/>
        <v>100</v>
      </c>
      <c r="V46" s="773" t="s">
        <v>20</v>
      </c>
      <c r="W46" s="774">
        <f t="shared" si="14"/>
        <v>100</v>
      </c>
      <c r="X46" s="1810"/>
      <c r="Y46" s="3236"/>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59"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59"/>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59"/>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37" t="s">
        <v>2518</v>
      </c>
      <c r="Q15" s="1807" t="str">
        <f t="shared" si="6"/>
        <v>商业繁华度</v>
      </c>
      <c r="R15" s="773" t="s">
        <v>17</v>
      </c>
      <c r="S15" s="774">
        <f t="shared" si="0"/>
        <v>100</v>
      </c>
      <c r="T15" s="773" t="s">
        <v>17</v>
      </c>
      <c r="U15" s="774">
        <f t="shared" si="1"/>
        <v>100</v>
      </c>
      <c r="V15" s="773" t="s">
        <v>17</v>
      </c>
      <c r="W15" s="774">
        <f t="shared" si="2"/>
        <v>100</v>
      </c>
      <c r="X15" s="1810"/>
      <c r="Y15" s="3230"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38"/>
      <c r="Q23" s="1807" t="str">
        <f>B23</f>
        <v>自然及人文环境</v>
      </c>
      <c r="R23" s="773" t="s">
        <v>17</v>
      </c>
      <c r="S23" s="774">
        <f>F23</f>
        <v>100</v>
      </c>
      <c r="T23" s="773" t="s">
        <v>17</v>
      </c>
      <c r="U23" s="774">
        <f>H23</f>
        <v>100</v>
      </c>
      <c r="V23" s="773" t="s">
        <v>17</v>
      </c>
      <c r="W23" s="774">
        <f>J23</f>
        <v>100</v>
      </c>
      <c r="X23" s="1810"/>
      <c r="Y23" s="3231"/>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38"/>
      <c r="Q25" s="1807" t="str">
        <f t="shared" ref="Q25:Q46" si="11">B25</f>
        <v>临街状况</v>
      </c>
      <c r="R25" s="773" t="s">
        <v>17</v>
      </c>
      <c r="S25" s="774">
        <f>F25</f>
        <v>100</v>
      </c>
      <c r="T25" s="773" t="s">
        <v>17</v>
      </c>
      <c r="U25" s="774">
        <f>H25</f>
        <v>100</v>
      </c>
      <c r="V25" s="773" t="s">
        <v>17</v>
      </c>
      <c r="W25" s="774">
        <f>J25</f>
        <v>100</v>
      </c>
      <c r="X25" s="1810"/>
      <c r="Y25" s="3231"/>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38"/>
      <c r="Q26" s="1807" t="str">
        <f t="shared" si="11"/>
        <v>平面位置/可视性</v>
      </c>
      <c r="R26" s="773" t="s">
        <v>17</v>
      </c>
      <c r="S26" s="774">
        <f>F26</f>
        <v>100</v>
      </c>
      <c r="T26" s="773" t="s">
        <v>17</v>
      </c>
      <c r="U26" s="774">
        <f>H26</f>
        <v>100</v>
      </c>
      <c r="V26" s="773" t="s">
        <v>17</v>
      </c>
      <c r="W26" s="774">
        <f>J26</f>
        <v>100</v>
      </c>
      <c r="X26" s="1810"/>
      <c r="Y26" s="3231"/>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38"/>
      <c r="Q27" s="1792" t="str">
        <f t="shared" si="11"/>
        <v>人流量</v>
      </c>
      <c r="R27" s="769" t="s">
        <v>17</v>
      </c>
      <c r="S27" s="770">
        <f>F27</f>
        <v>100</v>
      </c>
      <c r="T27" s="769" t="s">
        <v>17</v>
      </c>
      <c r="U27" s="770">
        <f>H27</f>
        <v>100</v>
      </c>
      <c r="V27" s="769" t="s">
        <v>17</v>
      </c>
      <c r="W27" s="770">
        <f>J27</f>
        <v>100</v>
      </c>
      <c r="X27" s="771"/>
      <c r="Y27" s="3231"/>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38"/>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31"/>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38"/>
      <c r="Q29" s="1807">
        <f t="shared" si="11"/>
        <v>111</v>
      </c>
      <c r="R29" s="773" t="s">
        <v>17</v>
      </c>
      <c r="S29" s="774">
        <f t="shared" si="12"/>
        <v>100</v>
      </c>
      <c r="T29" s="773" t="s">
        <v>17</v>
      </c>
      <c r="U29" s="774">
        <f t="shared" si="13"/>
        <v>100</v>
      </c>
      <c r="V29" s="773" t="s">
        <v>17</v>
      </c>
      <c r="W29" s="774">
        <f t="shared" si="14"/>
        <v>100</v>
      </c>
      <c r="X29" s="1810"/>
      <c r="Y29" s="3231"/>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32" t="s">
        <v>2523</v>
      </c>
      <c r="Q32" s="1807" t="str">
        <f t="shared" si="11"/>
        <v>商业类型</v>
      </c>
      <c r="R32" s="773" t="s">
        <v>17</v>
      </c>
      <c r="S32" s="774">
        <f t="shared" si="12"/>
        <v>100</v>
      </c>
      <c r="T32" s="773" t="s">
        <v>17</v>
      </c>
      <c r="U32" s="774">
        <f t="shared" si="13"/>
        <v>100</v>
      </c>
      <c r="V32" s="773" t="s">
        <v>17</v>
      </c>
      <c r="W32" s="774">
        <f t="shared" si="14"/>
        <v>100</v>
      </c>
      <c r="X32" s="1810"/>
      <c r="Y32" s="3235"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33"/>
      <c r="Q34" s="1807" t="str">
        <f t="shared" si="11"/>
        <v>建筑结构</v>
      </c>
      <c r="R34" s="773" t="s">
        <v>17</v>
      </c>
      <c r="S34" s="774">
        <f t="shared" si="12"/>
        <v>100</v>
      </c>
      <c r="T34" s="773" t="s">
        <v>17</v>
      </c>
      <c r="U34" s="774">
        <f t="shared" si="13"/>
        <v>100</v>
      </c>
      <c r="V34" s="773" t="s">
        <v>17</v>
      </c>
      <c r="W34" s="774">
        <f t="shared" si="14"/>
        <v>100</v>
      </c>
      <c r="X34" s="1810"/>
      <c r="Y34" s="3235"/>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33"/>
      <c r="Q35" s="1807" t="str">
        <f t="shared" si="11"/>
        <v>公共部分装修</v>
      </c>
      <c r="R35" s="773" t="s">
        <v>17</v>
      </c>
      <c r="S35" s="774">
        <f t="shared" si="12"/>
        <v>100</v>
      </c>
      <c r="T35" s="773" t="s">
        <v>17</v>
      </c>
      <c r="U35" s="774">
        <f t="shared" si="13"/>
        <v>100</v>
      </c>
      <c r="V35" s="773" t="s">
        <v>17</v>
      </c>
      <c r="W35" s="774">
        <f t="shared" si="14"/>
        <v>100</v>
      </c>
      <c r="X35" s="1810"/>
      <c r="Y35" s="3235"/>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33"/>
      <c r="Q36" s="1807" t="str">
        <f t="shared" si="11"/>
        <v>成新度</v>
      </c>
      <c r="R36" s="773" t="s">
        <v>17</v>
      </c>
      <c r="S36" s="774" t="e">
        <f t="shared" si="12"/>
        <v>#N/A</v>
      </c>
      <c r="T36" s="773" t="s">
        <v>17</v>
      </c>
      <c r="U36" s="774" t="e">
        <f t="shared" si="13"/>
        <v>#N/A</v>
      </c>
      <c r="V36" s="773" t="s">
        <v>17</v>
      </c>
      <c r="W36" s="774" t="e">
        <f t="shared" si="14"/>
        <v>#N/A</v>
      </c>
      <c r="X36" s="1810"/>
      <c r="Y36" s="3235"/>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33"/>
      <c r="Q37" s="1792"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33" t="s">
        <v>2523</v>
      </c>
      <c r="Q38" s="1807" t="str">
        <f t="shared" si="11"/>
        <v>业态</v>
      </c>
      <c r="R38" s="773" t="s">
        <v>17</v>
      </c>
      <c r="S38" s="774">
        <f t="shared" si="12"/>
        <v>100</v>
      </c>
      <c r="T38" s="773" t="s">
        <v>17</v>
      </c>
      <c r="U38" s="774">
        <f t="shared" si="13"/>
        <v>100</v>
      </c>
      <c r="V38" s="773" t="s">
        <v>17</v>
      </c>
      <c r="W38" s="774">
        <f t="shared" si="14"/>
        <v>100</v>
      </c>
      <c r="X38" s="1810"/>
      <c r="Y38" s="3235"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33"/>
      <c r="Q39" s="1807" t="str">
        <f t="shared" si="11"/>
        <v>层高</v>
      </c>
      <c r="R39" s="773" t="s">
        <v>17</v>
      </c>
      <c r="S39" s="774">
        <f t="shared" si="12"/>
        <v>100</v>
      </c>
      <c r="T39" s="773" t="s">
        <v>17</v>
      </c>
      <c r="U39" s="774">
        <f t="shared" si="13"/>
        <v>100</v>
      </c>
      <c r="V39" s="773" t="s">
        <v>17</v>
      </c>
      <c r="W39" s="774">
        <f t="shared" si="14"/>
        <v>100</v>
      </c>
      <c r="X39" s="1810"/>
      <c r="Y39" s="3235"/>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33"/>
      <c r="Q40" s="1807" t="str">
        <f t="shared" si="11"/>
        <v>单套建筑面积</v>
      </c>
      <c r="R40" s="773" t="s">
        <v>17</v>
      </c>
      <c r="S40" s="774">
        <f t="shared" si="12"/>
        <v>100</v>
      </c>
      <c r="T40" s="773" t="s">
        <v>17</v>
      </c>
      <c r="U40" s="774">
        <f t="shared" si="13"/>
        <v>100</v>
      </c>
      <c r="V40" s="773" t="s">
        <v>17</v>
      </c>
      <c r="W40" s="774">
        <f t="shared" si="14"/>
        <v>100</v>
      </c>
      <c r="X40" s="1810"/>
      <c r="Y40" s="3235"/>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33"/>
      <c r="Q42" s="1807" t="str">
        <f t="shared" si="11"/>
        <v>内部装修</v>
      </c>
      <c r="R42" s="773" t="s">
        <v>17</v>
      </c>
      <c r="S42" s="774">
        <f t="shared" si="12"/>
        <v>100</v>
      </c>
      <c r="T42" s="773" t="s">
        <v>17</v>
      </c>
      <c r="U42" s="774">
        <f t="shared" si="13"/>
        <v>100</v>
      </c>
      <c r="V42" s="773" t="s">
        <v>17</v>
      </c>
      <c r="W42" s="774">
        <f t="shared" si="14"/>
        <v>100</v>
      </c>
      <c r="X42" s="1810"/>
      <c r="Y42" s="3235"/>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33"/>
      <c r="Q43" s="1807" t="str">
        <f t="shared" si="11"/>
        <v>内部装修维护情况</v>
      </c>
      <c r="R43" s="773" t="s">
        <v>17</v>
      </c>
      <c r="S43" s="774">
        <f t="shared" si="12"/>
        <v>100</v>
      </c>
      <c r="T43" s="773" t="s">
        <v>17</v>
      </c>
      <c r="U43" s="774">
        <f t="shared" si="13"/>
        <v>100</v>
      </c>
      <c r="V43" s="773" t="s">
        <v>17</v>
      </c>
      <c r="W43" s="774">
        <f t="shared" si="14"/>
        <v>100</v>
      </c>
      <c r="X43" s="1810"/>
      <c r="Y43" s="323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33"/>
      <c r="Q44" s="1792">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33"/>
      <c r="Q45" s="1807">
        <f t="shared" si="11"/>
        <v>111</v>
      </c>
      <c r="R45" s="773" t="s">
        <v>17</v>
      </c>
      <c r="S45" s="774">
        <f t="shared" si="12"/>
        <v>100</v>
      </c>
      <c r="T45" s="773" t="s">
        <v>17</v>
      </c>
      <c r="U45" s="774">
        <f t="shared" si="13"/>
        <v>100</v>
      </c>
      <c r="V45" s="773" t="s">
        <v>17</v>
      </c>
      <c r="W45" s="774">
        <f t="shared" si="14"/>
        <v>100</v>
      </c>
      <c r="X45" s="1810"/>
      <c r="Y45" s="3235"/>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34"/>
      <c r="Q46" s="1807">
        <f t="shared" si="11"/>
        <v>111</v>
      </c>
      <c r="R46" s="773" t="s">
        <v>17</v>
      </c>
      <c r="S46" s="774">
        <f t="shared" si="12"/>
        <v>100</v>
      </c>
      <c r="T46" s="773" t="s">
        <v>17</v>
      </c>
      <c r="U46" s="774">
        <f t="shared" si="13"/>
        <v>100</v>
      </c>
      <c r="V46" s="773" t="s">
        <v>17</v>
      </c>
      <c r="W46" s="774">
        <f t="shared" si="14"/>
        <v>100</v>
      </c>
      <c r="X46" s="1810"/>
      <c r="Y46" s="3236"/>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28" t="str">
        <f>A47</f>
        <v>成交单价（元/平方米）</v>
      </c>
      <c r="Q47" s="3228"/>
      <c r="R47" s="3259">
        <f>E47</f>
        <v>0</v>
      </c>
      <c r="S47" s="3259"/>
      <c r="T47" s="3259">
        <f>G47</f>
        <v>0</v>
      </c>
      <c r="U47" s="3259"/>
      <c r="V47" s="3259">
        <f>I47</f>
        <v>0</v>
      </c>
      <c r="W47" s="3259"/>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81" t="s">
        <v>2605</v>
      </c>
      <c r="S4" s="3282"/>
      <c r="T4" s="3281" t="s">
        <v>2606</v>
      </c>
      <c r="U4" s="3282"/>
      <c r="V4" s="3283" t="s">
        <v>2607</v>
      </c>
      <c r="W4" s="3283"/>
      <c r="X4" s="2663"/>
      <c r="Y4" s="3281" t="s">
        <v>2609</v>
      </c>
      <c r="Z4" s="3282"/>
      <c r="AA4" s="3285" t="s">
        <v>2605</v>
      </c>
      <c r="AB4" s="3285" t="s">
        <v>2606</v>
      </c>
      <c r="AC4" s="3274" t="s">
        <v>2607</v>
      </c>
    </row>
    <row r="5" spans="1:29" ht="15">
      <c r="A5" s="403"/>
      <c r="B5" s="404"/>
      <c r="C5" s="3262" t="s">
        <v>2500</v>
      </c>
      <c r="D5" s="3263"/>
      <c r="E5" s="3269" t="s">
        <v>2501</v>
      </c>
      <c r="F5" s="3270"/>
      <c r="G5" s="3262" t="s">
        <v>2502</v>
      </c>
      <c r="H5" s="3263"/>
      <c r="I5" s="3262" t="s">
        <v>2503</v>
      </c>
      <c r="J5" s="3263"/>
      <c r="K5" s="609"/>
      <c r="L5" s="1127"/>
      <c r="M5" s="1128"/>
      <c r="N5" s="1128"/>
      <c r="O5" s="1128"/>
      <c r="P5" s="3279"/>
      <c r="Q5" s="3250"/>
      <c r="R5" s="3255"/>
      <c r="S5" s="3256"/>
      <c r="T5" s="3255"/>
      <c r="U5" s="3256"/>
      <c r="V5" s="3259"/>
      <c r="W5" s="3259"/>
      <c r="X5" s="1810"/>
      <c r="Y5" s="3255"/>
      <c r="Z5" s="3256"/>
      <c r="AA5" s="3241"/>
      <c r="AB5" s="3241"/>
      <c r="AC5" s="3275"/>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80"/>
      <c r="Q6" s="3252"/>
      <c r="R6" s="3255"/>
      <c r="S6" s="3256"/>
      <c r="T6" s="3257"/>
      <c r="U6" s="3258"/>
      <c r="V6" s="3259"/>
      <c r="W6" s="3259"/>
      <c r="X6" s="1810"/>
      <c r="Y6" s="3257"/>
      <c r="Z6" s="3258"/>
      <c r="AA6" s="3242"/>
      <c r="AB6" s="3242"/>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4" t="s">
        <v>2510</v>
      </c>
      <c r="Q8" s="3265"/>
      <c r="R8" s="769" t="s">
        <v>17</v>
      </c>
      <c r="S8" s="770">
        <f t="shared" si="0"/>
        <v>0</v>
      </c>
      <c r="T8" s="769" t="s">
        <v>17</v>
      </c>
      <c r="U8" s="770">
        <f t="shared" si="1"/>
        <v>0</v>
      </c>
      <c r="V8" s="769" t="s">
        <v>17</v>
      </c>
      <c r="W8" s="770">
        <f t="shared" si="2"/>
        <v>0</v>
      </c>
      <c r="X8" s="771"/>
      <c r="Y8" s="3264" t="s">
        <v>2510</v>
      </c>
      <c r="Z8" s="3265"/>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37" t="s">
        <v>2518</v>
      </c>
      <c r="Q15" s="1807" t="str">
        <f t="shared" si="6"/>
        <v>办公集聚程度</v>
      </c>
      <c r="R15" s="773" t="s">
        <v>17</v>
      </c>
      <c r="S15" s="774">
        <f t="shared" si="0"/>
        <v>100</v>
      </c>
      <c r="T15" s="773" t="s">
        <v>17</v>
      </c>
      <c r="U15" s="774">
        <f t="shared" si="1"/>
        <v>100</v>
      </c>
      <c r="V15" s="773" t="s">
        <v>17</v>
      </c>
      <c r="W15" s="774">
        <f t="shared" si="2"/>
        <v>100</v>
      </c>
      <c r="X15" s="1810"/>
      <c r="Y15" s="3230"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38"/>
      <c r="Q22" s="1807"/>
      <c r="R22" s="773"/>
      <c r="S22" s="774"/>
      <c r="T22" s="773"/>
      <c r="U22" s="774"/>
      <c r="V22" s="773"/>
      <c r="W22" s="774"/>
      <c r="X22" s="1810"/>
      <c r="Y22" s="3231"/>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38"/>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38"/>
      <c r="Q25" s="1807" t="str">
        <f>B25</f>
        <v>毗邻道路的类型与等级</v>
      </c>
      <c r="R25" s="773" t="s">
        <v>17</v>
      </c>
      <c r="S25" s="774">
        <f>F25</f>
        <v>100</v>
      </c>
      <c r="T25" s="773" t="s">
        <v>17</v>
      </c>
      <c r="U25" s="774">
        <f>H25</f>
        <v>100</v>
      </c>
      <c r="V25" s="773" t="s">
        <v>17</v>
      </c>
      <c r="W25" s="774">
        <f>J25</f>
        <v>100</v>
      </c>
      <c r="X25" s="1810"/>
      <c r="Y25" s="3231"/>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38"/>
      <c r="Q26" s="1807"/>
      <c r="R26" s="773"/>
      <c r="S26" s="774"/>
      <c r="T26" s="773"/>
      <c r="U26" s="774"/>
      <c r="V26" s="773"/>
      <c r="W26" s="774"/>
      <c r="X26" s="1810"/>
      <c r="Y26" s="3231"/>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38"/>
      <c r="Q27" s="1807" t="str">
        <f t="shared" ref="Q27:Q47" si="11">B27</f>
        <v>楼层</v>
      </c>
      <c r="R27" s="773" t="s">
        <v>17</v>
      </c>
      <c r="S27" s="774">
        <f>F27</f>
        <v>100</v>
      </c>
      <c r="T27" s="773" t="s">
        <v>17</v>
      </c>
      <c r="U27" s="774">
        <f>H27</f>
        <v>100</v>
      </c>
      <c r="V27" s="773" t="s">
        <v>17</v>
      </c>
      <c r="W27" s="774">
        <f>J27</f>
        <v>100</v>
      </c>
      <c r="X27" s="1810"/>
      <c r="Y27" s="3231"/>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38"/>
      <c r="Q28" s="1792" t="str">
        <f t="shared" si="11"/>
        <v>朝向</v>
      </c>
      <c r="R28" s="769" t="s">
        <v>17</v>
      </c>
      <c r="S28" s="770">
        <f>F28</f>
        <v>100</v>
      </c>
      <c r="T28" s="769" t="s">
        <v>17</v>
      </c>
      <c r="U28" s="770">
        <f>H28</f>
        <v>100</v>
      </c>
      <c r="V28" s="769" t="s">
        <v>17</v>
      </c>
      <c r="W28" s="770">
        <f>J28</f>
        <v>100</v>
      </c>
      <c r="X28" s="771"/>
      <c r="Y28" s="3231"/>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38"/>
      <c r="Q29" s="1807">
        <f t="shared" si="11"/>
        <v>111</v>
      </c>
      <c r="R29" s="773" t="s">
        <v>17</v>
      </c>
      <c r="S29" s="774">
        <f t="shared" ref="S29:S47" si="12">F29</f>
        <v>100</v>
      </c>
      <c r="T29" s="773" t="s">
        <v>17</v>
      </c>
      <c r="U29" s="774">
        <f t="shared" ref="U29:U47" si="13">H29</f>
        <v>100</v>
      </c>
      <c r="V29" s="773" t="s">
        <v>17</v>
      </c>
      <c r="W29" s="774">
        <f t="shared" ref="W29:W47" si="14">J29</f>
        <v>100</v>
      </c>
      <c r="X29" s="1810"/>
      <c r="Y29" s="3231"/>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38"/>
      <c r="Q32" s="1807">
        <f t="shared" si="11"/>
        <v>111</v>
      </c>
      <c r="R32" s="773" t="s">
        <v>17</v>
      </c>
      <c r="S32" s="774">
        <f t="shared" si="12"/>
        <v>100</v>
      </c>
      <c r="T32" s="773" t="s">
        <v>17</v>
      </c>
      <c r="U32" s="774">
        <f t="shared" si="13"/>
        <v>100</v>
      </c>
      <c r="V32" s="773" t="s">
        <v>17</v>
      </c>
      <c r="W32" s="774">
        <f t="shared" si="14"/>
        <v>100</v>
      </c>
      <c r="X32" s="1810"/>
      <c r="Y32" s="3231"/>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32" t="s">
        <v>2523</v>
      </c>
      <c r="Q33" s="1807" t="str">
        <f t="shared" si="11"/>
        <v>建筑类型</v>
      </c>
      <c r="R33" s="773" t="s">
        <v>17</v>
      </c>
      <c r="S33" s="774">
        <f t="shared" si="12"/>
        <v>100</v>
      </c>
      <c r="T33" s="773" t="s">
        <v>17</v>
      </c>
      <c r="U33" s="774">
        <f t="shared" si="13"/>
        <v>100</v>
      </c>
      <c r="V33" s="773" t="s">
        <v>17</v>
      </c>
      <c r="W33" s="774">
        <f t="shared" si="14"/>
        <v>100</v>
      </c>
      <c r="X33" s="1810"/>
      <c r="Y33" s="3235"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33"/>
      <c r="Q35" s="1807" t="str">
        <f t="shared" si="11"/>
        <v>建筑结构</v>
      </c>
      <c r="R35" s="773" t="s">
        <v>17</v>
      </c>
      <c r="S35" s="774">
        <f t="shared" si="12"/>
        <v>100</v>
      </c>
      <c r="T35" s="773" t="s">
        <v>17</v>
      </c>
      <c r="U35" s="774">
        <f t="shared" si="13"/>
        <v>100</v>
      </c>
      <c r="V35" s="773" t="s">
        <v>17</v>
      </c>
      <c r="W35" s="774">
        <f t="shared" si="14"/>
        <v>100</v>
      </c>
      <c r="X35" s="1810"/>
      <c r="Y35" s="3235"/>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33"/>
      <c r="Q36" s="1807" t="str">
        <f t="shared" si="11"/>
        <v>公共部分装修</v>
      </c>
      <c r="R36" s="773" t="s">
        <v>17</v>
      </c>
      <c r="S36" s="774">
        <f t="shared" si="12"/>
        <v>100</v>
      </c>
      <c r="T36" s="773" t="s">
        <v>17</v>
      </c>
      <c r="U36" s="774">
        <f t="shared" si="13"/>
        <v>100</v>
      </c>
      <c r="V36" s="773" t="s">
        <v>17</v>
      </c>
      <c r="W36" s="774">
        <f t="shared" si="14"/>
        <v>100</v>
      </c>
      <c r="X36" s="1810"/>
      <c r="Y36" s="3235"/>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33"/>
      <c r="Q37" s="1807" t="str">
        <f t="shared" si="11"/>
        <v>成新度</v>
      </c>
      <c r="R37" s="773" t="s">
        <v>17</v>
      </c>
      <c r="S37" s="774" t="e">
        <f t="shared" si="12"/>
        <v>#N/A</v>
      </c>
      <c r="T37" s="773" t="s">
        <v>17</v>
      </c>
      <c r="U37" s="774" t="e">
        <f t="shared" si="13"/>
        <v>#N/A</v>
      </c>
      <c r="V37" s="773" t="s">
        <v>17</v>
      </c>
      <c r="W37" s="774" t="e">
        <f t="shared" si="14"/>
        <v>#N/A</v>
      </c>
      <c r="X37" s="1810"/>
      <c r="Y37" s="3235"/>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33"/>
      <c r="Q38" s="1792"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33" t="s">
        <v>2523</v>
      </c>
      <c r="Q39" s="1807" t="str">
        <f t="shared" si="11"/>
        <v>物业管理</v>
      </c>
      <c r="R39" s="773" t="s">
        <v>17</v>
      </c>
      <c r="S39" s="774">
        <f t="shared" si="12"/>
        <v>100</v>
      </c>
      <c r="T39" s="773" t="s">
        <v>17</v>
      </c>
      <c r="U39" s="774">
        <f t="shared" si="13"/>
        <v>100</v>
      </c>
      <c r="V39" s="773" t="s">
        <v>17</v>
      </c>
      <c r="W39" s="774">
        <f t="shared" si="14"/>
        <v>100</v>
      </c>
      <c r="X39" s="1810"/>
      <c r="Y39" s="3235"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33"/>
      <c r="Q40" s="1807" t="str">
        <f t="shared" si="11"/>
        <v>市政基础设施</v>
      </c>
      <c r="R40" s="773" t="s">
        <v>17</v>
      </c>
      <c r="S40" s="774">
        <f t="shared" si="12"/>
        <v>100</v>
      </c>
      <c r="T40" s="773" t="s">
        <v>17</v>
      </c>
      <c r="U40" s="774">
        <f t="shared" si="13"/>
        <v>100</v>
      </c>
      <c r="V40" s="773" t="s">
        <v>17</v>
      </c>
      <c r="W40" s="774">
        <f t="shared" si="14"/>
        <v>100</v>
      </c>
      <c r="X40" s="1810"/>
      <c r="Y40" s="3235"/>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33"/>
      <c r="Q41" s="1807" t="str">
        <f t="shared" si="11"/>
        <v>层高</v>
      </c>
      <c r="R41" s="773" t="s">
        <v>17</v>
      </c>
      <c r="S41" s="774">
        <f t="shared" si="12"/>
        <v>100</v>
      </c>
      <c r="T41" s="773" t="s">
        <v>17</v>
      </c>
      <c r="U41" s="774">
        <f t="shared" si="13"/>
        <v>100</v>
      </c>
      <c r="V41" s="773" t="s">
        <v>17</v>
      </c>
      <c r="W41" s="774">
        <f t="shared" si="14"/>
        <v>100</v>
      </c>
      <c r="X41" s="1810"/>
      <c r="Y41" s="3235"/>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33"/>
      <c r="Q43" s="1807" t="str">
        <f t="shared" si="11"/>
        <v>内部装修</v>
      </c>
      <c r="R43" s="773" t="s">
        <v>17</v>
      </c>
      <c r="S43" s="774">
        <f t="shared" si="12"/>
        <v>100</v>
      </c>
      <c r="T43" s="773" t="s">
        <v>17</v>
      </c>
      <c r="U43" s="774">
        <f t="shared" si="13"/>
        <v>100</v>
      </c>
      <c r="V43" s="773" t="s">
        <v>17</v>
      </c>
      <c r="W43" s="774">
        <f t="shared" si="14"/>
        <v>100</v>
      </c>
      <c r="X43" s="1810"/>
      <c r="Y43" s="3235"/>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33"/>
      <c r="Q44" s="1807" t="str">
        <f t="shared" si="11"/>
        <v>内部装修维护情况</v>
      </c>
      <c r="R44" s="773" t="s">
        <v>17</v>
      </c>
      <c r="S44" s="774">
        <f t="shared" si="12"/>
        <v>100</v>
      </c>
      <c r="T44" s="773" t="s">
        <v>17</v>
      </c>
      <c r="U44" s="774">
        <f t="shared" si="13"/>
        <v>100</v>
      </c>
      <c r="V44" s="773" t="s">
        <v>17</v>
      </c>
      <c r="W44" s="774">
        <f t="shared" si="14"/>
        <v>100</v>
      </c>
      <c r="X44" s="1810"/>
      <c r="Y44" s="3235"/>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33"/>
      <c r="Q45" s="1792">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33"/>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34"/>
      <c r="Q47" s="1807">
        <f t="shared" si="11"/>
        <v>111</v>
      </c>
      <c r="R47" s="773" t="s">
        <v>17</v>
      </c>
      <c r="S47" s="774">
        <f t="shared" si="12"/>
        <v>100</v>
      </c>
      <c r="T47" s="773" t="s">
        <v>17</v>
      </c>
      <c r="U47" s="774">
        <f t="shared" si="13"/>
        <v>100</v>
      </c>
      <c r="V47" s="773" t="s">
        <v>17</v>
      </c>
      <c r="W47" s="774">
        <f t="shared" si="14"/>
        <v>100</v>
      </c>
      <c r="X47" s="1810"/>
      <c r="Y47" s="3236"/>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39"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估价对象为北京市石景山区石景山路乙18号院4号楼房地产，为所有。根据，估价对象（分摊）出让国有建设用地使用权面积为22069.85平方米，建筑面积为120487.72平方米。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22069.85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1"/>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31"/>
      <c r="Q20" s="1807"/>
      <c r="R20" s="773"/>
      <c r="S20" s="774"/>
      <c r="T20" s="773"/>
      <c r="U20" s="774"/>
      <c r="V20" s="773"/>
      <c r="W20" s="774"/>
      <c r="X20" s="1810"/>
      <c r="Y20" s="3231"/>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1"/>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1"/>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31"/>
      <c r="Q24" s="1807"/>
      <c r="R24" s="773"/>
      <c r="S24" s="774"/>
      <c r="T24" s="773"/>
      <c r="U24" s="774"/>
      <c r="V24" s="773"/>
      <c r="W24" s="774"/>
      <c r="X24" s="1810"/>
      <c r="Y24" s="323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1"/>
      <c r="Q25" s="1807">
        <f>B25</f>
        <v>111</v>
      </c>
      <c r="R25" s="773" t="s">
        <v>17</v>
      </c>
      <c r="S25" s="774">
        <f>F25</f>
        <v>100</v>
      </c>
      <c r="T25" s="773" t="s">
        <v>17</v>
      </c>
      <c r="U25" s="774">
        <f>H25</f>
        <v>100</v>
      </c>
      <c r="V25" s="773" t="s">
        <v>17</v>
      </c>
      <c r="W25" s="774">
        <f>J25</f>
        <v>100</v>
      </c>
      <c r="X25" s="1810"/>
      <c r="Y25" s="323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1"/>
      <c r="Q26" s="1807">
        <f t="shared" ref="Q26:Q40" si="11">B26</f>
        <v>111</v>
      </c>
      <c r="R26" s="773" t="s">
        <v>17</v>
      </c>
      <c r="S26" s="774">
        <f>F26</f>
        <v>100</v>
      </c>
      <c r="T26" s="773" t="s">
        <v>17</v>
      </c>
      <c r="U26" s="774">
        <f>H26</f>
        <v>100</v>
      </c>
      <c r="V26" s="773" t="s">
        <v>17</v>
      </c>
      <c r="W26" s="774">
        <f>J26</f>
        <v>100</v>
      </c>
      <c r="X26" s="1810"/>
      <c r="Y26" s="3231"/>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1"/>
      <c r="Q27" s="1792">
        <f t="shared" si="11"/>
        <v>111</v>
      </c>
      <c r="R27" s="769" t="s">
        <v>17</v>
      </c>
      <c r="S27" s="770">
        <f>F27</f>
        <v>100</v>
      </c>
      <c r="T27" s="769" t="s">
        <v>17</v>
      </c>
      <c r="U27" s="770">
        <f>H27</f>
        <v>100</v>
      </c>
      <c r="V27" s="769" t="s">
        <v>17</v>
      </c>
      <c r="W27" s="770">
        <f>J27</f>
        <v>100</v>
      </c>
      <c r="X27" s="771"/>
      <c r="Y27" s="323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1"/>
      <c r="Q28" s="1807">
        <f t="shared" si="11"/>
        <v>111</v>
      </c>
      <c r="R28" s="773" t="s">
        <v>17</v>
      </c>
      <c r="S28" s="774">
        <f t="shared" ref="S28:S40" si="12">F28</f>
        <v>100</v>
      </c>
      <c r="T28" s="773" t="s">
        <v>17</v>
      </c>
      <c r="U28" s="774">
        <f t="shared" ref="U28:U40" si="13">H28</f>
        <v>100</v>
      </c>
      <c r="V28" s="773" t="s">
        <v>17</v>
      </c>
      <c r="W28" s="774">
        <f t="shared" ref="W28:W40" si="14">J28</f>
        <v>100</v>
      </c>
      <c r="X28" s="1810"/>
      <c r="Y28" s="3231"/>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35"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3" t="s">
        <v>17</v>
      </c>
      <c r="S31" s="774">
        <f t="shared" si="12"/>
        <v>100</v>
      </c>
      <c r="T31" s="773" t="s">
        <v>17</v>
      </c>
      <c r="U31" s="774">
        <f t="shared" si="13"/>
        <v>100</v>
      </c>
      <c r="V31" s="773" t="s">
        <v>17</v>
      </c>
      <c r="W31" s="774">
        <f t="shared" si="14"/>
        <v>100</v>
      </c>
      <c r="X31" s="1810"/>
      <c r="Y31" s="3235"/>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3" t="s">
        <v>17</v>
      </c>
      <c r="S32" s="774">
        <f t="shared" si="12"/>
        <v>100</v>
      </c>
      <c r="T32" s="773" t="s">
        <v>17</v>
      </c>
      <c r="U32" s="774">
        <f t="shared" si="13"/>
        <v>100</v>
      </c>
      <c r="V32" s="773" t="s">
        <v>17</v>
      </c>
      <c r="W32" s="774">
        <f t="shared" si="14"/>
        <v>100</v>
      </c>
      <c r="X32" s="1810"/>
      <c r="Y32" s="3235"/>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3" t="s">
        <v>17</v>
      </c>
      <c r="S33" s="774" t="e">
        <f t="shared" si="12"/>
        <v>#N/A</v>
      </c>
      <c r="T33" s="773" t="s">
        <v>17</v>
      </c>
      <c r="U33" s="774" t="e">
        <f t="shared" si="13"/>
        <v>#N/A</v>
      </c>
      <c r="V33" s="773" t="s">
        <v>17</v>
      </c>
      <c r="W33" s="774"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2523</v>
      </c>
      <c r="Q35" s="1807" t="str">
        <f t="shared" si="11"/>
        <v>市政基础设施</v>
      </c>
      <c r="R35" s="773" t="s">
        <v>17</v>
      </c>
      <c r="S35" s="774">
        <f t="shared" si="12"/>
        <v>100</v>
      </c>
      <c r="T35" s="773" t="s">
        <v>17</v>
      </c>
      <c r="U35" s="774">
        <f t="shared" si="13"/>
        <v>100</v>
      </c>
      <c r="V35" s="773" t="s">
        <v>17</v>
      </c>
      <c r="W35" s="774">
        <f t="shared" si="14"/>
        <v>100</v>
      </c>
      <c r="X35" s="1810"/>
      <c r="Y35" s="3235"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3" t="s">
        <v>17</v>
      </c>
      <c r="S36" s="774">
        <f t="shared" si="12"/>
        <v>100</v>
      </c>
      <c r="T36" s="773" t="s">
        <v>17</v>
      </c>
      <c r="U36" s="774">
        <f t="shared" si="13"/>
        <v>100</v>
      </c>
      <c r="V36" s="773" t="s">
        <v>17</v>
      </c>
      <c r="W36" s="774">
        <f t="shared" si="14"/>
        <v>100</v>
      </c>
      <c r="X36" s="1810"/>
      <c r="Y36" s="3235"/>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3" t="s">
        <v>17</v>
      </c>
      <c r="S37" s="774">
        <f t="shared" si="12"/>
        <v>100</v>
      </c>
      <c r="T37" s="773" t="s">
        <v>17</v>
      </c>
      <c r="U37" s="774">
        <f t="shared" si="13"/>
        <v>100</v>
      </c>
      <c r="V37" s="773" t="s">
        <v>17</v>
      </c>
      <c r="W37" s="774">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3" t="s">
        <v>17</v>
      </c>
      <c r="S39" s="774">
        <f t="shared" si="12"/>
        <v>100</v>
      </c>
      <c r="T39" s="773" t="s">
        <v>17</v>
      </c>
      <c r="U39" s="774">
        <f t="shared" si="13"/>
        <v>100</v>
      </c>
      <c r="V39" s="773" t="s">
        <v>17</v>
      </c>
      <c r="W39" s="774">
        <f t="shared" si="14"/>
        <v>100</v>
      </c>
      <c r="X39" s="1810"/>
      <c r="Y39" s="3235"/>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36"/>
      <c r="Q40" s="1807">
        <f t="shared" si="11"/>
        <v>111</v>
      </c>
      <c r="R40" s="773" t="s">
        <v>17</v>
      </c>
      <c r="S40" s="774">
        <f t="shared" si="12"/>
        <v>100</v>
      </c>
      <c r="T40" s="773" t="s">
        <v>17</v>
      </c>
      <c r="U40" s="774">
        <f t="shared" si="13"/>
        <v>100</v>
      </c>
      <c r="V40" s="773" t="s">
        <v>17</v>
      </c>
      <c r="W40" s="774">
        <f t="shared" si="14"/>
        <v>100</v>
      </c>
      <c r="X40" s="1810"/>
      <c r="Y40" s="3236"/>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31"/>
      <c r="Q15" s="1807"/>
      <c r="R15" s="773"/>
      <c r="S15" s="774"/>
      <c r="T15" s="773"/>
      <c r="U15" s="774"/>
      <c r="V15" s="773"/>
      <c r="W15" s="774"/>
      <c r="X15" s="1810"/>
      <c r="Y15" s="3231"/>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31"/>
      <c r="Q17" s="1807"/>
      <c r="R17" s="773"/>
      <c r="S17" s="774"/>
      <c r="T17" s="773"/>
      <c r="U17" s="774"/>
      <c r="V17" s="773"/>
      <c r="W17" s="774"/>
      <c r="X17" s="1810"/>
      <c r="Y17" s="3231"/>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31"/>
      <c r="Q19" s="1807"/>
      <c r="R19" s="773"/>
      <c r="S19" s="774"/>
      <c r="T19" s="773"/>
      <c r="U19" s="774"/>
      <c r="V19" s="773"/>
      <c r="W19" s="774"/>
      <c r="X19" s="1810"/>
      <c r="Y19" s="3231"/>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31"/>
      <c r="Q21" s="1807"/>
      <c r="R21" s="773"/>
      <c r="S21" s="774"/>
      <c r="T21" s="773"/>
      <c r="U21" s="774"/>
      <c r="V21" s="773"/>
      <c r="W21" s="774"/>
      <c r="X21" s="1810"/>
      <c r="Y21" s="3231"/>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1"/>
      <c r="Q24" s="1807">
        <f t="shared" ref="Q24:Q36"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35"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3" t="s">
        <v>17</v>
      </c>
      <c r="S28" s="774">
        <f t="shared" si="12"/>
        <v>100</v>
      </c>
      <c r="T28" s="773" t="s">
        <v>17</v>
      </c>
      <c r="U28" s="774">
        <f t="shared" si="13"/>
        <v>100</v>
      </c>
      <c r="V28" s="773" t="s">
        <v>17</v>
      </c>
      <c r="W28" s="774">
        <f t="shared" si="14"/>
        <v>100</v>
      </c>
      <c r="X28" s="1810"/>
      <c r="Y28" s="3235"/>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3" t="s">
        <v>17</v>
      </c>
      <c r="S29" s="774" t="e">
        <f t="shared" si="12"/>
        <v>#N/A</v>
      </c>
      <c r="T29" s="773" t="s">
        <v>17</v>
      </c>
      <c r="U29" s="774" t="e">
        <f t="shared" si="13"/>
        <v>#N/A</v>
      </c>
      <c r="V29" s="773" t="s">
        <v>17</v>
      </c>
      <c r="W29" s="774" t="e">
        <f t="shared" si="14"/>
        <v>#N/A</v>
      </c>
      <c r="X29" s="1810"/>
      <c r="Y29" s="3235"/>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35"/>
      <c r="Q30" s="1807" t="str">
        <f t="shared" si="11"/>
        <v>物业等级</v>
      </c>
      <c r="R30" s="773" t="s">
        <v>17</v>
      </c>
      <c r="S30" s="774">
        <f t="shared" si="12"/>
        <v>100</v>
      </c>
      <c r="T30" s="773" t="s">
        <v>17</v>
      </c>
      <c r="U30" s="774">
        <f t="shared" si="13"/>
        <v>100</v>
      </c>
      <c r="V30" s="773" t="s">
        <v>17</v>
      </c>
      <c r="W30" s="774">
        <f t="shared" si="14"/>
        <v>100</v>
      </c>
      <c r="X30" s="1810"/>
      <c r="Y30" s="3235"/>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2523</v>
      </c>
      <c r="Q32" s="1807" t="str">
        <f t="shared" si="11"/>
        <v>车位类型</v>
      </c>
      <c r="R32" s="773" t="s">
        <v>17</v>
      </c>
      <c r="S32" s="774">
        <f t="shared" si="12"/>
        <v>100</v>
      </c>
      <c r="T32" s="773" t="s">
        <v>17</v>
      </c>
      <c r="U32" s="774">
        <f t="shared" si="13"/>
        <v>100</v>
      </c>
      <c r="V32" s="773" t="s">
        <v>17</v>
      </c>
      <c r="W32" s="774">
        <f t="shared" si="14"/>
        <v>100</v>
      </c>
      <c r="X32" s="1810"/>
      <c r="Y32" s="3235"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3" t="s">
        <v>17</v>
      </c>
      <c r="S33" s="774">
        <f t="shared" si="12"/>
        <v>100</v>
      </c>
      <c r="T33" s="773" t="s">
        <v>17</v>
      </c>
      <c r="U33" s="774">
        <f t="shared" si="13"/>
        <v>100</v>
      </c>
      <c r="V33" s="773" t="s">
        <v>17</v>
      </c>
      <c r="W33" s="774">
        <f t="shared" si="14"/>
        <v>100</v>
      </c>
      <c r="X33" s="1810"/>
      <c r="Y33" s="323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3" t="s">
        <v>17</v>
      </c>
      <c r="S36" s="774">
        <f t="shared" si="12"/>
        <v>100</v>
      </c>
      <c r="T36" s="773" t="s">
        <v>17</v>
      </c>
      <c r="U36" s="774">
        <f t="shared" si="13"/>
        <v>100</v>
      </c>
      <c r="V36" s="773" t="s">
        <v>17</v>
      </c>
      <c r="W36" s="774">
        <f t="shared" si="14"/>
        <v>100</v>
      </c>
      <c r="X36" s="1810"/>
      <c r="Y36" s="3235"/>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1"/>
      <c r="Q15" s="1807"/>
      <c r="R15" s="773"/>
      <c r="S15" s="774"/>
      <c r="T15" s="773"/>
      <c r="U15" s="774"/>
      <c r="V15" s="773"/>
      <c r="W15" s="774"/>
      <c r="X15" s="1810"/>
      <c r="Y15" s="3231"/>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31"/>
      <c r="Q17" s="1807"/>
      <c r="R17" s="773"/>
      <c r="S17" s="774"/>
      <c r="T17" s="773"/>
      <c r="U17" s="774"/>
      <c r="V17" s="773"/>
      <c r="W17" s="774"/>
      <c r="X17" s="1810"/>
      <c r="Y17" s="3231"/>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31"/>
      <c r="Q19" s="1807"/>
      <c r="R19" s="773"/>
      <c r="S19" s="774"/>
      <c r="T19" s="773"/>
      <c r="U19" s="774"/>
      <c r="V19" s="773"/>
      <c r="W19" s="774"/>
      <c r="X19" s="1810"/>
      <c r="Y19" s="3231"/>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1"/>
      <c r="Q21" s="1807"/>
      <c r="R21" s="773"/>
      <c r="S21" s="774"/>
      <c r="T21" s="773"/>
      <c r="U21" s="774"/>
      <c r="V21" s="773"/>
      <c r="W21" s="774"/>
      <c r="X21" s="1810"/>
      <c r="Y21" s="3231"/>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1"/>
      <c r="Q24" s="1807">
        <f t="shared" ref="Q24:Q34"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35"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3" t="s">
        <v>17</v>
      </c>
      <c r="S28" s="774">
        <f t="shared" si="12"/>
        <v>100</v>
      </c>
      <c r="T28" s="773" t="s">
        <v>17</v>
      </c>
      <c r="U28" s="774">
        <f t="shared" si="13"/>
        <v>100</v>
      </c>
      <c r="V28" s="773" t="s">
        <v>17</v>
      </c>
      <c r="W28" s="774">
        <f t="shared" si="14"/>
        <v>100</v>
      </c>
      <c r="X28" s="1810"/>
      <c r="Y28" s="3235"/>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35"/>
      <c r="Q29" s="1807" t="str">
        <f t="shared" si="11"/>
        <v>有无电梯</v>
      </c>
      <c r="R29" s="773" t="s">
        <v>17</v>
      </c>
      <c r="S29" s="774">
        <f t="shared" si="12"/>
        <v>100</v>
      </c>
      <c r="T29" s="773" t="s">
        <v>17</v>
      </c>
      <c r="U29" s="774">
        <f t="shared" si="13"/>
        <v>100</v>
      </c>
      <c r="V29" s="773" t="s">
        <v>17</v>
      </c>
      <c r="W29" s="774">
        <f t="shared" si="14"/>
        <v>100</v>
      </c>
      <c r="X29" s="1810"/>
      <c r="Y29" s="3235"/>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3" t="s">
        <v>17</v>
      </c>
      <c r="S30" s="774" t="e">
        <f t="shared" si="12"/>
        <v>#N/A</v>
      </c>
      <c r="T30" s="773" t="s">
        <v>17</v>
      </c>
      <c r="U30" s="774" t="e">
        <f t="shared" si="13"/>
        <v>#N/A</v>
      </c>
      <c r="V30" s="773" t="s">
        <v>17</v>
      </c>
      <c r="W30" s="774"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35"/>
      <c r="Q31" s="1792"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2523</v>
      </c>
      <c r="Q32" s="1807">
        <f t="shared" si="11"/>
        <v>111</v>
      </c>
      <c r="R32" s="773" t="s">
        <v>17</v>
      </c>
      <c r="S32" s="774">
        <f t="shared" si="12"/>
        <v>100</v>
      </c>
      <c r="T32" s="773" t="s">
        <v>17</v>
      </c>
      <c r="U32" s="774">
        <f t="shared" si="13"/>
        <v>100</v>
      </c>
      <c r="V32" s="773" t="s">
        <v>17</v>
      </c>
      <c r="W32" s="774">
        <f t="shared" si="14"/>
        <v>100</v>
      </c>
      <c r="X32" s="1810"/>
      <c r="Y32" s="3235"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3" t="s">
        <v>17</v>
      </c>
      <c r="S33" s="774">
        <f t="shared" si="12"/>
        <v>100</v>
      </c>
      <c r="T33" s="773" t="s">
        <v>17</v>
      </c>
      <c r="U33" s="774">
        <f t="shared" si="13"/>
        <v>100</v>
      </c>
      <c r="V33" s="773" t="s">
        <v>17</v>
      </c>
      <c r="W33" s="774">
        <f t="shared" si="14"/>
        <v>100</v>
      </c>
      <c r="X33" s="1810"/>
      <c r="Y33" s="3235"/>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30"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30"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28"/>
      <c r="Q12" s="1792"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30" t="s">
        <v>2518</v>
      </c>
      <c r="Q15" s="1807" t="str">
        <f t="shared" si="6"/>
        <v>居住社区成熟度</v>
      </c>
      <c r="R15" s="773" t="s">
        <v>17</v>
      </c>
      <c r="S15" s="774">
        <f t="shared" si="0"/>
        <v>100</v>
      </c>
      <c r="T15" s="773" t="s">
        <v>17</v>
      </c>
      <c r="U15" s="774">
        <f t="shared" si="1"/>
        <v>100</v>
      </c>
      <c r="V15" s="773" t="s">
        <v>17</v>
      </c>
      <c r="W15" s="774">
        <f t="shared" si="2"/>
        <v>100</v>
      </c>
      <c r="X15" s="1810"/>
      <c r="Y15" s="3230"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31"/>
      <c r="Q17" s="1807" t="str">
        <f>B17</f>
        <v>商业繁华度</v>
      </c>
      <c r="R17" s="773" t="s">
        <v>17</v>
      </c>
      <c r="S17" s="774">
        <f>F17</f>
        <v>100</v>
      </c>
      <c r="T17" s="773" t="s">
        <v>17</v>
      </c>
      <c r="U17" s="774">
        <f>H17</f>
        <v>100</v>
      </c>
      <c r="V17" s="773" t="s">
        <v>17</v>
      </c>
      <c r="W17" s="774">
        <f>J17</f>
        <v>100</v>
      </c>
      <c r="X17" s="1810"/>
      <c r="Y17" s="3231"/>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31"/>
      <c r="Q19" s="1807" t="str">
        <f>B19</f>
        <v>办公集聚程度</v>
      </c>
      <c r="R19" s="773" t="s">
        <v>17</v>
      </c>
      <c r="S19" s="774">
        <f>F19</f>
        <v>100</v>
      </c>
      <c r="T19" s="773" t="s">
        <v>17</v>
      </c>
      <c r="U19" s="774">
        <f>H19</f>
        <v>100</v>
      </c>
      <c r="V19" s="773" t="s">
        <v>17</v>
      </c>
      <c r="W19" s="774">
        <f>J19</f>
        <v>100</v>
      </c>
      <c r="X19" s="1810"/>
      <c r="Y19" s="3231"/>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31"/>
      <c r="Q20" s="1807"/>
      <c r="R20" s="773"/>
      <c r="S20" s="774"/>
      <c r="T20" s="773"/>
      <c r="U20" s="774"/>
      <c r="V20" s="773"/>
      <c r="W20" s="774"/>
      <c r="X20" s="1810"/>
      <c r="Y20" s="3231"/>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31"/>
      <c r="Q21" s="1807" t="str">
        <f>B21</f>
        <v>交通便捷度</v>
      </c>
      <c r="R21" s="773" t="s">
        <v>17</v>
      </c>
      <c r="S21" s="774">
        <f>F21</f>
        <v>100</v>
      </c>
      <c r="T21" s="773" t="s">
        <v>17</v>
      </c>
      <c r="U21" s="774">
        <f>H21</f>
        <v>100</v>
      </c>
      <c r="V21" s="773" t="s">
        <v>17</v>
      </c>
      <c r="W21" s="774">
        <f>J21</f>
        <v>100</v>
      </c>
      <c r="X21" s="1810"/>
      <c r="Y21" s="3231"/>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31"/>
      <c r="Q23" s="1807" t="str">
        <f t="shared" ref="Q23:Q37" si="8">B23</f>
        <v>区域土地利用方向</v>
      </c>
      <c r="R23" s="773" t="s">
        <v>17</v>
      </c>
      <c r="S23" s="774">
        <f>F23</f>
        <v>100</v>
      </c>
      <c r="T23" s="773" t="s">
        <v>17</v>
      </c>
      <c r="U23" s="774">
        <f>H23</f>
        <v>100</v>
      </c>
      <c r="V23" s="773" t="s">
        <v>17</v>
      </c>
      <c r="W23" s="774">
        <f>J23</f>
        <v>100</v>
      </c>
      <c r="X23" s="1810"/>
      <c r="Y23" s="3231"/>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31"/>
      <c r="Q24" s="1807"/>
      <c r="R24" s="773"/>
      <c r="S24" s="774"/>
      <c r="T24" s="773"/>
      <c r="U24" s="774"/>
      <c r="V24" s="773"/>
      <c r="W24" s="774"/>
      <c r="X24" s="1810"/>
      <c r="Y24" s="3231"/>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31"/>
      <c r="Q25" s="1807" t="str">
        <f t="shared" si="8"/>
        <v>自然及人文环境状况</v>
      </c>
      <c r="R25" s="773" t="s">
        <v>17</v>
      </c>
      <c r="S25" s="774">
        <f>F25</f>
        <v>100</v>
      </c>
      <c r="T25" s="773" t="s">
        <v>17</v>
      </c>
      <c r="U25" s="774">
        <f>H25</f>
        <v>100</v>
      </c>
      <c r="V25" s="773" t="s">
        <v>17</v>
      </c>
      <c r="W25" s="774">
        <f>J25</f>
        <v>100</v>
      </c>
      <c r="X25" s="1810"/>
      <c r="Y25" s="3231"/>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31"/>
      <c r="Q26" s="1807"/>
      <c r="R26" s="773"/>
      <c r="S26" s="774"/>
      <c r="T26" s="773"/>
      <c r="U26" s="774"/>
      <c r="V26" s="773"/>
      <c r="W26" s="774"/>
      <c r="X26" s="1810"/>
      <c r="Y26" s="3231"/>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31"/>
      <c r="Q27" s="1792" t="str">
        <f t="shared" si="8"/>
        <v>公共配套设施</v>
      </c>
      <c r="R27" s="769" t="s">
        <v>17</v>
      </c>
      <c r="S27" s="770">
        <f>F27</f>
        <v>100</v>
      </c>
      <c r="T27" s="769" t="s">
        <v>17</v>
      </c>
      <c r="U27" s="770">
        <f>H27</f>
        <v>100</v>
      </c>
      <c r="V27" s="769" t="s">
        <v>17</v>
      </c>
      <c r="W27" s="770">
        <f>J27</f>
        <v>100</v>
      </c>
      <c r="X27" s="771"/>
      <c r="Y27" s="3231"/>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31"/>
      <c r="Q28" s="1792"/>
      <c r="R28" s="769"/>
      <c r="S28" s="770"/>
      <c r="T28" s="769"/>
      <c r="U28" s="770"/>
      <c r="V28" s="769"/>
      <c r="W28" s="770"/>
      <c r="X28" s="771"/>
      <c r="Y28" s="3231"/>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31"/>
      <c r="Q29" s="1792"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31"/>
      <c r="Q30" s="1792"/>
      <c r="R30" s="769"/>
      <c r="S30" s="770"/>
      <c r="T30" s="769"/>
      <c r="U30" s="770"/>
      <c r="V30" s="769"/>
      <c r="W30" s="770"/>
      <c r="X30" s="771"/>
      <c r="Y30" s="3231"/>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31"/>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31"/>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31"/>
      <c r="Q32" s="1807" t="str">
        <f t="shared" si="8"/>
        <v>毗邻道路的类型与等级</v>
      </c>
      <c r="R32" s="773" t="s">
        <v>17</v>
      </c>
      <c r="S32" s="774">
        <f t="shared" si="10"/>
        <v>100</v>
      </c>
      <c r="T32" s="773" t="s">
        <v>17</v>
      </c>
      <c r="U32" s="774">
        <f t="shared" si="11"/>
        <v>100</v>
      </c>
      <c r="V32" s="773" t="s">
        <v>17</v>
      </c>
      <c r="W32" s="774">
        <f t="shared" si="12"/>
        <v>100</v>
      </c>
      <c r="X32" s="1810"/>
      <c r="Y32" s="3231"/>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31"/>
      <c r="Q33" s="1807"/>
      <c r="R33" s="773"/>
      <c r="S33" s="774"/>
      <c r="T33" s="773"/>
      <c r="U33" s="774"/>
      <c r="V33" s="773"/>
      <c r="W33" s="774"/>
      <c r="X33" s="1810"/>
      <c r="Y33" s="3231"/>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31"/>
      <c r="Q34" s="1807" t="str">
        <f t="shared" si="8"/>
        <v>土地级别</v>
      </c>
      <c r="R34" s="773" t="s">
        <v>17</v>
      </c>
      <c r="S34" s="774">
        <f t="shared" si="10"/>
        <v>100</v>
      </c>
      <c r="T34" s="773" t="s">
        <v>17</v>
      </c>
      <c r="U34" s="774">
        <f t="shared" si="11"/>
        <v>100</v>
      </c>
      <c r="V34" s="773" t="s">
        <v>17</v>
      </c>
      <c r="W34" s="774">
        <f t="shared" si="12"/>
        <v>100</v>
      </c>
      <c r="X34" s="1810"/>
      <c r="Y34" s="3231"/>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31"/>
      <c r="Q35" s="1807">
        <f t="shared" si="8"/>
        <v>111</v>
      </c>
      <c r="R35" s="773" t="s">
        <v>17</v>
      </c>
      <c r="S35" s="774">
        <f t="shared" si="10"/>
        <v>100</v>
      </c>
      <c r="T35" s="773" t="s">
        <v>17</v>
      </c>
      <c r="U35" s="774">
        <f t="shared" si="11"/>
        <v>100</v>
      </c>
      <c r="V35" s="773" t="s">
        <v>17</v>
      </c>
      <c r="W35" s="774">
        <f t="shared" si="12"/>
        <v>100</v>
      </c>
      <c r="X35" s="1810"/>
      <c r="Y35" s="3231"/>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35"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35"/>
      <c r="Q37" s="1807">
        <f t="shared" si="8"/>
        <v>111</v>
      </c>
      <c r="R37" s="776" t="s">
        <v>17</v>
      </c>
      <c r="S37" s="777">
        <f t="shared" si="10"/>
        <v>100</v>
      </c>
      <c r="T37" s="776" t="s">
        <v>17</v>
      </c>
      <c r="U37" s="777">
        <f t="shared" si="11"/>
        <v>100</v>
      </c>
      <c r="V37" s="776" t="s">
        <v>17</v>
      </c>
      <c r="W37" s="777">
        <f t="shared" si="12"/>
        <v>100</v>
      </c>
      <c r="X37" s="778"/>
      <c r="Y37" s="3235"/>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3" t="s">
        <v>17</v>
      </c>
      <c r="S38" s="774" t="e">
        <f t="shared" si="10"/>
        <v>#N/A</v>
      </c>
      <c r="T38" s="773" t="s">
        <v>17</v>
      </c>
      <c r="U38" s="774" t="e">
        <f t="shared" si="11"/>
        <v>#N/A</v>
      </c>
      <c r="V38" s="773" t="s">
        <v>17</v>
      </c>
      <c r="W38" s="774" t="e">
        <f t="shared" si="12"/>
        <v>#N/A</v>
      </c>
      <c r="X38" s="1810"/>
      <c r="Y38" s="3235"/>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35"/>
      <c r="Q39" s="1807" t="str">
        <f t="shared" ref="Q39:Q45" si="14">B39</f>
        <v>宗地形状</v>
      </c>
      <c r="R39" s="773" t="s">
        <v>17</v>
      </c>
      <c r="S39" s="774">
        <f t="shared" si="10"/>
        <v>100</v>
      </c>
      <c r="T39" s="773" t="s">
        <v>17</v>
      </c>
      <c r="U39" s="774">
        <f t="shared" si="11"/>
        <v>100</v>
      </c>
      <c r="V39" s="773" t="s">
        <v>17</v>
      </c>
      <c r="W39" s="774">
        <f t="shared" si="12"/>
        <v>100</v>
      </c>
      <c r="X39" s="1810"/>
      <c r="Y39" s="3235"/>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35"/>
      <c r="Q40" s="1807" t="str">
        <f t="shared" si="14"/>
        <v>临街宽度及深度</v>
      </c>
      <c r="R40" s="773" t="s">
        <v>17</v>
      </c>
      <c r="S40" s="774">
        <f t="shared" si="10"/>
        <v>100</v>
      </c>
      <c r="T40" s="773" t="s">
        <v>17</v>
      </c>
      <c r="U40" s="774">
        <f t="shared" si="11"/>
        <v>100</v>
      </c>
      <c r="V40" s="773" t="s">
        <v>17</v>
      </c>
      <c r="W40" s="774">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35"/>
      <c r="Q41" s="1807"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35" t="s">
        <v>2523</v>
      </c>
      <c r="Q42" s="1807" t="str">
        <f t="shared" si="14"/>
        <v>工程地质条件</v>
      </c>
      <c r="R42" s="773" t="s">
        <v>17</v>
      </c>
      <c r="S42" s="774">
        <f t="shared" si="10"/>
        <v>100</v>
      </c>
      <c r="T42" s="773" t="s">
        <v>17</v>
      </c>
      <c r="U42" s="774">
        <f t="shared" si="11"/>
        <v>100</v>
      </c>
      <c r="V42" s="773" t="s">
        <v>17</v>
      </c>
      <c r="W42" s="774">
        <f t="shared" si="12"/>
        <v>100</v>
      </c>
      <c r="X42" s="1810"/>
      <c r="Y42" s="3235"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35"/>
      <c r="Q43" s="1807">
        <f t="shared" si="14"/>
        <v>111</v>
      </c>
      <c r="R43" s="773" t="s">
        <v>17</v>
      </c>
      <c r="S43" s="774">
        <f t="shared" si="10"/>
        <v>100</v>
      </c>
      <c r="T43" s="773" t="s">
        <v>17</v>
      </c>
      <c r="U43" s="774">
        <f t="shared" si="11"/>
        <v>100</v>
      </c>
      <c r="V43" s="773" t="s">
        <v>17</v>
      </c>
      <c r="W43" s="774">
        <f t="shared" si="12"/>
        <v>100</v>
      </c>
      <c r="X43" s="1810"/>
      <c r="Y43" s="323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35"/>
      <c r="Q44" s="1807">
        <f t="shared" si="14"/>
        <v>111</v>
      </c>
      <c r="R44" s="773" t="s">
        <v>17</v>
      </c>
      <c r="S44" s="774">
        <f t="shared" si="10"/>
        <v>100</v>
      </c>
      <c r="T44" s="773" t="s">
        <v>17</v>
      </c>
      <c r="U44" s="774">
        <f t="shared" si="11"/>
        <v>100</v>
      </c>
      <c r="V44" s="773" t="s">
        <v>17</v>
      </c>
      <c r="W44" s="774">
        <f t="shared" si="12"/>
        <v>100</v>
      </c>
      <c r="X44" s="1810"/>
      <c r="Y44" s="3235"/>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35"/>
      <c r="Q45" s="1807">
        <f t="shared" si="14"/>
        <v>111</v>
      </c>
      <c r="R45" s="776" t="s">
        <v>17</v>
      </c>
      <c r="S45" s="777">
        <f t="shared" si="10"/>
        <v>100</v>
      </c>
      <c r="T45" s="776" t="s">
        <v>17</v>
      </c>
      <c r="U45" s="777">
        <f t="shared" si="11"/>
        <v>100</v>
      </c>
      <c r="V45" s="776" t="s">
        <v>17</v>
      </c>
      <c r="W45" s="777">
        <f t="shared" si="12"/>
        <v>100</v>
      </c>
      <c r="X45" s="778"/>
      <c r="Y45" s="3235"/>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28" t="str">
        <f>A46</f>
        <v>成交单价</v>
      </c>
      <c r="Q46" s="3228"/>
      <c r="R46" s="3259">
        <f>E46</f>
        <v>0</v>
      </c>
      <c r="S46" s="3259"/>
      <c r="T46" s="3259">
        <f>G46</f>
        <v>0</v>
      </c>
      <c r="U46" s="3259"/>
      <c r="V46" s="3259">
        <f>I46</f>
        <v>0</v>
      </c>
      <c r="W46" s="3259"/>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28" t="str">
        <f>A47</f>
        <v>比较价值（元/平方米）</v>
      </c>
      <c r="Q47" s="3228"/>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25" t="str">
        <f>A48</f>
        <v>估价对象XX用房的比较价值（楼面单价，元/平方米）</v>
      </c>
      <c r="Q48" s="3226"/>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39"/>
      <c r="H56" s="3228"/>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31"/>
      <c r="Q19" s="1807" t="str">
        <f t="shared" ref="Q19:Q33" si="8">B19</f>
        <v>区域土地利用方向</v>
      </c>
      <c r="R19" s="773" t="s">
        <v>17</v>
      </c>
      <c r="S19" s="774">
        <f>F19</f>
        <v>100</v>
      </c>
      <c r="T19" s="773" t="s">
        <v>17</v>
      </c>
      <c r="U19" s="774">
        <f>H19</f>
        <v>100</v>
      </c>
      <c r="V19" s="773" t="s">
        <v>17</v>
      </c>
      <c r="W19" s="774">
        <f>J19</f>
        <v>100</v>
      </c>
      <c r="X19" s="1810"/>
      <c r="Y19" s="3231"/>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31"/>
      <c r="Q20" s="1807"/>
      <c r="R20" s="773"/>
      <c r="S20" s="774"/>
      <c r="T20" s="773"/>
      <c r="U20" s="774"/>
      <c r="V20" s="773"/>
      <c r="W20" s="774"/>
      <c r="X20" s="1810"/>
      <c r="Y20" s="3231"/>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31"/>
      <c r="Q21" s="1807" t="str">
        <f t="shared" si="8"/>
        <v>环境状况</v>
      </c>
      <c r="R21" s="773" t="s">
        <v>17</v>
      </c>
      <c r="S21" s="774">
        <f>F21</f>
        <v>100</v>
      </c>
      <c r="T21" s="773" t="s">
        <v>17</v>
      </c>
      <c r="U21" s="774">
        <f>H21</f>
        <v>100</v>
      </c>
      <c r="V21" s="773" t="s">
        <v>17</v>
      </c>
      <c r="W21" s="774">
        <f>J21</f>
        <v>100</v>
      </c>
      <c r="X21" s="1810"/>
      <c r="Y21" s="3231"/>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31"/>
      <c r="Q23" s="1792" t="str">
        <f t="shared" si="8"/>
        <v>公共配套设施</v>
      </c>
      <c r="R23" s="769" t="s">
        <v>17</v>
      </c>
      <c r="S23" s="770">
        <f>F23</f>
        <v>100</v>
      </c>
      <c r="T23" s="769" t="s">
        <v>17</v>
      </c>
      <c r="U23" s="770">
        <f>H23</f>
        <v>100</v>
      </c>
      <c r="V23" s="769" t="s">
        <v>17</v>
      </c>
      <c r="W23" s="770">
        <f>J23</f>
        <v>100</v>
      </c>
      <c r="X23" s="771"/>
      <c r="Y23" s="3231"/>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31"/>
      <c r="Q24" s="1792"/>
      <c r="R24" s="769"/>
      <c r="S24" s="770"/>
      <c r="T24" s="769"/>
      <c r="U24" s="770"/>
      <c r="V24" s="769"/>
      <c r="W24" s="770"/>
      <c r="X24" s="771"/>
      <c r="Y24" s="3231"/>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31"/>
      <c r="Q25" s="1792"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31"/>
      <c r="Q26" s="1792"/>
      <c r="R26" s="769"/>
      <c r="S26" s="770"/>
      <c r="T26" s="769"/>
      <c r="U26" s="770"/>
      <c r="V26" s="769"/>
      <c r="W26" s="770"/>
      <c r="X26" s="771"/>
      <c r="Y26" s="3231"/>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3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31"/>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31"/>
      <c r="Q28" s="1807" t="str">
        <f t="shared" si="8"/>
        <v>毗邻道路的类型与等级</v>
      </c>
      <c r="R28" s="773" t="s">
        <v>17</v>
      </c>
      <c r="S28" s="774">
        <f t="shared" si="10"/>
        <v>100</v>
      </c>
      <c r="T28" s="773" t="s">
        <v>17</v>
      </c>
      <c r="U28" s="774">
        <f t="shared" si="11"/>
        <v>100</v>
      </c>
      <c r="V28" s="773" t="s">
        <v>17</v>
      </c>
      <c r="W28" s="774">
        <f t="shared" si="12"/>
        <v>100</v>
      </c>
      <c r="X28" s="1810"/>
      <c r="Y28" s="3231"/>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31"/>
      <c r="Q29" s="1807"/>
      <c r="R29" s="773"/>
      <c r="S29" s="774"/>
      <c r="T29" s="773"/>
      <c r="U29" s="774"/>
      <c r="V29" s="773"/>
      <c r="W29" s="774"/>
      <c r="X29" s="1810"/>
      <c r="Y29" s="3231"/>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31"/>
      <c r="Q30" s="1807" t="str">
        <f t="shared" si="8"/>
        <v>土地级别</v>
      </c>
      <c r="R30" s="773" t="s">
        <v>17</v>
      </c>
      <c r="S30" s="774">
        <f t="shared" si="10"/>
        <v>100</v>
      </c>
      <c r="T30" s="773" t="s">
        <v>17</v>
      </c>
      <c r="U30" s="774">
        <f t="shared" si="11"/>
        <v>100</v>
      </c>
      <c r="V30" s="773" t="s">
        <v>17</v>
      </c>
      <c r="W30" s="774">
        <f t="shared" si="12"/>
        <v>100</v>
      </c>
      <c r="X30" s="1810"/>
      <c r="Y30" s="3231"/>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1"/>
      <c r="Q31" s="1807">
        <f t="shared" si="8"/>
        <v>111</v>
      </c>
      <c r="R31" s="773" t="s">
        <v>17</v>
      </c>
      <c r="S31" s="774">
        <f t="shared" si="10"/>
        <v>100</v>
      </c>
      <c r="T31" s="773" t="s">
        <v>17</v>
      </c>
      <c r="U31" s="774">
        <f t="shared" si="11"/>
        <v>100</v>
      </c>
      <c r="V31" s="773" t="s">
        <v>17</v>
      </c>
      <c r="W31" s="774">
        <f t="shared" si="12"/>
        <v>100</v>
      </c>
      <c r="X31" s="1810"/>
      <c r="Y31" s="3231"/>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35"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35"/>
      <c r="Q33" s="1807">
        <f t="shared" si="8"/>
        <v>111</v>
      </c>
      <c r="R33" s="776" t="s">
        <v>17</v>
      </c>
      <c r="S33" s="777">
        <f t="shared" si="10"/>
        <v>100</v>
      </c>
      <c r="T33" s="776" t="s">
        <v>17</v>
      </c>
      <c r="U33" s="777">
        <f t="shared" si="11"/>
        <v>100</v>
      </c>
      <c r="V33" s="776" t="s">
        <v>17</v>
      </c>
      <c r="W33" s="777">
        <f t="shared" si="12"/>
        <v>100</v>
      </c>
      <c r="X33" s="778"/>
      <c r="Y33" s="3235"/>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3" t="s">
        <v>17</v>
      </c>
      <c r="S34" s="774" t="e">
        <f t="shared" si="10"/>
        <v>#N/A</v>
      </c>
      <c r="T34" s="773" t="s">
        <v>17</v>
      </c>
      <c r="U34" s="774" t="e">
        <f t="shared" si="11"/>
        <v>#N/A</v>
      </c>
      <c r="V34" s="773" t="s">
        <v>17</v>
      </c>
      <c r="W34" s="774" t="e">
        <f t="shared" si="12"/>
        <v>#N/A</v>
      </c>
      <c r="X34" s="1810"/>
      <c r="Y34" s="3235"/>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35"/>
      <c r="Q35" s="1807" t="str">
        <f t="shared" ref="Q35:Q40" si="14">B35</f>
        <v>宗地形状</v>
      </c>
      <c r="R35" s="773" t="s">
        <v>17</v>
      </c>
      <c r="S35" s="774">
        <f t="shared" si="10"/>
        <v>100</v>
      </c>
      <c r="T35" s="773" t="s">
        <v>17</v>
      </c>
      <c r="U35" s="774">
        <f t="shared" si="11"/>
        <v>100</v>
      </c>
      <c r="V35" s="773" t="s">
        <v>17</v>
      </c>
      <c r="W35" s="774">
        <f t="shared" si="12"/>
        <v>100</v>
      </c>
      <c r="X35" s="1810"/>
      <c r="Y35" s="3235"/>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35"/>
      <c r="Q36" s="1807"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35" t="s">
        <v>2523</v>
      </c>
      <c r="Q37" s="1807" t="str">
        <f t="shared" si="14"/>
        <v>工程地质条件</v>
      </c>
      <c r="R37" s="773" t="s">
        <v>17</v>
      </c>
      <c r="S37" s="774">
        <f t="shared" si="10"/>
        <v>100</v>
      </c>
      <c r="T37" s="773" t="s">
        <v>17</v>
      </c>
      <c r="U37" s="774">
        <f t="shared" si="11"/>
        <v>100</v>
      </c>
      <c r="V37" s="773" t="s">
        <v>17</v>
      </c>
      <c r="W37" s="774">
        <f t="shared" si="12"/>
        <v>100</v>
      </c>
      <c r="X37" s="1810"/>
      <c r="Y37" s="3235"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35"/>
      <c r="Q38" s="1807">
        <f t="shared" si="14"/>
        <v>111</v>
      </c>
      <c r="R38" s="773" t="s">
        <v>17</v>
      </c>
      <c r="S38" s="774">
        <f t="shared" si="10"/>
        <v>100</v>
      </c>
      <c r="T38" s="773" t="s">
        <v>17</v>
      </c>
      <c r="U38" s="774">
        <f t="shared" si="11"/>
        <v>100</v>
      </c>
      <c r="V38" s="773" t="s">
        <v>17</v>
      </c>
      <c r="W38" s="774">
        <f t="shared" si="12"/>
        <v>100</v>
      </c>
      <c r="X38" s="1810"/>
      <c r="Y38" s="323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35"/>
      <c r="Q39" s="1807">
        <f t="shared" si="14"/>
        <v>111</v>
      </c>
      <c r="R39" s="773" t="s">
        <v>17</v>
      </c>
      <c r="S39" s="774">
        <f t="shared" si="10"/>
        <v>100</v>
      </c>
      <c r="T39" s="773" t="s">
        <v>17</v>
      </c>
      <c r="U39" s="774">
        <f t="shared" si="11"/>
        <v>100</v>
      </c>
      <c r="V39" s="773" t="s">
        <v>17</v>
      </c>
      <c r="W39" s="774">
        <f t="shared" si="12"/>
        <v>100</v>
      </c>
      <c r="X39" s="1810"/>
      <c r="Y39" s="3235"/>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35"/>
      <c r="Q40" s="1807">
        <f t="shared" si="14"/>
        <v>111</v>
      </c>
      <c r="R40" s="776" t="s">
        <v>17</v>
      </c>
      <c r="S40" s="777">
        <f t="shared" si="10"/>
        <v>100</v>
      </c>
      <c r="T40" s="776" t="s">
        <v>17</v>
      </c>
      <c r="U40" s="777">
        <f t="shared" si="11"/>
        <v>100</v>
      </c>
      <c r="V40" s="776" t="s">
        <v>17</v>
      </c>
      <c r="W40" s="777">
        <f t="shared" si="12"/>
        <v>100</v>
      </c>
      <c r="X40" s="778"/>
      <c r="Y40" s="3235"/>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28" t="str">
        <f>A41</f>
        <v>成交单价</v>
      </c>
      <c r="Q41" s="3228"/>
      <c r="R41" s="3259">
        <f>E41</f>
        <v>0</v>
      </c>
      <c r="S41" s="3259"/>
      <c r="T41" s="3259">
        <f>G41</f>
        <v>0</v>
      </c>
      <c r="U41" s="3259"/>
      <c r="V41" s="3259">
        <f>I41</f>
        <v>0</v>
      </c>
      <c r="W41" s="3259"/>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28" t="str">
        <f>A42</f>
        <v>比较价值（元/平方米）</v>
      </c>
      <c r="Q42" s="3228"/>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39"/>
      <c r="H51" s="3228"/>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22069.85</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0.90710000000000002</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300" t="s">
        <v>1149</v>
      </c>
      <c r="H1" s="3300"/>
      <c r="I1" s="3300"/>
      <c r="J1" s="3300"/>
      <c r="K1" s="3300"/>
      <c r="L1" s="3300"/>
      <c r="N1" s="3300" t="s">
        <v>1150</v>
      </c>
      <c r="O1" s="3300"/>
      <c r="P1" s="3300"/>
      <c r="Q1" s="3300"/>
      <c r="R1" s="1443"/>
      <c r="S1" s="3300" t="s">
        <v>1151</v>
      </c>
      <c r="T1" s="3300"/>
      <c r="U1" s="3300"/>
      <c r="V1" s="3300"/>
      <c r="X1" s="3299" t="s">
        <v>1152</v>
      </c>
      <c r="Y1" s="3300"/>
      <c r="Z1" s="3300"/>
      <c r="AA1" s="3300"/>
      <c r="AB1" s="3300"/>
      <c r="AD1" s="3299" t="s">
        <v>1153</v>
      </c>
      <c r="AE1" s="3300"/>
      <c r="AF1" s="3300"/>
      <c r="AG1" s="3300"/>
      <c r="AH1" s="3300"/>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7"/>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7"/>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98"/>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6">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7"/>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7"/>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98"/>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6">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7"/>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7"/>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98"/>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6">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7"/>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7"/>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298"/>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6">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7">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7">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298">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6">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7">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7">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298">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6">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7">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7">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298">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6">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7">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7">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298">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6">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7">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7">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298">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6">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7">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7">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298">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6">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7">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7">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298">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6">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7">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7">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298">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6">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7">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7">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298">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6">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7">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7">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298">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170" t="s">
        <v>33</v>
      </c>
      <c r="D22" s="3171"/>
      <c r="E22" s="3171"/>
      <c r="F22" s="3171"/>
      <c r="G22" s="3171"/>
      <c r="H22" s="3171"/>
      <c r="I22" s="3171"/>
      <c r="J22" s="3171"/>
      <c r="K22" s="3171"/>
      <c r="L22" s="3171"/>
      <c r="M22" s="3171"/>
      <c r="N22" s="3171"/>
      <c r="O22" s="3171"/>
      <c r="P22" s="317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15.2</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15.16</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12635.31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3772.2</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15.16</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12635.31</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15.16</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12635.31</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3.88</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3229.83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3.88</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3229.83</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3.88</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3229.83</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abSelected="1" topLeftCell="F28" workbookViewId="0">
      <selection activeCell="H39" sqref="H39"/>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34" t="s">
        <v>3078</v>
      </c>
      <c r="E4" s="3335"/>
      <c r="F4" s="3335"/>
      <c r="G4" s="3335"/>
      <c r="H4" s="3335"/>
      <c r="I4" s="3335"/>
      <c r="J4" s="3336"/>
    </row>
    <row r="5" spans="4:10">
      <c r="D5" s="2943" t="s">
        <v>3079</v>
      </c>
      <c r="E5" s="2943" t="s">
        <v>3080</v>
      </c>
      <c r="F5" s="2944" t="s">
        <v>3081</v>
      </c>
      <c r="G5" s="2944" t="s">
        <v>3082</v>
      </c>
      <c r="H5" s="2943" t="s">
        <v>3083</v>
      </c>
      <c r="I5" s="2943" t="s">
        <v>3084</v>
      </c>
      <c r="J5" s="2944" t="s">
        <v>3085</v>
      </c>
    </row>
    <row r="6" spans="4:10">
      <c r="D6" s="3337">
        <v>1</v>
      </c>
      <c r="E6" s="3337" t="s">
        <v>3086</v>
      </c>
      <c r="F6" s="3338" t="s">
        <v>3087</v>
      </c>
      <c r="G6" s="2945" t="s">
        <v>3088</v>
      </c>
      <c r="H6" s="2946">
        <v>27.6</v>
      </c>
      <c r="I6" s="3341">
        <v>15848.4</v>
      </c>
      <c r="J6" s="3344" t="s">
        <v>3089</v>
      </c>
    </row>
    <row r="7" spans="4:10">
      <c r="D7" s="3326"/>
      <c r="E7" s="3326"/>
      <c r="F7" s="3339"/>
      <c r="G7" s="2945" t="s">
        <v>3090</v>
      </c>
      <c r="H7" s="2946">
        <v>22.65</v>
      </c>
      <c r="I7" s="3342"/>
      <c r="J7" s="3332"/>
    </row>
    <row r="8" spans="4:10">
      <c r="D8" s="3326"/>
      <c r="E8" s="3326"/>
      <c r="F8" s="3339"/>
      <c r="G8" s="2945" t="s">
        <v>3065</v>
      </c>
      <c r="H8" s="2946">
        <v>36.479999999999997</v>
      </c>
      <c r="I8" s="3342"/>
      <c r="J8" s="3332"/>
    </row>
    <row r="9" spans="4:10">
      <c r="D9" s="3326"/>
      <c r="E9" s="3326"/>
      <c r="F9" s="3339"/>
      <c r="G9" s="2945" t="s">
        <v>3066</v>
      </c>
      <c r="H9" s="2946">
        <v>14.5</v>
      </c>
      <c r="I9" s="3342"/>
      <c r="J9" s="3332"/>
    </row>
    <row r="10" spans="4:10">
      <c r="D10" s="3326"/>
      <c r="E10" s="3326"/>
      <c r="F10" s="3339"/>
      <c r="G10" s="2945" t="s">
        <v>3067</v>
      </c>
      <c r="H10" s="2946">
        <v>14.91</v>
      </c>
      <c r="I10" s="3342"/>
      <c r="J10" s="3332"/>
    </row>
    <row r="11" spans="4:10">
      <c r="D11" s="3326"/>
      <c r="E11" s="3326"/>
      <c r="F11" s="3339"/>
      <c r="G11" s="2945" t="s">
        <v>3068</v>
      </c>
      <c r="H11" s="2946">
        <v>8.41</v>
      </c>
      <c r="I11" s="3342"/>
      <c r="J11" s="3332"/>
    </row>
    <row r="12" spans="4:10">
      <c r="D12" s="3326"/>
      <c r="E12" s="3326"/>
      <c r="F12" s="3339"/>
      <c r="G12" s="2945" t="s">
        <v>3069</v>
      </c>
      <c r="H12" s="2946">
        <v>12941.08</v>
      </c>
      <c r="I12" s="3342"/>
      <c r="J12" s="3332"/>
    </row>
    <row r="13" spans="4:10" ht="14.25" thickBot="1">
      <c r="D13" s="3327"/>
      <c r="E13" s="3327"/>
      <c r="F13" s="3340"/>
      <c r="G13" s="2947" t="s">
        <v>3070</v>
      </c>
      <c r="H13" s="2948">
        <v>2782.77</v>
      </c>
      <c r="I13" s="3343"/>
      <c r="J13" s="3333"/>
    </row>
    <row r="14" spans="4:10">
      <c r="D14" s="3322">
        <v>2</v>
      </c>
      <c r="E14" s="3325" t="s">
        <v>3086</v>
      </c>
      <c r="F14" s="3328" t="s">
        <v>3091</v>
      </c>
      <c r="G14" s="2949" t="s">
        <v>3092</v>
      </c>
      <c r="H14" s="2950">
        <v>25161.47</v>
      </c>
      <c r="I14" s="3325">
        <v>29550.67</v>
      </c>
      <c r="J14" s="3331" t="s">
        <v>3093</v>
      </c>
    </row>
    <row r="15" spans="4:10">
      <c r="D15" s="3323"/>
      <c r="E15" s="3326"/>
      <c r="F15" s="3329"/>
      <c r="G15" s="2945" t="s">
        <v>3071</v>
      </c>
      <c r="H15" s="2946">
        <v>4245.29</v>
      </c>
      <c r="I15" s="3326"/>
      <c r="J15" s="3332"/>
    </row>
    <row r="16" spans="4:10">
      <c r="D16" s="3323"/>
      <c r="E16" s="3326"/>
      <c r="F16" s="3329"/>
      <c r="G16" s="2945" t="s">
        <v>3072</v>
      </c>
      <c r="H16" s="2946">
        <v>17.23</v>
      </c>
      <c r="I16" s="3326"/>
      <c r="J16" s="3332"/>
    </row>
    <row r="17" spans="4:10">
      <c r="D17" s="3323"/>
      <c r="E17" s="3326"/>
      <c r="F17" s="3329"/>
      <c r="G17" s="2945" t="s">
        <v>3073</v>
      </c>
      <c r="H17" s="2946">
        <v>8.0399999999999991</v>
      </c>
      <c r="I17" s="3326"/>
      <c r="J17" s="3332"/>
    </row>
    <row r="18" spans="4:10">
      <c r="D18" s="3323"/>
      <c r="E18" s="3326"/>
      <c r="F18" s="3329"/>
      <c r="G18" s="2945" t="s">
        <v>3074</v>
      </c>
      <c r="H18" s="2946">
        <v>8.44</v>
      </c>
      <c r="I18" s="3326"/>
      <c r="J18" s="3332"/>
    </row>
    <row r="19" spans="4:10">
      <c r="D19" s="3323"/>
      <c r="E19" s="3326"/>
      <c r="F19" s="3329"/>
      <c r="G19" s="2945" t="s">
        <v>3075</v>
      </c>
      <c r="H19" s="2946">
        <v>14.93</v>
      </c>
      <c r="I19" s="3326"/>
      <c r="J19" s="3332"/>
    </row>
    <row r="20" spans="4:10">
      <c r="D20" s="3323"/>
      <c r="E20" s="3326"/>
      <c r="F20" s="3329"/>
      <c r="G20" s="2945" t="s">
        <v>3076</v>
      </c>
      <c r="H20" s="2946">
        <v>42.41</v>
      </c>
      <c r="I20" s="3326"/>
      <c r="J20" s="3332"/>
    </row>
    <row r="21" spans="4:10" ht="14.25" thickBot="1">
      <c r="D21" s="3324"/>
      <c r="E21" s="3327"/>
      <c r="F21" s="3330"/>
      <c r="G21" s="2947" t="s">
        <v>3077</v>
      </c>
      <c r="H21" s="2948">
        <v>52.86</v>
      </c>
      <c r="I21" s="3327"/>
      <c r="J21" s="3333"/>
    </row>
    <row r="22" spans="4:10">
      <c r="D22" s="3322">
        <v>3</v>
      </c>
      <c r="E22" s="3322" t="s">
        <v>3094</v>
      </c>
      <c r="F22" s="2951" t="s">
        <v>3095</v>
      </c>
      <c r="G22" s="2951">
        <v>101</v>
      </c>
      <c r="H22" s="2951">
        <v>20803.14</v>
      </c>
      <c r="I22" s="3325">
        <v>75088.649999999994</v>
      </c>
      <c r="J22" s="3325" t="s">
        <v>3096</v>
      </c>
    </row>
    <row r="23" spans="4:10">
      <c r="D23" s="3323"/>
      <c r="E23" s="3323"/>
      <c r="F23" s="2952" t="s">
        <v>3097</v>
      </c>
      <c r="G23" s="2952">
        <v>201</v>
      </c>
      <c r="H23" s="2952">
        <v>20348.11</v>
      </c>
      <c r="I23" s="3326"/>
      <c r="J23" s="3326"/>
    </row>
    <row r="24" spans="4:10">
      <c r="D24" s="3323"/>
      <c r="E24" s="3323"/>
      <c r="F24" s="2952" t="s">
        <v>3098</v>
      </c>
      <c r="G24" s="2952">
        <v>301</v>
      </c>
      <c r="H24" s="2952">
        <v>20742.52</v>
      </c>
      <c r="I24" s="3326"/>
      <c r="J24" s="3326"/>
    </row>
    <row r="25" spans="4:10">
      <c r="D25" s="3323"/>
      <c r="E25" s="3323"/>
      <c r="F25" s="2952" t="s">
        <v>3099</v>
      </c>
      <c r="G25" s="2952">
        <v>501</v>
      </c>
      <c r="H25" s="2952">
        <v>12538.68</v>
      </c>
      <c r="I25" s="3326"/>
      <c r="J25" s="3326"/>
    </row>
    <row r="26" spans="4:10" ht="14.25" thickBot="1">
      <c r="D26" s="3324"/>
      <c r="E26" s="3324"/>
      <c r="F26" s="2953" t="s">
        <v>3100</v>
      </c>
      <c r="G26" s="2953">
        <v>601</v>
      </c>
      <c r="H26" s="2953">
        <v>656.2</v>
      </c>
      <c r="I26" s="3327"/>
      <c r="J26" s="3327"/>
    </row>
    <row r="27" spans="4:10" ht="14.25" thickBot="1">
      <c r="D27" s="3314"/>
      <c r="E27" s="3315"/>
      <c r="F27" s="3315"/>
      <c r="G27" s="3315"/>
      <c r="H27" s="3315"/>
      <c r="I27" s="3315"/>
      <c r="J27" s="3316"/>
    </row>
    <row r="28" spans="4:10">
      <c r="D28" s="3317" t="s">
        <v>3101</v>
      </c>
      <c r="E28" s="3318"/>
      <c r="F28" s="3319"/>
      <c r="G28" s="3320"/>
      <c r="H28" s="3321"/>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4:J4"/>
    <mergeCell ref="D6:D13"/>
    <mergeCell ref="E6:E13"/>
    <mergeCell ref="F6:F13"/>
    <mergeCell ref="I6:I13"/>
    <mergeCell ref="J6:J13"/>
    <mergeCell ref="D27:J27"/>
    <mergeCell ref="D28:F28"/>
    <mergeCell ref="G28:H28"/>
    <mergeCell ref="D14:D21"/>
    <mergeCell ref="E14:E21"/>
    <mergeCell ref="F14:F21"/>
    <mergeCell ref="I14:I21"/>
    <mergeCell ref="J14:J21"/>
    <mergeCell ref="D22:D26"/>
    <mergeCell ref="E22:E26"/>
    <mergeCell ref="I22:I26"/>
    <mergeCell ref="J22:J2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1640</v>
      </c>
      <c r="B2" s="3010" t="s">
        <v>1641</v>
      </c>
      <c r="C2" s="3010" t="s">
        <v>1642</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22069.85</v>
      </c>
      <c r="D4" s="1041">
        <f ca="1">结果表!D118</f>
        <v>367907</v>
      </c>
      <c r="E4" s="1041">
        <f ca="1">结果表!E118</f>
        <v>30534</v>
      </c>
      <c r="F4" s="1041">
        <f ca="1">结果表!F118</f>
        <v>87988</v>
      </c>
      <c r="G4" s="1041">
        <f ca="1">结果表!G118</f>
        <v>7303</v>
      </c>
      <c r="H4" s="1041">
        <f ca="1">结果表!H118</f>
        <v>455895</v>
      </c>
      <c r="I4" s="1041">
        <f ca="1">结果表!I118</f>
        <v>37837</v>
      </c>
    </row>
    <row r="5" spans="1:9" ht="30" customHeight="1">
      <c r="A5" s="3004" t="s">
        <v>1639</v>
      </c>
      <c r="B5" s="3004"/>
      <c r="C5" s="3004"/>
      <c r="D5" s="3005" t="str">
        <f ca="1">结果表!D119</f>
        <v>叁拾陆亿柒仟玖佰零柒万元整</v>
      </c>
      <c r="E5" s="3005"/>
      <c r="F5" s="3005" t="str">
        <f ca="1">结果表!F119</f>
        <v>捌亿柒仟玖佰捌拾捌万元整</v>
      </c>
      <c r="G5" s="3005"/>
      <c r="H5" s="3005" t="str">
        <f ca="1">结果表!H119</f>
        <v>肆拾伍亿伍仟捌佰玖拾伍万元整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1639</v>
      </c>
      <c r="B7" s="3004"/>
      <c r="C7" s="3004"/>
      <c r="D7" s="3006" t="str">
        <f>结果表!D121</f>
        <v>零元整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1639</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455895</v>
      </c>
      <c r="E10" s="3003"/>
      <c r="F10" s="3003"/>
      <c r="G10" s="3003"/>
      <c r="H10" s="3003"/>
      <c r="I10" s="3003"/>
    </row>
    <row r="11" spans="1:9" ht="15">
      <c r="A11" s="3004" t="s">
        <v>1639</v>
      </c>
      <c r="B11" s="3004"/>
      <c r="C11" s="3004"/>
      <c r="D11" s="3005" t="str">
        <f ca="1">结果表!D125</f>
        <v>肆拾伍亿伍仟捌佰玖拾伍万元整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1655</v>
      </c>
      <c r="B16" s="3013"/>
      <c r="C16" s="3013"/>
      <c r="D16" s="3013"/>
    </row>
    <row r="17" spans="1:4" ht="144" customHeight="1">
      <c r="A17" s="3013" t="s">
        <v>1656</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1657</v>
      </c>
      <c r="B22" s="3015"/>
      <c r="C22" s="3015"/>
      <c r="D22" s="301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43311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t="str">
        <f ca="1">IF(C22&lt;B2,"已过期",1120020033)</f>
        <v>已过期</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2018-07-30T02:12:28Z</dcterms:modified>
</cp:coreProperties>
</file>