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sheetId="15" r:id="rId29"/>
    <sheet name="酒店收入计算" sheetId="57" r:id="rId30"/>
    <sheet name="成本逼近法" sheetId="11" r:id="rId31"/>
    <sheet name="不动产比较法-住宅" sheetId="21" r:id="rId32"/>
    <sheet name="不动产比较法-商业" sheetId="33" r:id="rId33"/>
    <sheet name="不动产比较法-办公" sheetId="34" r:id="rId34"/>
    <sheet name="不动产比较法-工业" sheetId="37" r:id="rId35"/>
    <sheet name="不动产比较法-车位" sheetId="35" r:id="rId36"/>
    <sheet name="不动产比较法-仓储" sheetId="36" r:id="rId37"/>
    <sheet name="典型户型修正" sheetId="31" r:id="rId38"/>
    <sheet name="存贷款利率" sheetId="65" state="hidden" r:id="rId39"/>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12" l="1"/>
  <c r="I13" i="3"/>
  <c r="F1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N6" i="59" l="1"/>
  <c r="J6" i="59"/>
  <c r="O6" i="59" s="1"/>
  <c r="K6" i="59"/>
  <c r="P6" i="59" s="1"/>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6" i="65"/>
  <c r="N4" i="65"/>
  <c r="N5" i="65"/>
  <c r="J7" i="65"/>
  <c r="C4" i="65" l="1"/>
  <c r="B39" i="1" s="1"/>
  <c r="I3" i="65"/>
  <c r="J6" i="65"/>
  <c r="I5" i="65"/>
  <c r="I4" i="65"/>
  <c r="I7" i="65"/>
  <c r="J3" i="65"/>
  <c r="I6" i="65"/>
  <c r="J5" i="65"/>
  <c r="J4" i="65"/>
  <c r="J1" i="65" l="1"/>
  <c r="E20" i="46"/>
  <c r="M5" i="54"/>
  <c r="A23" i="51"/>
  <c r="A22"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B16"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C9" i="59"/>
  <c r="Y8" i="59"/>
  <c r="Z8" i="59" s="1"/>
  <c r="F9" i="59"/>
  <c r="AB8" i="59"/>
  <c r="AB10" i="59"/>
  <c r="Y11" i="59"/>
  <c r="Z11" i="59" s="1"/>
  <c r="AB11" i="59"/>
  <c r="B13" i="59"/>
  <c r="B14" i="59" s="1"/>
  <c r="B15" i="59" s="1"/>
  <c r="S15" i="59" s="1"/>
  <c r="X12" i="59"/>
  <c r="E13" i="59"/>
  <c r="E14" i="59" s="1"/>
  <c r="E15" i="59" s="1"/>
  <c r="U15" i="59" s="1"/>
  <c r="AA12" i="59"/>
  <c r="X15" i="59"/>
  <c r="AA15"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F27" i="43"/>
  <c r="F31" i="43"/>
  <c r="F66" i="9"/>
  <c r="P72" i="9" s="1"/>
  <c r="M20" i="44"/>
  <c r="F71" i="9"/>
  <c r="D86" i="9"/>
  <c r="F72" i="9"/>
  <c r="F70" i="9"/>
  <c r="W35"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C9" i="33" l="1"/>
  <c r="W9" i="33"/>
  <c r="S28" i="34"/>
  <c r="AA28" i="34"/>
  <c r="U36" i="35"/>
  <c r="AB36" i="35"/>
  <c r="W24" i="36"/>
  <c r="AC24" i="36"/>
  <c r="U27" i="37"/>
  <c r="AB27" i="37"/>
  <c r="AZ484" i="3"/>
  <c r="U27" i="33"/>
  <c r="AB27" i="33"/>
  <c r="W27" i="34"/>
  <c r="AC27" i="34"/>
  <c r="U45" i="33"/>
  <c r="AB45" i="33"/>
  <c r="W26" i="37"/>
  <c r="AC26" i="37"/>
  <c r="J17" i="40"/>
  <c r="F86" i="40"/>
  <c r="G86" i="40" s="1"/>
  <c r="AC36" i="33"/>
  <c r="W34" i="40"/>
  <c r="S33" i="40"/>
  <c r="AC14" i="40"/>
  <c r="AB14" i="40"/>
  <c r="F32" i="15"/>
  <c r="F59" i="15" s="1"/>
  <c r="F29" i="12"/>
  <c r="C29" i="12" s="1"/>
  <c r="U31" i="37"/>
  <c r="AA23" i="37"/>
  <c r="AB43" i="33"/>
  <c r="S46" i="33"/>
  <c r="BI5" i="3"/>
  <c r="F9" i="33"/>
  <c r="AA9" i="33" s="1"/>
  <c r="J36" i="35"/>
  <c r="F26" i="37"/>
  <c r="AA26" i="37" s="1"/>
  <c r="G15" i="3"/>
  <c r="G14" i="3"/>
  <c r="C18" i="9"/>
  <c r="A30" i="51"/>
  <c r="AZ396" i="3"/>
  <c r="AZ406" i="3"/>
  <c r="AZ409" i="3"/>
  <c r="AZ412" i="3"/>
  <c r="AZ419" i="3"/>
  <c r="AZ425" i="3"/>
  <c r="AZ429" i="3"/>
  <c r="AZ445" i="3"/>
  <c r="AZ448" i="3"/>
  <c r="AZ468" i="3"/>
  <c r="AZ472" i="3"/>
  <c r="AZ206" i="3"/>
  <c r="AZ210" i="3"/>
  <c r="AZ222" i="3"/>
  <c r="AZ226" i="3"/>
  <c r="AZ238" i="3"/>
  <c r="AZ242" i="3"/>
  <c r="AZ254" i="3"/>
  <c r="AZ258" i="3"/>
  <c r="AZ269" i="3"/>
  <c r="AZ272" i="3"/>
  <c r="S17" i="34"/>
  <c r="H5" i="3"/>
  <c r="AZ202" i="3"/>
  <c r="AZ279" i="3"/>
  <c r="AZ291" i="3"/>
  <c r="AZ294" i="3"/>
  <c r="AZ113" i="3"/>
  <c r="AZ116" i="3"/>
  <c r="AZ129" i="3"/>
  <c r="AZ132" i="3"/>
  <c r="AZ145" i="3"/>
  <c r="AZ148" i="3"/>
  <c r="BA21" i="3"/>
  <c r="AZ21" i="3" s="1"/>
  <c r="AZ29" i="3"/>
  <c r="AZ69" i="3"/>
  <c r="AZ36" i="3"/>
  <c r="AZ42" i="3"/>
  <c r="AZ45" i="3"/>
  <c r="AZ52" i="3"/>
  <c r="AZ58" i="3"/>
  <c r="AZ61" i="3"/>
  <c r="AZ67" i="3"/>
  <c r="AZ72" i="3"/>
  <c r="AZ75"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C24" i="12"/>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10" i="15"/>
  <c r="C52" i="15"/>
  <c r="A4" i="64"/>
  <c r="A4" i="51"/>
  <c r="C51" i="10"/>
  <c r="H58" i="46"/>
  <c r="H61" i="46"/>
  <c r="H62" i="46"/>
  <c r="H71" i="46"/>
  <c r="H75" i="46"/>
  <c r="H76" i="46"/>
  <c r="I100" i="46"/>
  <c r="B56" i="46"/>
  <c r="C24" i="46" s="1"/>
  <c r="N100" i="46"/>
  <c r="H100" i="46"/>
  <c r="F108" i="46"/>
  <c r="H80" i="46"/>
  <c r="AC11" i="46"/>
  <c r="AC13" i="46" s="1"/>
  <c r="AG11" i="46"/>
  <c r="AG13" i="46" s="1"/>
  <c r="Y11" i="46"/>
  <c r="Y13" i="46" s="1"/>
  <c r="S4" i="46"/>
  <c r="Z11" i="46"/>
  <c r="Z13" i="46" s="1"/>
  <c r="AD11" i="46"/>
  <c r="AD13" i="46" s="1"/>
  <c r="AH11" i="46"/>
  <c r="AH13" i="46" s="1"/>
  <c r="S7" i="46"/>
  <c r="S3" i="46"/>
  <c r="E100" i="46"/>
  <c r="G100" i="46"/>
  <c r="C23" i="46" s="1"/>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8" i="44"/>
  <c r="M11" i="44"/>
  <c r="F16" i="15"/>
  <c r="F9" i="15"/>
  <c r="F8" i="44"/>
  <c r="M30" i="44"/>
  <c r="M26" i="15"/>
  <c r="F38" i="44"/>
  <c r="F45" i="44"/>
  <c r="F28" i="44"/>
  <c r="F40" i="44"/>
  <c r="M28" i="44"/>
  <c r="F11" i="44"/>
  <c r="C35" i="44"/>
  <c r="F15" i="44"/>
  <c r="F10" i="44"/>
  <c r="M25" i="44"/>
  <c r="M24" i="44"/>
  <c r="M10" i="44"/>
  <c r="F39" i="44"/>
  <c r="F6" i="15"/>
  <c r="F40" i="15"/>
  <c r="J17" i="44"/>
  <c r="J36" i="15"/>
  <c r="M8" i="44"/>
  <c r="M31" i="44"/>
  <c r="F8" i="15"/>
  <c r="F9" i="44"/>
  <c r="F43" i="44"/>
  <c r="F42" i="15"/>
  <c r="F38" i="15"/>
  <c r="F26" i="15"/>
  <c r="J15" i="15"/>
  <c r="M26" i="44"/>
  <c r="F37" i="15"/>
  <c r="F36" i="15"/>
  <c r="M29" i="15"/>
  <c r="S5" i="46" l="1"/>
  <c r="AJ11" i="46"/>
  <c r="AJ13" i="46" s="1"/>
  <c r="AF11" i="46"/>
  <c r="AF13" i="46" s="1"/>
  <c r="AB11" i="46"/>
  <c r="AB13" i="46" s="1"/>
  <c r="S2" i="46"/>
  <c r="S6" i="46"/>
  <c r="AI11" i="46"/>
  <c r="AI13" i="46" s="1"/>
  <c r="AE11" i="46"/>
  <c r="AE13" i="46" s="1"/>
  <c r="E561" i="3"/>
  <c r="AO6" i="3"/>
  <c r="E476" i="3"/>
  <c r="Z7" i="46"/>
  <c r="H101" i="46"/>
  <c r="E101" i="46"/>
  <c r="M101" i="46"/>
  <c r="F22" i="46"/>
  <c r="D101" i="46"/>
  <c r="L101" i="46"/>
  <c r="I101" i="46"/>
  <c r="N104" i="45"/>
  <c r="G22" i="46"/>
  <c r="B113" i="46"/>
  <c r="D118" i="46" s="1"/>
  <c r="E118" i="46" s="1"/>
  <c r="F118" i="46" s="1"/>
  <c r="J101" i="46"/>
  <c r="G101" i="46"/>
  <c r="G104" i="46" s="1"/>
  <c r="C101" i="46"/>
  <c r="F109" i="46"/>
  <c r="C16" i="46"/>
  <c r="C5" i="46" s="1"/>
  <c r="E86" i="3"/>
  <c r="E297" i="3"/>
  <c r="E22" i="46"/>
  <c r="D22" i="46" s="1"/>
  <c r="F101" i="46"/>
  <c r="N101" i="46"/>
  <c r="N109" i="46" s="1"/>
  <c r="K101" i="46"/>
  <c r="K10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L47" i="15"/>
  <c r="M8" i="15"/>
  <c r="M28" i="15"/>
  <c r="M24" i="15"/>
  <c r="F43" i="15"/>
  <c r="M22" i="15"/>
  <c r="M6" i="15"/>
  <c r="M9" i="15"/>
  <c r="L48" i="15"/>
  <c r="F13" i="15"/>
  <c r="M23" i="15"/>
  <c r="F7" i="15"/>
  <c r="F31" i="15"/>
  <c r="F33" i="44"/>
  <c r="F46" i="44"/>
  <c r="C16" i="15"/>
  <c r="C18" i="44"/>
  <c r="F41" i="15"/>
  <c r="M19" i="44"/>
  <c r="J7" i="37" l="1"/>
  <c r="H6" i="3"/>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J6" i="15" s="1"/>
  <c r="J5" i="15" s="1"/>
  <c r="J18" i="15" s="1"/>
  <c r="F49" i="15"/>
  <c r="C48" i="15" s="1"/>
  <c r="C6" i="15"/>
  <c r="C5" i="15" s="1"/>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AC7" i="36"/>
  <c r="V36" i="36" s="1"/>
  <c r="I36" i="36" s="1"/>
  <c r="I40" i="36" s="1"/>
  <c r="J40" i="36" s="1"/>
  <c r="W18" i="36"/>
  <c r="AC18" i="36"/>
  <c r="U7" i="36"/>
  <c r="G41" i="36"/>
  <c r="H41" i="36" s="1"/>
  <c r="W7" i="35"/>
  <c r="S7" i="37"/>
  <c r="J8" i="44"/>
  <c r="J7" i="44" s="1"/>
  <c r="E48" i="33"/>
  <c r="E52" i="33" s="1"/>
  <c r="F52" i="33" s="1"/>
  <c r="C115" i="46"/>
  <c r="D113" i="46" s="1"/>
  <c r="J22" i="46"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C34" i="44"/>
  <c r="C40" i="44"/>
  <c r="I53" i="34"/>
  <c r="J53" i="34" s="1"/>
  <c r="Q62" i="15"/>
  <c r="AB12" i="39"/>
  <c r="U12" i="40"/>
  <c r="C20" i="11"/>
  <c r="C21" i="11" s="1"/>
  <c r="C22" i="11" s="1"/>
  <c r="C23" i="11" s="1"/>
  <c r="B2" i="11" s="1"/>
  <c r="W12" i="39"/>
  <c r="AC12" i="40"/>
  <c r="W12" i="40"/>
  <c r="E46" i="37"/>
  <c r="F46" i="37" s="1"/>
  <c r="C48" i="33"/>
  <c r="C49" i="33"/>
  <c r="B3" i="33" s="1"/>
  <c r="B2" i="33" s="1"/>
  <c r="M17" i="15"/>
  <c r="M29" i="44"/>
  <c r="M27" i="15"/>
  <c r="F58" i="15"/>
  <c r="G43" i="35" l="1"/>
  <c r="H43" i="35" s="1"/>
  <c r="G54" i="34"/>
  <c r="H54" i="34" s="1"/>
  <c r="U7" i="35"/>
  <c r="Q53" i="15"/>
  <c r="Q61" i="15"/>
  <c r="S12" i="40"/>
  <c r="S12" i="39"/>
  <c r="L19" i="6"/>
  <c r="U7" i="34"/>
  <c r="U7" i="37"/>
  <c r="AB7" i="37"/>
  <c r="T42" i="37" s="1"/>
  <c r="G42" i="37" s="1"/>
  <c r="G47" i="37" s="1"/>
  <c r="H47"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G46" i="37" l="1"/>
  <c r="H46" i="37" s="1"/>
  <c r="E47" i="37"/>
  <c r="F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0" i="44" l="1"/>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19" i="15" l="1"/>
  <c r="C20" i="15" s="1"/>
  <c r="C23" i="15" s="1"/>
  <c r="C21" i="44"/>
  <c r="C22" i="44" s="1"/>
  <c r="C25" i="44" s="1"/>
  <c r="J20" i="15"/>
  <c r="C36" i="44"/>
  <c r="C33" i="44" s="1"/>
  <c r="C34" i="15"/>
  <c r="F62" i="15"/>
  <c r="C61" i="15" s="1"/>
  <c r="J22" i="44"/>
  <c r="C18" i="12"/>
  <c r="R16" i="1"/>
  <c r="D31" i="6"/>
  <c r="I6" i="6" s="1"/>
  <c r="R27" i="6"/>
  <c r="C18" i="43"/>
  <c r="C28" i="44"/>
  <c r="C31" i="44" s="1"/>
  <c r="K70" i="39"/>
  <c r="J72" i="39"/>
  <c r="K65" i="40"/>
  <c r="J67" i="40"/>
  <c r="C65" i="15"/>
  <c r="C59" i="15"/>
  <c r="I5" i="6" l="1"/>
  <c r="C26" i="15"/>
  <c r="C29" i="15" s="1"/>
  <c r="J59" i="15" s="1"/>
  <c r="J60" i="15" s="1"/>
  <c r="Q49" i="15" s="1"/>
  <c r="C23" i="12"/>
  <c r="C35" i="12" s="1"/>
  <c r="C33" i="12" s="1"/>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8" i="12"/>
  <c r="C26" i="12" s="1"/>
  <c r="C25" i="43"/>
  <c r="C24" i="43" s="1"/>
  <c r="C28" i="43" s="1"/>
  <c r="C30" i="43" s="1"/>
  <c r="J24" i="44"/>
  <c r="J15" i="44"/>
  <c r="J25" i="44" s="1"/>
  <c r="C55" i="15"/>
  <c r="C64" i="15" s="1"/>
  <c r="C43" i="44"/>
  <c r="C39" i="44"/>
  <c r="C32" i="44" s="1"/>
  <c r="C42" i="44" s="1"/>
  <c r="L72" i="39"/>
  <c r="M70" i="39"/>
  <c r="M65" i="40"/>
  <c r="L67" i="40"/>
  <c r="C60" i="15" l="1"/>
  <c r="C58" i="15" s="1"/>
  <c r="C57" i="15" s="1"/>
  <c r="C66" i="15" s="1"/>
  <c r="C67"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Q70" i="15" l="1"/>
  <c r="Q69" i="15" s="1"/>
  <c r="J39" i="15"/>
  <c r="J40" i="15" s="1"/>
  <c r="B2" i="44"/>
  <c r="B4" i="44" s="1"/>
  <c r="B3" i="12"/>
  <c r="B4" i="12"/>
  <c r="L44" i="9"/>
  <c r="B5" i="12"/>
  <c r="B3" i="43"/>
  <c r="B5" i="43"/>
  <c r="B4" i="43"/>
  <c r="L46" i="15"/>
  <c r="B2" i="15" s="1"/>
  <c r="B3" i="15" s="1"/>
  <c r="Q57" i="15"/>
  <c r="C43" i="15"/>
  <c r="Q66" i="15"/>
  <c r="Q48" i="15"/>
  <c r="Q54" i="15" s="1"/>
  <c r="J42" i="15"/>
  <c r="J43" i="15" s="1"/>
  <c r="C70" i="15"/>
  <c r="C46" i="15"/>
  <c r="J9" i="40"/>
  <c r="F9" i="40"/>
  <c r="H9" i="40"/>
  <c r="J9" i="39"/>
  <c r="H9" i="39"/>
  <c r="F9" i="39"/>
  <c r="D21" i="9"/>
  <c r="D20" i="9"/>
  <c r="L51" i="15"/>
  <c r="L57" i="15" l="1"/>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<sst xmlns="http://schemas.openxmlformats.org/spreadsheetml/2006/main" count="6650" uniqueCount="2969">
  <si>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</si>
  <si>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</si>
  <si>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</si>
  <si>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</si>
  <si>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</si>
  <si>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</si>
  <si>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</si>
  <si>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</si>
  <si>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</si>
  <si>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</si>
  <si>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</si>
  <si>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</si>
  <si>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</si>
  <si>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</si>
  <si>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</si>
  <si>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</si>
  <si>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</si>
  <si>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</si>
  <si>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</si>
  <si>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</si>
  <si>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</si>
  <si>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</si>
  <si>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</si>
  <si>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</si>
  <si>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</si>
  <si>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</si>
  <si>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</si>
  <si>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</si>
  <si>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</si>
  <si>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</si>
  <si>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</si>
  <si>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</si>
  <si>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</si>
  <si>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</si>
  <si>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</si>
  <si>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</si>
  <si>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</si>
  <si>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</si>
  <si>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</si>
  <si>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</si>
  <si>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</si>
  <si>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</si>
  <si>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</si>
  <si>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</si>
  <si>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</si>
  <si>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</si>
  <si>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</si>
  <si>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</si>
  <si>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</si>
  <si>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</si>
  <si>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</si>
  <si>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</si>
  <si>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</si>
  <si>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</si>
  <si>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</si>
  <si>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</si>
  <si>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</si>
  <si>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</si>
  <si>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</si>
  <si>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</si>
  <si>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</si>
  <si>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</si>
  <si>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</si>
  <si>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</si>
  <si>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</si>
  <si>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</si>
  <si>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</si>
  <si>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</si>
  <si>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</si>
  <si>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</si>
  <si>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</si>
  <si>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</si>
  <si>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</si>
  <si>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</si>
  <si>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</si>
  <si>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</si>
  <si>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</si>
  <si>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</si>
  <si>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</si>
  <si>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</si>
  <si>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</si>
  <si>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</si>
  <si>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</si>
  <si>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</si>
  <si>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</si>
  <si>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</si>
  <si>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</si>
  <si>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</si>
  <si>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</si>
  <si>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</si>
  <si>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</si>
  <si>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</si>
  <si>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</si>
  <si>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</si>
  <si>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</si>
  <si>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</si>
  <si>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</si>
  <si>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</si>
  <si>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</si>
  <si>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</si>
  <si>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</si>
  <si>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</si>
  <si>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</si>
  <si>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</si>
  <si>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</si>
  <si>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</si>
  <si>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</si>
  <si>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</si>
  <si>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</si>
  <si>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</si>
  <si>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</si>
  <si>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</si>
  <si>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</si>
  <si>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</si>
  <si>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</si>
  <si>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</si>
  <si>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</si>
  <si>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</si>
  <si>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</si>
  <si>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</si>
  <si>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</si>
  <si>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</si>
  <si>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</si>
  <si>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</si>
  <si>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</si>
  <si>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</si>
  <si>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</si>
  <si>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</si>
  <si>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</si>
  <si>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</si>
  <si>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</si>
  <si>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</si>
  <si>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</si>
  <si>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</si>
  <si>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</si>
  <si>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</si>
  <si>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</si>
  <si>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</si>
  <si>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</si>
  <si>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</si>
  <si>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</si>
  <si>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</si>
  <si>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</si>
  <si>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</si>
  <si>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</si>
  <si>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</si>
  <si>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</si>
  <si>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</si>
  <si>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</si>
  <si>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</si>
  <si>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</si>
  <si>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</si>
  <si>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</si>
  <si>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</si>
  <si>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</si>
  <si>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</si>
  <si>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</si>
  <si>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</si>
  <si>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</si>
  <si>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</si>
  <si>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</si>
  <si>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</si>
  <si>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</si>
  <si>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</si>
  <si>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</si>
  <si>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</si>
  <si>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</si>
  <si>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</si>
  <si>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</si>
  <si>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</si>
  <si>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</si>
  <si>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</si>
  <si>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</si>
  <si>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</si>
  <si>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</si>
  <si>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</si>
  <si>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</si>
  <si>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</si>
  <si>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</si>
  <si>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</si>
  <si>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</si>
  <si>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</si>
  <si>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</si>
  <si>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</si>
  <si>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</si>
  <si>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</si>
  <si>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</si>
  <si>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</si>
  <si>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</si>
  <si>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</si>
  <si>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</si>
  <si>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</si>
  <si>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</si>
  <si>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</si>
  <si>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</si>
  <si>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</si>
  <si>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</si>
  <si>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</si>
  <si>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</si>
  <si>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</si>
  <si>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</si>
  <si>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</si>
  <si>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</si>
  <si>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</si>
  <si>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</si>
  <si>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</si>
  <si>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</si>
  <si>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</si>
  <si>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</si>
  <si>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</si>
  <si>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</si>
  <si>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</si>
  <si>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</si>
  <si>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</si>
  <si>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</si>
  <si>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</si>
  <si>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</si>
  <si>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</si>
  <si>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</si>
  <si>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</si>
  <si>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</si>
  <si>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</si>
  <si>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</si>
  <si>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</si>
  <si>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</si>
  <si>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</si>
  <si>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</si>
  <si>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</si>
  <si>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</si>
  <si>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</si>
  <si>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</si>
  <si>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</si>
  <si>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</si>
  <si>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</si>
  <si>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</si>
  <si>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</si>
  <si>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</si>
  <si>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</si>
  <si>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</si>
  <si>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</si>
  <si>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</si>
  <si>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</si>
  <si>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</si>
  <si>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</si>
  <si>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</si>
  <si>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</si>
  <si>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</si>
  <si>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</si>
  <si>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</si>
  <si>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</si>
  <si>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</si>
  <si>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</si>
  <si>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</si>
  <si>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</si>
  <si>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</si>
  <si>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</si>
  <si>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</si>
  <si>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</si>
  <si>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</si>
  <si>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</si>
  <si>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</si>
  <si>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</si>
  <si>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</si>
  <si>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</si>
  <si>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</si>
  <si>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</si>
  <si>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</si>
  <si>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</si>
  <si>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</si>
  <si>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</si>
  <si>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</si>
  <si>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</si>
  <si>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</si>
  <si>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</si>
  <si>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</si>
  <si>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</si>
  <si>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</si>
  <si>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</si>
  <si>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</si>
  <si>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</si>
  <si>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</si>
  <si>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</si>
  <si>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</si>
  <si>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</si>
  <si>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</si>
  <si>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</si>
  <si>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</si>
  <si>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</si>
  <si>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</si>
  <si>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</si>
  <si>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</si>
  <si>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</si>
  <si>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</si>
  <si>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</si>
  <si>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</si>
  <si>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</si>
  <si>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</si>
  <si>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</si>
  <si>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</si>
  <si>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</si>
  <si>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</si>
  <si>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</si>
  <si>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</si>
  <si>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</si>
  <si>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</si>
  <si>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</si>
  <si>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</si>
  <si>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</si>
  <si>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</si>
  <si>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</si>
  <si>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</si>
  <si>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</si>
  <si>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</si>
  <si>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</si>
  <si>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</si>
  <si>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</si>
  <si>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</si>
  <si>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</si>
  <si>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</si>
  <si>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</si>
  <si>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</si>
  <si>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</si>
  <si>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</si>
  <si>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</si>
  <si>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</si>
  <si>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</si>
  <si>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</si>
  <si>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</si>
  <si>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</si>
  <si>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</si>
  <si>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</si>
  <si>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</si>
  <si>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</si>
  <si>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</si>
  <si>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</si>
  <si>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</si>
  <si>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</si>
  <si>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</si>
  <si>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</si>
  <si>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</si>
  <si>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</si>
  <si>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</si>
  <si>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</si>
  <si>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</si>
  <si>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</si>
  <si>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</si>
  <si>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</si>
  <si>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</si>
  <si>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</si>
  <si>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</si>
  <si>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</si>
  <si>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</si>
  <si>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</si>
  <si>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</si>
  <si>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</si>
  <si>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</si>
  <si>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</si>
  <si>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</si>
  <si>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</si>
  <si>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</si>
  <si>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</si>
  <si>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</si>
  <si>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</si>
  <si>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</si>
  <si>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</si>
  <si>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</si>
  <si>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</si>
  <si>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</si>
  <si>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</si>
  <si>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</si>
  <si>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</si>
  <si>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</si>
  <si>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</si>
  <si>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</si>
  <si>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</si>
  <si>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</si>
  <si>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</si>
  <si>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</si>
  <si>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</si>
  <si>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</si>
  <si>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</si>
  <si>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</si>
  <si>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</si>
  <si>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</si>
  <si>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</si>
  <si>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</si>
  <si>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</si>
  <si>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</si>
  <si>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</si>
  <si>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</si>
  <si>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</si>
  <si>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</si>
  <si>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</si>
  <si>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</si>
  <si>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</si>
  <si>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</si>
  <si>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</si>
  <si>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</si>
  <si>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</si>
  <si>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</si>
  <si>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</si>
  <si>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</si>
  <si>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</si>
  <si>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</si>
  <si>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</si>
  <si>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</si>
  <si>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</si>
  <si>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</si>
  <si>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</si>
  <si>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</si>
  <si>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</si>
  <si>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</si>
  <si>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</si>
  <si>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</si>
  <si>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</si>
  <si>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</si>
  <si>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</si>
  <si>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</si>
  <si>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</si>
  <si>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</si>
  <si>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</si>
  <si>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</si>
  <si>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</si>
  <si>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</si>
  <si>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</si>
  <si>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</si>
  <si>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</si>
  <si>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</si>
  <si>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</si>
  <si>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</si>
  <si>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</si>
  <si>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</si>
  <si>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</si>
  <si>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</si>
  <si>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</si>
  <si>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</si>
  <si>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</si>
  <si>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</si>
  <si>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</si>
  <si>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</si>
  <si>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</si>
  <si>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</si>
  <si>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</si>
  <si>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</si>
  <si>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</si>
  <si>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</si>
  <si>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</si>
  <si>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</si>
  <si>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</si>
  <si>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</si>
  <si>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</si>
  <si>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</si>
  <si>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</si>
  <si>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</si>
  <si>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</si>
  <si>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</si>
  <si>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</si>
  <si>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</si>
  <si>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</si>
  <si>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</si>
  <si>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</si>
  <si>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</si>
  <si>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</si>
  <si>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</si>
  <si>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</si>
  <si>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</si>
  <si>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</si>
  <si>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</si>
  <si>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</si>
  <si>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</si>
  <si>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</si>
  <si>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</si>
  <si>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</si>
  <si>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</si>
  <si>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</si>
  <si>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</si>
  <si>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</si>
  <si>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</si>
  <si>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</si>
  <si>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</si>
  <si>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</si>
  <si>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</si>
  <si>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</si>
  <si>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</si>
  <si>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</si>
  <si>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</si>
  <si>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</si>
  <si>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</si>
  <si>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</si>
  <si>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</si>
  <si>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</si>
  <si>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</si>
  <si>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</si>
  <si>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</si>
  <si>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</si>
  <si>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</si>
  <si>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</si>
  <si>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</si>
  <si>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</si>
  <si>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</si>
  <si>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</si>
  <si>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</si>
  <si>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</si>
  <si>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</si>
  <si>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</si>
  <si>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</si>
  <si>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</si>
  <si>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</si>
  <si>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</si>
  <si>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</si>
  <si>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</si>
  <si>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</si>
  <si>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</si>
  <si>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</si>
  <si>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</si>
  <si>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</si>
  <si>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</si>
  <si>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</si>
  <si>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</si>
  <si>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</si>
  <si>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</si>
  <si>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</si>
  <si>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</si>
  <si>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</si>
  <si>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</si>
  <si>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</si>
  <si>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</si>
  <si>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</si>
  <si>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</si>
  <si>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</si>
  <si>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</si>
  <si>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</si>
  <si>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</si>
  <si>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</si>
  <si>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</si>
  <si>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</si>
  <si>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</si>
  <si>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</si>
  <si>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</si>
  <si>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</si>
  <si>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</si>
  <si>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</si>
  <si>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</si>
  <si>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</si>
  <si>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</si>
  <si>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</si>
  <si>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</si>
  <si>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</si>
  <si>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</si>
  <si>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</si>
  <si>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</si>
  <si>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</si>
  <si>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</si>
  <si>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</si>
  <si>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</si>
  <si>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</si>
  <si>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</si>
  <si>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</si>
  <si>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</si>
  <si>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</si>
  <si>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</si>
  <si>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</si>
  <si>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</si>
  <si>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</si>
  <si>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</si>
  <si>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</si>
  <si>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</si>
  <si>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</si>
  <si>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</si>
  <si>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</si>
  <si>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</si>
  <si>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</si>
  <si>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</si>
  <si>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</si>
  <si>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</si>
  <si>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</si>
  <si>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</si>
  <si>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</si>
  <si>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</si>
  <si>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</si>
  <si>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</si>
  <si>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</si>
  <si>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</si>
  <si>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</si>
  <si>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</si>
  <si>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</si>
  <si>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</si>
  <si>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</si>
  <si>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</si>
  <si>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</si>
  <si>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</si>
  <si>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</si>
  <si>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</si>
  <si>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</si>
  <si>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</si>
  <si>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</si>
  <si>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</si>
  <si>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</si>
  <si>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</si>
  <si>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</si>
  <si>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</si>
  <si>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</si>
  <si>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</si>
  <si>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</si>
  <si>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</si>
  <si>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</si>
  <si>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</si>
  <si>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</si>
  <si>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</si>
  <si>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</si>
  <si>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</si>
  <si>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</si>
  <si>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</si>
  <si>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</si>
  <si>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</si>
  <si>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</si>
  <si>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</si>
  <si>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</si>
  <si>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</si>
  <si>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</si>
  <si>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</si>
  <si>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</si>
  <si>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</si>
  <si>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</si>
  <si>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</si>
  <si>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</si>
  <si>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</si>
  <si>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</si>
  <si>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</si>
  <si>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</si>
  <si>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</si>
  <si>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</si>
  <si>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</si>
  <si>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</si>
  <si>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</si>
  <si>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</si>
  <si>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</si>
  <si>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</si>
  <si>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</si>
  <si>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</si>
  <si>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</si>
  <si>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</si>
  <si>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</si>
  <si>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</si>
  <si>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</si>
  <si>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</si>
  <si>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</si>
  <si>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</si>
  <si>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</si>
  <si>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</si>
  <si>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</si>
  <si>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</si>
  <si>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</si>
  <si>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</si>
  <si>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</si>
  <si>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</si>
  <si>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</si>
  <si>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</si>
  <si>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</si>
  <si>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</si>
  <si>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</si>
  <si>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</si>
  <si>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</si>
  <si>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</si>
  <si>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</si>
  <si>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</si>
  <si>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</si>
  <si>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</si>
  <si>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</si>
  <si>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</si>
  <si>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</si>
  <si>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</si>
  <si>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</si>
  <si>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</si>
  <si>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</si>
  <si>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</si>
  <si>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</si>
  <si>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</si>
  <si>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</si>
  <si>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</si>
  <si>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</si>
  <si>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</si>
  <si>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</si>
  <si>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</si>
  <si>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</si>
  <si>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</si>
  <si>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</si>
  <si>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</si>
  <si>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</si>
  <si>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</si>
  <si>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</si>
  <si>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</si>
  <si>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</si>
  <si>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</si>
  <si>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</si>
  <si>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</si>
  <si>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</si>
  <si>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</si>
  <si>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</si>
  <si>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</si>
  <si>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</si>
  <si>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</si>
  <si>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</si>
  <si>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</si>
  <si>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</si>
  <si>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</si>
  <si>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</si>
  <si>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</si>
  <si>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</si>
  <si>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</si>
  <si>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</si>
  <si>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</si>
  <si>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</si>
  <si>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</si>
  <si>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</si>
  <si>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</si>
  <si>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</si>
  <si>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</si>
  <si>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</si>
  <si>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</si>
  <si>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</si>
  <si>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</si>
  <si>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</si>
  <si>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</si>
  <si>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</si>
  <si>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</si>
  <si>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</si>
  <si>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</si>
  <si>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</si>
  <si>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</si>
  <si>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</si>
  <si>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</si>
  <si>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</si>
  <si>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</si>
  <si>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</si>
  <si>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</si>
  <si>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</si>
  <si>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</si>
  <si>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</si>
  <si>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</si>
  <si>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</si>
  <si>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</si>
  <si>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</si>
  <si>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</si>
  <si>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</si>
  <si>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</si>
  <si>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</si>
  <si>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</si>
  <si>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</si>
  <si>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</si>
  <si>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</si>
  <si>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</si>
  <si>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</si>
  <si>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</si>
  <si>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</si>
  <si>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</si>
  <si>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</si>
  <si>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</si>
  <si>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</si>
  <si>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</si>
  <si>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</si>
  <si>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</si>
  <si>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</si>
  <si>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</si>
  <si>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</si>
  <si>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</si>
  <si>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</si>
  <si>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</si>
  <si>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</si>
  <si>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</si>
  <si>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</si>
  <si>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</si>
  <si>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</si>
  <si>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</si>
  <si>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</si>
  <si>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</si>
  <si>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</si>
  <si>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</si>
  <si>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</si>
  <si>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</si>
  <si>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</si>
  <si>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</si>
  <si>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</si>
  <si>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</si>
  <si>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</si>
  <si>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</si>
  <si>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</si>
  <si>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</si>
  <si>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</si>
  <si>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</si>
  <si>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</si>
  <si>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</si>
  <si>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</si>
  <si>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</si>
  <si>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</si>
  <si>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</si>
  <si>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</si>
  <si>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</si>
  <si>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</si>
  <si>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</si>
  <si>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</si>
  <si>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</si>
  <si>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</si>
  <si>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</si>
  <si>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</si>
  <si>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</si>
  <si>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</si>
  <si>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</si>
  <si>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</si>
  <si>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</si>
  <si>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</si>
  <si>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</si>
  <si>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</si>
  <si>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</si>
  <si>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</si>
  <si>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</si>
  <si>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</si>
  <si>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</si>
  <si>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</si>
  <si>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</si>
  <si>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</si>
  <si>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</si>
  <si>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</si>
  <si>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</si>
  <si>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</si>
  <si>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</si>
  <si>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</si>
  <si>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</si>
  <si>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</si>
  <si>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</si>
  <si>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</si>
  <si>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</si>
  <si>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</si>
  <si>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</si>
  <si>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</si>
  <si>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</si>
  <si>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</si>
  <si>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</si>
  <si>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</si>
  <si>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</si>
  <si>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</si>
  <si>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</si>
  <si>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</si>
  <si>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</si>
  <si>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</si>
  <si>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</si>
  <si>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</si>
  <si>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</si>
  <si>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</si>
  <si>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</si>
  <si>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</si>
  <si>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</si>
  <si>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</si>
  <si>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</si>
  <si>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</si>
  <si>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</si>
  <si>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</si>
  <si>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</si>
  <si>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</si>
  <si>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</si>
  <si>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</si>
  <si>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</si>
  <si>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</si>
  <si>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</si>
  <si>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</si>
  <si>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</si>
  <si>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</si>
  <si>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</si>
  <si>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</si>
  <si>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</si>
  <si>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</si>
  <si>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</si>
  <si>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</si>
  <si>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</si>
  <si>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</si>
  <si>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</si>
  <si>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</si>
  <si>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</si>
  <si>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</si>
  <si>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</si>
  <si>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</si>
  <si>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</si>
  <si>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</si>
  <si>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</si>
  <si>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</si>
  <si>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</si>
  <si>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</si>
  <si>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</si>
  <si>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</si>
  <si>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</si>
  <si>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</si>
  <si>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</si>
  <si>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</si>
  <si>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</si>
  <si>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</si>
  <si>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</si>
  <si>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</si>
  <si>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</si>
  <si>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</si>
  <si>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</si>
  <si>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</si>
  <si>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</si>
  <si>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</si>
  <si>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</si>
  <si>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</si>
  <si>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</si>
  <si>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</si>
  <si>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</si>
  <si>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</si>
  <si>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</si>
  <si>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</si>
  <si>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</si>
  <si>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</si>
  <si>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</si>
  <si>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</si>
  <si>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</si>
  <si>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</si>
  <si>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</si>
  <si>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</si>
  <si>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</si>
  <si>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</si>
  <si>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</si>
  <si>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</si>
  <si>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</si>
  <si>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</si>
  <si>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</si>
  <si>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</si>
  <si>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</si>
  <si>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</si>
  <si>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</si>
  <si>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</si>
  <si>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</si>
  <si>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</si>
  <si>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</si>
  <si>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</si>
  <si>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</si>
  <si>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</si>
  <si>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</si>
  <si>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</si>
  <si>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</si>
  <si>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</si>
  <si>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</si>
  <si>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</si>
  <si>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</si>
  <si>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</si>
  <si>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</si>
  <si>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</si>
  <si>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</si>
  <si>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</si>
  <si>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</si>
  <si>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</si>
  <si>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</si>
  <si>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</si>
  <si>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</si>
  <si>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</si>
  <si>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</si>
  <si>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</si>
  <si>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</si>
  <si>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</si>
  <si>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</si>
  <si>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</si>
  <si>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</si>
  <si>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</si>
  <si>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</si>
  <si>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</si>
  <si>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</si>
  <si>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</si>
  <si>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</si>
  <si>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</si>
  <si>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</si>
  <si>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</si>
  <si>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</si>
  <si>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</si>
  <si>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</si>
  <si>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</si>
  <si>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</si>
  <si>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</si>
  <si>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</si>
  <si>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</si>
  <si>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</si>
  <si>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</si>
  <si>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</si>
  <si>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</si>
  <si>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</si>
  <si>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</si>
  <si>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</si>
  <si>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</si>
  <si>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</si>
  <si>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</si>
  <si>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</si>
  <si>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</si>
  <si>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</si>
  <si>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</si>
  <si>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</si>
  <si>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</si>
  <si>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</si>
  <si>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</si>
  <si>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</si>
  <si>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</si>
  <si>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</si>
  <si>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</si>
  <si>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</si>
  <si>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</si>
  <si>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</si>
  <si>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</si>
  <si>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</si>
  <si>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</si>
  <si>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</si>
  <si>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</si>
  <si>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</si>
  <si>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</si>
  <si>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</si>
  <si>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</si>
  <si>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</si>
  <si>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</si>
  <si>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</si>
  <si>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</si>
  <si>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</si>
  <si>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</si>
  <si>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</si>
  <si>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</si>
  <si>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</si>
  <si>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</si>
  <si>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</si>
  <si>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</si>
  <si>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</si>
  <si>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</si>
  <si>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</si>
  <si>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</si>
  <si>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</si>
  <si>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</si>
  <si>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</si>
  <si>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</si>
  <si>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</si>
  <si>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</si>
  <si>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</si>
  <si>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</si>
  <si>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</si>
  <si>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</si>
  <si>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</si>
  <si>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</si>
  <si>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</si>
  <si>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</si>
  <si>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</si>
  <si>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</si>
  <si>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</si>
  <si>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</si>
  <si>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</si>
  <si>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</si>
  <si>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</si>
  <si>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</si>
  <si>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</si>
  <si>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</si>
  <si>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</si>
  <si>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</si>
  <si>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</si>
  <si>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</si>
  <si>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</si>
  <si>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</si>
  <si>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</si>
  <si>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</si>
  <si>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</si>
  <si>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</si>
  <si>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</si>
  <si>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</si>
  <si>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</si>
  <si>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</si>
  <si>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</si>
  <si>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</si>
  <si>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</si>
  <si>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</si>
  <si>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</si>
  <si>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</si>
  <si>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</si>
  <si>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</si>
  <si>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</si>
  <si>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</si>
  <si>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</si>
  <si>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</si>
  <si>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</si>
  <si>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</si>
  <si>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</si>
  <si>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</si>
  <si>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</si>
  <si>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</si>
  <si>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</si>
  <si>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</si>
  <si>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</si>
  <si>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</si>
  <si>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</si>
  <si>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</si>
  <si>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</si>
  <si>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</si>
  <si>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</si>
  <si>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</si>
  <si>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</si>
  <si>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</si>
  <si>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</si>
  <si>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</si>
  <si>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</si>
  <si>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</si>
  <si>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</si>
  <si>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</si>
  <si>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</si>
  <si>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</si>
  <si>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</si>
  <si>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</si>
  <si>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</si>
  <si>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</si>
  <si>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</si>
  <si>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</si>
  <si>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</si>
  <si>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</si>
  <si>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</si>
  <si>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</si>
  <si>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</si>
  <si>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</si>
  <si>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</si>
  <si>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</si>
  <si>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</si>
  <si>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</si>
  <si>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</si>
  <si>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</si>
  <si>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</si>
  <si>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</si>
  <si>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</si>
  <si>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</si>
  <si>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</si>
  <si>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</si>
  <si>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</si>
  <si>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</si>
  <si>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</si>
  <si>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</si>
  <si>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</si>
  <si>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</si>
  <si>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</si>
  <si>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</si>
  <si>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</si>
  <si>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</si>
  <si>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</si>
  <si>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</si>
  <si>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</si>
  <si>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</si>
  <si>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</si>
  <si>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</si>
  <si>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</si>
  <si>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</si>
  <si>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</si>
  <si>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</si>
  <si>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</si>
  <si>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</si>
  <si>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</si>
  <si>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</si>
  <si>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</si>
  <si>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</si>
  <si>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</si>
  <si>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</si>
  <si>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</si>
  <si>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</si>
  <si>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</si>
  <si>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</si>
  <si>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</si>
  <si>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</si>
  <si>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</si>
  <si>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</si>
  <si>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</si>
  <si>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</si>
  <si>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</si>
  <si>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</si>
  <si>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</si>
  <si>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</si>
  <si>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</si>
  <si>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</si>
  <si>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</si>
  <si>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</si>
  <si>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</si>
  <si>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</si>
  <si>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</si>
  <si>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</si>
  <si>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</si>
  <si>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</si>
  <si>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</si>
  <si>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</si>
  <si>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</si>
  <si>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</si>
  <si>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</si>
  <si>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</si>
  <si>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</si>
  <si>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</si>
  <si>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</si>
  <si>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</si>
  <si>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</si>
  <si>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</si>
  <si>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</si>
  <si>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</si>
  <si>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</si>
  <si>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</si>
  <si>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</si>
  <si>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</si>
  <si>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</si>
  <si>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</si>
  <si>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</si>
  <si>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</si>
  <si>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</si>
  <si>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</si>
  <si>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</si>
  <si>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</si>
  <si>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</si>
  <si>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</si>
  <si>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</si>
  <si>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</si>
  <si>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</si>
  <si>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</si>
  <si>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</si>
  <si>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</si>
  <si>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</si>
  <si>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</si>
  <si>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</si>
  <si>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</si>
  <si>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</si>
  <si>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</si>
  <si>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</si>
  <si>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</si>
  <si>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</si>
  <si>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</si>
  <si>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</si>
  <si>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</si>
  <si>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</si>
  <si>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</si>
  <si>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</si>
  <si>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</si>
  <si>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</si>
  <si>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</si>
  <si>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</si>
  <si>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</si>
  <si>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</si>
  <si>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</si>
  <si>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</si>
  <si>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</si>
  <si>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</si>
  <si>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</si>
  <si>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</si>
  <si>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</si>
  <si>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</si>
  <si>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</si>
  <si>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</si>
  <si>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</si>
  <si>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</si>
  <si>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</si>
  <si>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</si>
  <si>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</si>
  <si>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</si>
  <si>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</si>
  <si>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</si>
  <si>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</si>
  <si>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</si>
  <si>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</si>
  <si>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</si>
  <si>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</si>
  <si>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</si>
  <si>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</si>
  <si>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</si>
  <si>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</si>
  <si>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</si>
  <si>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</si>
  <si>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</si>
  <si>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</si>
  <si>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</si>
  <si>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</si>
  <si>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</si>
  <si>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</si>
  <si>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</si>
  <si>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</si>
  <si>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</si>
  <si>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</si>
  <si>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</si>
  <si>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</si>
  <si>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</si>
  <si>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</si>
  <si>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</si>
  <si>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</si>
  <si>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</si>
  <si>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</si>
  <si>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</si>
  <si>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</si>
  <si>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</si>
  <si>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</si>
  <si>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</si>
  <si>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</si>
  <si>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</si>
  <si>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</si>
  <si>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</si>
  <si>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</si>
  <si>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</si>
  <si>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</si>
  <si>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</si>
  <si>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</si>
  <si>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</si>
  <si>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</si>
  <si>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</si>
  <si>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</si>
  <si>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</si>
  <si>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</si>
  <si>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</si>
  <si>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</si>
  <si>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</si>
  <si>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</si>
  <si>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</si>
  <si>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</si>
  <si>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</si>
  <si>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</si>
  <si>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</si>
  <si>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</si>
  <si>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</si>
  <si>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</si>
  <si>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</si>
  <si>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</si>
  <si>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</si>
  <si>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</si>
  <si>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</si>
  <si>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</si>
  <si>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</si>
  <si>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</si>
  <si>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</si>
  <si>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</si>
  <si>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</si>
  <si>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</si>
  <si>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</si>
  <si>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</si>
  <si>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</si>
  <si>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</si>
  <si>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</si>
  <si>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</si>
  <si>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</si>
  <si>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</si>
  <si>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</si>
  <si>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</si>
  <si>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</si>
  <si>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</si>
  <si>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</si>
  <si>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</si>
  <si>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</si>
  <si>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</si>
  <si>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</si>
  <si>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</si>
  <si>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</si>
  <si>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</si>
  <si>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</si>
  <si>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</si>
  <si>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</si>
  <si>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</si>
  <si>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</si>
  <si>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</si>
  <si>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</si>
  <si>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</si>
  <si>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</si>
  <si>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</si>
  <si>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</si>
  <si>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</si>
  <si>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</si>
  <si>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</si>
  <si>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</si>
  <si>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</si>
  <si>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</si>
  <si>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</si>
  <si>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</si>
  <si>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</si>
  <si>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</si>
  <si>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</si>
  <si>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</si>
  <si>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</si>
  <si>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</si>
  <si>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</si>
  <si>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</si>
  <si>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</si>
  <si>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</si>
  <si>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</si>
  <si>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</si>
  <si>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</si>
  <si>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</si>
  <si>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</si>
  <si>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</si>
  <si>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</si>
  <si>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</si>
  <si>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</si>
  <si>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</si>
  <si>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</si>
  <si>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</si>
  <si>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</si>
  <si>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</si>
  <si>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</si>
  <si>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</si>
  <si>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</si>
  <si>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</si>
  <si>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</si>
  <si>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</si>
  <si>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</si>
  <si>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</si>
  <si>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</si>
  <si>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</si>
  <si>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</si>
  <si>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</si>
  <si>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</si>
  <si>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</si>
  <si>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</si>
  <si>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</si>
  <si>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</si>
  <si>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</si>
  <si>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</si>
  <si>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</si>
  <si>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</si>
  <si>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</si>
  <si>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</si>
  <si>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</si>
  <si>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</si>
  <si>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</si>
  <si>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</si>
  <si>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</si>
  <si>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</si>
  <si>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</si>
  <si>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</si>
  <si>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</si>
  <si>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</si>
  <si>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</si>
  <si>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</si>
  <si>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</si>
  <si>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</si>
  <si>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</si>
  <si>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</si>
  <si>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</si>
  <si>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</si>
  <si>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</si>
  <si>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</si>
  <si>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</si>
  <si>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</si>
  <si>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</si>
  <si>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</si>
  <si>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</si>
  <si>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</si>
  <si>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</si>
  <si>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</si>
  <si>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</si>
  <si>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</si>
  <si>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</si>
  <si>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</si>
  <si>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</si>
  <si>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</si>
  <si>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</si>
  <si>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</si>
  <si>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</si>
  <si>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</si>
  <si>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</si>
  <si>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</si>
  <si>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</si>
  <si>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</si>
  <si>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</si>
  <si>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</si>
  <si>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</si>
  <si>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</si>
  <si>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</si>
  <si>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</si>
  <si>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</si>
  <si>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</si>
  <si>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</si>
  <si>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</si>
  <si>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</si>
  <si>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</si>
  <si>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</si>
  <si>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</si>
  <si>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</si>
  <si>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</si>
  <si>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</si>
  <si>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</si>
  <si>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</si>
  <si>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</si>
  <si>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</si>
  <si>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</si>
  <si>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</si>
  <si>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</si>
  <si>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</si>
  <si>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</si>
  <si>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</si>
  <si>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</si>
  <si>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</si>
  <si>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</si>
  <si>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</si>
  <si>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</si>
  <si>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</si>
  <si>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</si>
  <si>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</si>
  <si>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</si>
  <si>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</si>
  <si>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</si>
  <si>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</si>
  <si>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</si>
  <si>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</si>
  <si>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</si>
  <si>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</si>
  <si>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</si>
  <si>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</si>
  <si>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</si>
  <si>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</si>
  <si>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</si>
  <si>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</si>
  <si>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</si>
  <si>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</si>
  <si>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</si>
  <si>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</si>
  <si>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</si>
  <si>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</si>
  <si>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</si>
  <si>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</si>
  <si>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</si>
  <si>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</si>
  <si>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</si>
  <si>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</si>
  <si>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</si>
  <si>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</si>
  <si>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</si>
  <si>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</si>
  <si>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</si>
  <si>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</si>
  <si>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</si>
  <si>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</si>
  <si>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</si>
  <si>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</si>
  <si>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</si>
  <si>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</si>
  <si>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</si>
  <si>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</si>
  <si>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</si>
  <si>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</si>
  <si>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</si>
  <si>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</si>
  <si>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</si>
  <si>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</si>
  <si>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</si>
  <si>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</si>
  <si>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</si>
  <si>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</si>
  <si>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</si>
  <si>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</si>
  <si>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</si>
  <si>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</si>
  <si>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</si>
  <si>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</si>
  <si>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</si>
  <si>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</si>
  <si>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</si>
  <si>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</si>
  <si>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</si>
  <si>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</si>
  <si>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</si>
  <si>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</si>
  <si>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</si>
  <si>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</si>
  <si>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</si>
  <si>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</si>
  <si>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</si>
  <si>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</si>
  <si>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</si>
  <si>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</si>
  <si>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</si>
  <si>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</si>
  <si>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</si>
  <si>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</si>
  <si>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</si>
  <si>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</si>
  <si>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</si>
  <si>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</si>
  <si>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</si>
  <si>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</si>
  <si>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</si>
  <si>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</si>
  <si>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</si>
  <si>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</si>
  <si>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</si>
  <si>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</si>
  <si>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</si>
  <si>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</si>
  <si>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</si>
  <si>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</si>
  <si>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</si>
  <si>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</si>
  <si>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</si>
  <si>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</si>
  <si>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</si>
  <si>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</si>
  <si>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</si>
  <si>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</si>
  <si>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</si>
  <si>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</si>
  <si>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</si>
  <si>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</si>
  <si>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</si>
  <si>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</si>
  <si>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</si>
  <si>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</si>
  <si>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</si>
  <si>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</si>
  <si>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</si>
  <si>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</si>
  <si>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</si>
  <si>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</si>
  <si>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</si>
  <si>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</si>
  <si>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</si>
  <si>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</si>
  <si>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</si>
  <si>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</si>
  <si>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</si>
  <si>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</si>
  <si>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</si>
  <si>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</si>
  <si>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</si>
  <si>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</si>
  <si>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</si>
  <si>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</si>
  <si>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</si>
  <si>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</si>
  <si>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</si>
  <si>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</si>
  <si>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</si>
  <si>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</si>
  <si>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</si>
  <si>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</si>
  <si>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</si>
  <si>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</si>
  <si>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</si>
  <si>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</si>
  <si>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</si>
  <si>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</si>
  <si>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</si>
  <si>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</si>
  <si>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</si>
  <si>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</si>
  <si>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</si>
  <si>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</si>
  <si>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</si>
  <si>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</si>
  <si>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</si>
  <si>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</si>
  <si>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</si>
  <si>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</si>
  <si>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</si>
  <si>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</si>
  <si>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</si>
  <si>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</si>
  <si>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</si>
  <si>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</si>
  <si>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</si>
  <si>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</si>
  <si>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</si>
  <si>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</si>
  <si>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</si>
  <si>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</si>
  <si>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</si>
  <si>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</si>
  <si>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</si>
  <si>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</si>
  <si>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</si>
  <si>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</si>
  <si>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</si>
  <si>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</si>
  <si>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</si>
  <si>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</si>
  <si>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</si>
  <si>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</si>
  <si>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</si>
  <si>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</si>
  <si>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</si>
  <si>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</si>
  <si>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</si>
  <si>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</si>
  <si>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</si>
  <si>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</si>
  <si>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</si>
  <si>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</si>
  <si>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</si>
  <si>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</si>
  <si>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</si>
  <si>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</si>
  <si>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</si>
  <si>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</si>
  <si>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</si>
  <si>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</si>
  <si>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</si>
  <si>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</si>
  <si>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</si>
  <si>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</si>
  <si>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</si>
  <si>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</si>
  <si>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</si>
  <si>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</si>
  <si>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</si>
  <si>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</si>
  <si>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</si>
  <si>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</si>
  <si>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</si>
  <si>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</si>
  <si>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</si>
  <si>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</si>
  <si>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</si>
  <si>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</si>
  <si>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</si>
  <si>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</si>
  <si>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</si>
  <si>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</si>
  <si>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</si>
  <si>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</si>
  <si>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</si>
  <si>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</si>
  <si>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</si>
  <si>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</si>
  <si>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</si>
  <si>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</si>
  <si>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</si>
  <si>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</si>
  <si>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</si>
  <si>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</si>
  <si>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</si>
  <si>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</si>
  <si>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</si>
  <si>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</si>
  <si>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</si>
  <si>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</si>
  <si>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</si>
  <si>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</si>
  <si>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</si>
  <si>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</si>
  <si>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</si>
  <si>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</si>
  <si>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</si>
  <si>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</si>
  <si>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</si>
  <si>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</si>
  <si>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</si>
  <si>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</si>
  <si>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</si>
  <si>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</si>
  <si>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</si>
  <si>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</si>
  <si>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</si>
  <si>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</si>
  <si>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</si>
  <si>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</si>
  <si>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</si>
  <si>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</si>
  <si>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</si>
  <si>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</si>
  <si>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</si>
  <si>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</si>
  <si>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</si>
  <si>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</si>
  <si>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</si>
  <si>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</si>
  <si>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</si>
  <si>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</si>
  <si>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</si>
  <si>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</si>
  <si>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</si>
  <si>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</si>
  <si>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</si>
  <si>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</si>
  <si>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</si>
  <si>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</si>
  <si>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</si>
  <si>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</si>
  <si>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</si>
  <si>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</si>
  <si>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</si>
  <si>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</si>
  <si>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</si>
  <si>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</si>
  <si>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</si>
  <si>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</si>
  <si>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</si>
  <si>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</si>
  <si>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</si>
  <si>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</si>
  <si>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</si>
  <si>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</si>
  <si>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</si>
  <si>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</si>
  <si>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</si>
  <si>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</si>
  <si>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</si>
  <si>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</si>
  <si>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</si>
  <si>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</si>
  <si>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</si>
  <si>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</si>
  <si>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</si>
  <si>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</si>
  <si>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</si>
  <si>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</si>
  <si>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</si>
  <si>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</si>
  <si>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</si>
  <si>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</si>
  <si>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</si>
  <si>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</si>
  <si>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</si>
  <si>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</si>
  <si>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</si>
  <si>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</si>
  <si>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</si>
  <si>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</si>
  <si>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</si>
  <si>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</si>
  <si>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</si>
  <si>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</si>
  <si>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</si>
  <si>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</si>
  <si>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</si>
  <si>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</si>
  <si>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</si>
  <si>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</si>
  <si>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</si>
  <si>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</si>
  <si>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</si>
  <si>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</si>
  <si>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</si>
  <si>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</si>
  <si>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</si>
  <si>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</si>
  <si>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</si>
  <si>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</si>
  <si>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</si>
  <si>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</si>
  <si>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</si>
  <si>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</si>
  <si>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</si>
  <si>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</si>
  <si>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</si>
  <si>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</si>
  <si>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</si>
  <si>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</si>
  <si>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</si>
  <si>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</si>
  <si>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</si>
  <si>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</si>
  <si>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</si>
  <si>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</si>
  <si>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</si>
  <si>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</si>
  <si>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</si>
  <si>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</si>
  <si>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</si>
  <si>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</si>
  <si>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</si>
  <si>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</si>
  <si>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</si>
  <si>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</si>
  <si>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</si>
  <si>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</si>
  <si>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</si>
  <si>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</si>
  <si>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</si>
  <si>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</si>
  <si>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</si>
  <si>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</si>
  <si>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</si>
  <si>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</si>
  <si>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</si>
  <si>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</si>
  <si>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</si>
  <si>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</si>
  <si>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</si>
  <si>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</si>
  <si>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</si>
  <si>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</si>
  <si>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</si>
  <si>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</si>
  <si>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</si>
  <si>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</si>
  <si>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</si>
  <si>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</si>
  <si>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</si>
  <si>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</si>
  <si>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</si>
  <si>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</si>
  <si>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</si>
  <si>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</si>
  <si>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</si>
  <si>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</si>
  <si>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</si>
  <si>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</si>
  <si>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</si>
  <si>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</si>
  <si>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</si>
  <si>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</si>
  <si>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</si>
  <si>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</si>
  <si>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</si>
  <si>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</si>
  <si>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</si>
  <si>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</si>
  <si>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</si>
  <si>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</si>
  <si>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</si>
  <si>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</si>
  <si>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</si>
  <si>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</si>
  <si>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</si>
  <si>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</si>
  <si>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</si>
  <si>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</si>
  <si>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</si>
  <si>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</si>
  <si>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</si>
  <si>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</si>
  <si>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</si>
  <si>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</si>
  <si>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</si>
  <si>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</si>
  <si>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</si>
  <si>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</si>
  <si>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</si>
  <si>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</si>
  <si>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</si>
  <si>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</si>
  <si>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</si>
  <si>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</si>
  <si>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</si>
  <si>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</si>
  <si>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</si>
  <si>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</si>
  <si>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</si>
  <si>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</si>
  <si>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</si>
  <si>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</si>
  <si>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</si>
  <si>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</si>
  <si>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</si>
  <si>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</si>
  <si>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</si>
  <si>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</si>
  <si>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</si>
  <si>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</si>
  <si>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</si>
  <si>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</si>
  <si>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</si>
  <si>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</si>
  <si>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</si>
  <si>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</si>
  <si>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</si>
  <si>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</si>
  <si>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</si>
  <si>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</si>
  <si>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</si>
  <si>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</si>
  <si>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</si>
  <si>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</si>
  <si>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</si>
  <si>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</si>
  <si>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</si>
  <si>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</si>
  <si>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</si>
  <si>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</si>
  <si>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</si>
  <si>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</si>
  <si>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</si>
  <si>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</si>
  <si>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</si>
  <si>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</si>
  <si>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</si>
  <si>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</si>
  <si>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</si>
  <si>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</si>
  <si>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</si>
  <si>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</si>
  <si>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</si>
  <si>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</si>
  <si>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</si>
  <si>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</si>
  <si>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</si>
  <si>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</si>
  <si>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</si>
  <si>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</si>
  <si>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</si>
  <si>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</si>
  <si>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</si>
  <si>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</si>
  <si>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</si>
  <si>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</si>
  <si>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</si>
  <si>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</si>
  <si>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</si>
  <si>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</si>
  <si>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</si>
  <si>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</si>
  <si>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</si>
  <si>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</si>
  <si>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</si>
  <si>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</si>
  <si>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</si>
  <si>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</si>
  <si>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</si>
  <si>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</si>
  <si>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</si>
  <si>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</si>
  <si>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</si>
  <si>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</si>
  <si>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</si>
  <si>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</si>
  <si>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</si>
  <si>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</si>
  <si>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</si>
  <si>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</si>
  <si>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</si>
  <si>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</si>
  <si>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</si>
  <si>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</si>
  <si>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</si>
  <si>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</si>
  <si>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</si>
  <si>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</si>
  <si>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</si>
  <si>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</si>
  <si>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</si>
  <si>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</si>
  <si>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</si>
  <si>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</si>
  <si>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</si>
  <si>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</si>
  <si>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</si>
  <si>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</si>
  <si>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</si>
  <si>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</si>
  <si>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</si>
  <si>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</si>
  <si>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</si>
  <si>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</si>
  <si>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</si>
  <si>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</si>
  <si>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</si>
  <si>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</si>
  <si>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</si>
  <si>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</si>
  <si>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</si>
  <si>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</si>
  <si>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</si>
  <si>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</si>
  <si>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</si>
  <si>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</si>
  <si>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</si>
  <si>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</si>
  <si>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</si>
  <si>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</si>
  <si>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</si>
  <si>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</si>
  <si>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</si>
  <si>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</si>
  <si>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</si>
  <si>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</si>
  <si>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</si>
  <si>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</si>
  <si>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</si>
  <si>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</si>
  <si>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</si>
  <si>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</si>
  <si>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</si>
  <si>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</si>
  <si>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</si>
  <si>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</si>
  <si>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</si>
  <si>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</si>
  <si>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</si>
  <si>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</si>
  <si>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</si>
  <si>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</si>
  <si>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</si>
  <si>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</si>
  <si>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</si>
  <si>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</si>
  <si>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</si>
  <si>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</si>
  <si>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</si>
  <si>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</si>
  <si>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</si>
  <si>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</si>
  <si>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</si>
  <si>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</si>
  <si>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</si>
  <si>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</si>
  <si>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</si>
  <si>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</si>
  <si>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</si>
  <si>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</si>
  <si>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</si>
  <si>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</si>
  <si>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</si>
  <si>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</si>
  <si>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</si>
  <si>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</si>
  <si>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</si>
  <si>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</si>
  <si>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</si>
  <si>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</si>
  <si>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</si>
  <si>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</si>
  <si>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</si>
  <si>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</si>
  <si>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</si>
  <si>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</si>
  <si>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</si>
  <si>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</si>
  <si>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</si>
  <si>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</si>
  <si>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</si>
  <si>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</si>
  <si>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</si>
  <si>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</si>
  <si>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</si>
  <si>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</si>
  <si>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</si>
  <si>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</si>
  <si>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</si>
  <si>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</si>
  <si>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</si>
  <si>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</si>
  <si>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</si>
  <si>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</si>
  <si>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</si>
  <si>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</si>
  <si>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</si>
  <si>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</si>
  <si>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</si>
  <si>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</si>
  <si>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</si>
  <si>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</si>
  <si>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</si>
  <si>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</si>
  <si>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</si>
  <si>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</si>
  <si>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</si>
  <si>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</si>
  <si>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</si>
  <si>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</si>
  <si>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</si>
  <si>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</si>
  <si>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</si>
  <si>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</si>
  <si>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</si>
  <si>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</si>
  <si>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</si>
  <si>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</si>
  <si>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</si>
  <si>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</si>
  <si>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</si>
  <si>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</si>
  <si>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</si>
  <si>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</si>
  <si>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</si>
  <si>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</si>
  <si>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</si>
  <si>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</si>
  <si>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</si>
  <si>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</si>
  <si>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</si>
  <si>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</si>
  <si>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</si>
  <si>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</si>
  <si>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</si>
  <si>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</si>
  <si>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</si>
  <si>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</si>
  <si>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</si>
  <si>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</si>
  <si>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</si>
  <si>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</si>
  <si>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</si>
  <si>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</si>
  <si>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</si>
  <si>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</si>
  <si>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</si>
  <si>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</si>
  <si>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</si>
  <si>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</si>
  <si>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</si>
  <si>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</si>
  <si>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</si>
  <si>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</si>
  <si>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</si>
  <si>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</si>
  <si>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</si>
  <si>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</si>
  <si>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</si>
  <si>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</si>
  <si>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</si>
  <si>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</si>
  <si>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</si>
  <si>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</si>
  <si>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</si>
  <si>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</si>
  <si>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</si>
  <si>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</si>
  <si>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</si>
  <si>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</si>
  <si>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</si>
  <si>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</si>
  <si>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</si>
  <si>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</si>
  <si>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</si>
  <si>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</si>
  <si>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</si>
  <si>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</si>
  <si>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</si>
  <si>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</si>
  <si>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</si>
  <si>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</si>
  <si>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</si>
  <si>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</si>
  <si>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</si>
  <si>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</si>
  <si>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</si>
  <si>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</si>
  <si>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</si>
  <si>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</si>
  <si>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</si>
  <si>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</si>
  <si>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</si>
  <si>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</si>
  <si>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</si>
  <si>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</si>
  <si>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</si>
  <si>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</si>
  <si>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</si>
  <si>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</si>
  <si>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</si>
  <si>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</si>
  <si>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</si>
  <si>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</si>
  <si>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</si>
  <si>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</si>
  <si>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</si>
  <si>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</si>
  <si>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</si>
  <si>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</si>
  <si>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</si>
  <si>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</si>
  <si>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</si>
  <si>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</si>
  <si>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</si>
  <si>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</si>
  <si>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</si>
  <si>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</si>
  <si>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</si>
  <si>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</si>
  <si>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</si>
  <si>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</si>
  <si>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</si>
  <si>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</si>
  <si>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</si>
  <si>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</si>
  <si>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</si>
  <si>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</si>
  <si>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</si>
  <si>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</si>
  <si>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</si>
  <si>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</si>
  <si>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</si>
  <si>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</si>
  <si>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</si>
  <si>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</si>
  <si>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</si>
  <si>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</si>
  <si>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</si>
  <si>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</si>
  <si>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</si>
  <si>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</si>
  <si>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</si>
  <si>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</si>
  <si>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</si>
  <si>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</si>
  <si>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</si>
  <si>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</si>
  <si>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</si>
  <si>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</si>
  <si>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</si>
  <si>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</si>
  <si>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</si>
  <si>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</si>
  <si>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</si>
  <si>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</si>
  <si>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</si>
  <si>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</si>
  <si>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</si>
  <si>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</si>
  <si>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</si>
  <si>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</si>
  <si>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</si>
  <si>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</si>
  <si>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</si>
  <si>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</si>
  <si>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</si>
  <si>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</si>
  <si>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</si>
  <si>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</si>
  <si>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</si>
  <si>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</si>
  <si>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</si>
  <si>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</si>
  <si>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</si>
  <si>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</si>
  <si>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</si>
  <si>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</si>
  <si>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</si>
  <si>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</si>
  <si>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</si>
  <si>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</si>
  <si>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</si>
  <si>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</si>
  <si>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</si>
  <si>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</si>
  <si>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</si>
  <si>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</si>
  <si>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</si>
  <si>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</si>
  <si>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</si>
  <si>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</si>
  <si>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</si>
  <si>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</si>
  <si>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</si>
  <si>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</si>
  <si>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</si>
  <si>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</si>
  <si>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</si>
  <si>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</si>
  <si>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</si>
  <si>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</si>
  <si>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</si>
  <si>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</si>
  <si>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</si>
  <si>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</si>
  <si>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</si>
  <si>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</si>
  <si>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</si>
  <si>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</si>
  <si>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</si>
  <si>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</si>
  <si>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</si>
  <si>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</si>
  <si>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</si>
  <si>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</si>
  <si>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</si>
  <si>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</si>
  <si>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</si>
  <si>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</si>
  <si>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</si>
  <si>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</si>
  <si>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</si>
  <si>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</si>
  <si>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</si>
  <si>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</si>
  <si>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</si>
  <si>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</si>
  <si>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</si>
  <si>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</si>
  <si>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</si>
  <si>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</si>
  <si>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</si>
  <si>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</si>
  <si>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</si>
  <si>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</si>
  <si>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</si>
  <si>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</si>
  <si>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</si>
  <si>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</si>
  <si>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</si>
  <si>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</si>
  <si>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</si>
  <si>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</si>
  <si>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</si>
  <si>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</si>
  <si>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</si>
  <si>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</si>
  <si>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</si>
  <si>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</si>
  <si>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</si>
  <si>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</si>
  <si>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</si>
  <si>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</si>
  <si>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</si>
  <si>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</si>
  <si>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</si>
  <si>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</si>
  <si>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</si>
  <si>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</si>
  <si>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</si>
  <si>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</si>
  <si>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</si>
  <si>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</si>
  <si>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</si>
  <si>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</si>
  <si>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</si>
  <si>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</si>
  <si>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</si>
  <si>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</si>
  <si>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</si>
  <si>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</si>
  <si>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</si>
  <si>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</si>
  <si>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</si>
  <si>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</si>
  <si>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</si>
  <si>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</si>
  <si>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</si>
  <si>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</si>
  <si>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</si>
  <si>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</si>
  <si>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</si>
  <si>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</si>
  <si>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</si>
  <si>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</si>
  <si>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</si>
  <si>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</si>
  <si>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</si>
  <si>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</si>
  <si>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</si>
  <si>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</si>
  <si>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</si>
  <si>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</si>
  <si>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</si>
  <si>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</si>
  <si>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</si>
  <si>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</si>
  <si>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</si>
  <si>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</si>
  <si>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</si>
  <si>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</si>
  <si>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</si>
  <si>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</si>
  <si>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</si>
  <si>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</si>
  <si>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</si>
  <si>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</si>
  <si>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</si>
  <si>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</si>
  <si>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</si>
  <si>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</si>
  <si>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</si>
  <si>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</si>
  <si>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</si>
  <si>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</si>
  <si>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</si>
  <si>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</si>
  <si>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</si>
  <si>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</si>
  <si>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</si>
  <si>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</si>
  <si>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</si>
  <si>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</si>
  <si>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</si>
  <si>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</si>
  <si>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</si>
  <si>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</si>
  <si>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</si>
  <si>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</si>
  <si>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</si>
  <si>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</si>
  <si>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</si>
  <si>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</si>
  <si>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</si>
  <si>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</si>
  <si>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</si>
  <si>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</si>
  <si>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</si>
  <si>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</si>
  <si>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</si>
  <si>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</si>
  <si>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</si>
  <si>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</si>
  <si>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</si>
  <si>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</si>
  <si>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</si>
  <si>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</si>
  <si>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</si>
  <si>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</si>
  <si>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</si>
  <si>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</si>
  <si>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</si>
  <si>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</si>
  <si>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</si>
  <si>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</si>
  <si>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</si>
  <si>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</si>
  <si>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</si>
  <si>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</si>
  <si>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</si>
  <si>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</si>
  <si>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</si>
  <si>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</si>
  <si>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</si>
  <si>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</si>
  <si>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</si>
  <si>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</si>
  <si>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</si>
  <si>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</si>
  <si>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</si>
  <si>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</si>
  <si>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</si>
  <si>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</si>
  <si>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</si>
  <si>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</si>
  <si>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</si>
  <si>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</si>
  <si>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</si>
  <si>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</si>
  <si>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</si>
  <si>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</si>
  <si>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</si>
  <si>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</si>
  <si>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</si>
  <si>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</si>
  <si>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</si>
  <si>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</si>
  <si>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</si>
  <si>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</si>
  <si>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</si>
  <si>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</si>
  <si>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</si>
  <si>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</si>
  <si>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</si>
  <si>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</si>
  <si>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</si>
  <si>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</si>
  <si>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</si>
  <si>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</si>
  <si>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</si>
  <si>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</si>
  <si>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</si>
  <si>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</si>
  <si>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</si>
  <si>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</si>
  <si>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</si>
  <si>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</si>
  <si>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</si>
  <si>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</si>
  <si>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</si>
  <si>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</si>
  <si>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</si>
  <si>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</si>
  <si>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</si>
  <si>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</si>
  <si>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</si>
  <si>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</si>
  <si>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</si>
  <si>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</si>
  <si>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</si>
  <si>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</si>
  <si>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</si>
  <si>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</si>
  <si>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</si>
  <si>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</si>
  <si>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</si>
  <si>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</si>
  <si>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</si>
  <si>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</si>
  <si>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</si>
  <si>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</si>
  <si>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</si>
  <si>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</si>
  <si>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</si>
  <si>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</si>
  <si>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</si>
  <si>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</si>
  <si>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</si>
  <si>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</si>
  <si>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</si>
  <si>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</si>
  <si>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</si>
  <si>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</si>
  <si>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</si>
  <si>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</si>
  <si>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</si>
  <si>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</si>
  <si>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</si>
  <si>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</si>
  <si>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</si>
  <si>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</si>
  <si>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</si>
  <si>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</si>
  <si>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</si>
  <si>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</si>
  <si>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</si>
  <si>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</si>
  <si>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</si>
  <si>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</si>
  <si>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</si>
  <si>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</si>
  <si>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</si>
  <si>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</si>
  <si>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</si>
  <si>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</si>
  <si>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</si>
  <si>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</si>
  <si>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</si>
  <si>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</si>
  <si>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</si>
  <si>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</si>
  <si>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</si>
  <si>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</si>
  <si>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</si>
  <si>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</si>
  <si>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</si>
  <si>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</si>
  <si>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</si>
  <si>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</si>
  <si>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</si>
  <si>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</si>
  <si>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</si>
  <si>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</si>
  <si>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</si>
  <si>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</si>
  <si>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</si>
  <si>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</si>
  <si>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</si>
  <si>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</si>
  <si>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</si>
  <si>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</si>
  <si>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</si>
  <si>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</si>
  <si>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</si>
  <si>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</si>
  <si>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</si>
  <si>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</si>
  <si>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</si>
  <si>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</si>
  <si>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</si>
  <si>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</si>
  <si>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</si>
  <si>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</si>
  <si>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</si>
  <si>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</si>
  <si>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</si>
  <si>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</si>
  <si>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</si>
  <si>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</si>
  <si>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</si>
  <si>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</si>
  <si>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</si>
  <si>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</si>
  <si>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</si>
  <si>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</si>
  <si>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</si>
  <si>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</si>
  <si>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</si>
  <si>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</si>
  <si>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</si>
  <si>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</si>
  <si>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</si>
  <si>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</si>
  <si>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</si>
  <si>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</si>
  <si>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</si>
  <si>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</si>
  <si>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</si>
  <si>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</si>
  <si>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</si>
  <si>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</si>
  <si>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</si>
  <si>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</si>
  <si>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</si>
  <si>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</si>
  <si>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</si>
  <si>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</si>
  <si>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</si>
  <si>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</si>
  <si>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</si>
  <si>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</si>
  <si>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</si>
  <si>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</si>
  <si>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</si>
  <si>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</si>
  <si>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</si>
  <si>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</si>
  <si>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</si>
  <si>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</si>
  <si>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</si>
  <si>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</si>
  <si>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</si>
  <si>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</si>
  <si>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</si>
  <si>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</si>
  <si>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</si>
  <si>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</si>
  <si>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</si>
  <si>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</si>
  <si>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</si>
  <si>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</si>
  <si>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</si>
  <si>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</si>
  <si>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</si>
  <si>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</si>
  <si>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</si>
  <si>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</si>
  <si>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</si>
  <si>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</si>
  <si>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</si>
  <si>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</si>
  <si>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</si>
  <si>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</si>
  <si>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</si>
  <si>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</si>
  <si>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</si>
  <si>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</si>
  <si>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</si>
  <si>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</si>
  <si>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</si>
  <si>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</si>
  <si>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</si>
  <si>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</si>
  <si>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</si>
  <si>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</si>
  <si>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</si>
  <si>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</si>
  <si>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</si>
  <si>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</si>
  <si>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</si>
  <si>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</si>
  <si>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</si>
  <si>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</si>
  <si>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</si>
  <si>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</si>
  <si>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</si>
  <si>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</si>
  <si>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</si>
  <si>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</si>
  <si>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</si>
  <si>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</si>
  <si>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</si>
  <si>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</si>
  <si>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</si>
  <si>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</si>
  <si>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</si>
  <si>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</si>
  <si>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</si>
  <si>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</si>
  <si>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</si>
  <si>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</si>
  <si>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</si>
  <si>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</si>
  <si>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</si>
  <si>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</si>
  <si>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</si>
  <si>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</si>
  <si>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</si>
  <si>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</si>
  <si>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</si>
  <si>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</si>
  <si>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</si>
  <si>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</si>
  <si>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</si>
  <si>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</si>
  <si>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</si>
  <si>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</si>
  <si>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</si>
  <si>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</si>
  <si>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</si>
  <si>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</si>
  <si>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</si>
  <si>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</si>
  <si>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</si>
  <si>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</si>
  <si>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</si>
  <si>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</si>
  <si>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</si>
  <si>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</si>
  <si>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</si>
  <si>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</si>
  <si>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</si>
  <si>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</si>
  <si>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</si>
  <si>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</si>
  <si>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</si>
  <si>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</si>
  <si>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</si>
  <si>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</si>
  <si>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</si>
  <si>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</si>
  <si>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</si>
  <si>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</si>
  <si>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</si>
  <si>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</si>
  <si>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</si>
  <si>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</si>
  <si>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</si>
  <si>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</si>
  <si>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</si>
  <si>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</si>
  <si>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</si>
  <si>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</si>
  <si>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</si>
  <si>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</si>
  <si>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</si>
  <si>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</si>
  <si>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</si>
  <si>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</si>
  <si>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</si>
  <si>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</si>
  <si>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</si>
  <si>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</si>
  <si>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</si>
  <si>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</si>
  <si>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</si>
  <si>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</si>
  <si>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</si>
  <si>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</si>
  <si>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</si>
  <si>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</si>
  <si>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</si>
  <si>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</si>
  <si>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</si>
  <si>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</si>
  <si>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</si>
  <si>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</si>
  <si>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</si>
  <si>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</si>
  <si>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</si>
  <si>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</si>
  <si>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</si>
  <si>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</si>
  <si>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</si>
  <si>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</si>
  <si>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</si>
  <si>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</si>
  <si>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</si>
  <si>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</si>
  <si>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</si>
  <si>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</si>
  <si>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</si>
  <si>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</si>
  <si>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</si>
  <si>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</si>
  <si>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</si>
  <si>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</si>
  <si>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</si>
  <si>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</si>
  <si>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</si>
  <si>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</si>
  <si>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</si>
  <si>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</si>
  <si>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</si>
  <si>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</si>
  <si>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</si>
  <si>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</si>
  <si>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</si>
  <si>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</si>
  <si>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</si>
  <si>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</si>
  <si>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</si>
  <si>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</si>
  <si>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</si>
  <si>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</si>
  <si>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</si>
  <si>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</si>
  <si>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</si>
  <si>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</si>
  <si>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</si>
  <si>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</si>
  <si>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</si>
  <si>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</si>
  <si>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</si>
  <si>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</si>
  <si>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</si>
  <si>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</si>
  <si>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</si>
  <si>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</si>
  <si>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</si>
  <si>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</si>
  <si>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</si>
  <si>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</si>
  <si>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</si>
  <si>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</si>
  <si>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</si>
  <si>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</si>
  <si>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</si>
  <si>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</si>
  <si>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</si>
  <si>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</si>
  <si>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</si>
  <si>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</si>
  <si>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</si>
  <si>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</si>
  <si>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</si>
  <si>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</si>
  <si>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</si>
  <si>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</si>
  <si>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</si>
  <si>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</si>
  <si>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</si>
  <si>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</si>
  <si>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</si>
  <si>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</si>
  <si>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</si>
  <si>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</si>
  <si>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</si>
  <si>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</si>
  <si>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</si>
  <si>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</si>
  <si>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</si>
  <si>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</si>
  <si>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</si>
  <si>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</si>
  <si>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</si>
  <si>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</si>
  <si>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</si>
  <si>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</si>
  <si>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</si>
  <si>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</si>
  <si>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</si>
  <si>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</si>
  <si>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</si>
  <si>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</si>
  <si>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</si>
  <si>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</si>
  <si>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</si>
  <si>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</si>
  <si>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</si>
  <si>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</si>
  <si>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</si>
  <si>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</si>
  <si>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</si>
  <si>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</si>
  <si>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</si>
  <si>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</si>
  <si>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</si>
  <si>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</si>
  <si>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</si>
  <si>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</si>
  <si>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</si>
  <si>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</si>
  <si>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</si>
  <si>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</si>
  <si>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</si>
  <si>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</si>
  <si>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</si>
  <si>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</si>
  <si>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</si>
  <si>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</si>
  <si>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</si>
  <si>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</si>
  <si>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</si>
  <si>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</si>
  <si>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</si>
  <si>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</si>
  <si>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</si>
  <si>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</si>
  <si>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</si>
  <si>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</si>
  <si>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</si>
  <si>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</si>
  <si>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</si>
  <si>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</si>
  <si>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</si>
  <si>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</si>
  <si>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</si>
  <si>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</si>
  <si>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</si>
  <si>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</si>
  <si>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</si>
  <si>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</si>
  <si>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</si>
  <si>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地上</t>
  </si>
  <si>
    <t>住宅</t>
    <phoneticPr fontId="7" type="noConversion"/>
  </si>
  <si>
    <t>住宅</t>
    <phoneticPr fontId="3" type="noConversion"/>
  </si>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</sst>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受贵公司委托，我公司对国有建设用地使用权进行了预评估。</v>
      </c>
      <c r="AM6" s="2942"/>
    </row>
    <row r="7" spans="1:55" s="2916" customFormat="1">
      <c r="A7" s="2917" t="s">
        <v>2675</v>
      </c>
      <c r="B7" s="2918" t="str">
        <f>'预评函-1'!A6</f>
        <v>估价对象为使用的、位于国有建设用地使用权。根据《国有土地使用证》[]，估价对象（分摊）国有建设用地使用权面积为41598.62平方米。根据《建设工程规划许可证》[]、《出让合同》[]，估价对象规划建筑面积为99836.688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本次评估为委托估价方了解标的物之市场价格提供参考依据而评估国有建设用地使用权市场价格。</v>
      </c>
    </row>
    <row r="10" spans="1:55" s="2916" customFormat="1">
      <c r="A10" s="2917" t="s">
        <v>2677</v>
      </c>
      <c r="B10" s="2918" t="str">
        <f>'预评函-1'!A11</f>
        <v>2017年7月4日（评估专业人员勘察现场之日）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根据《国有土地使用证》[]，估价对象（分摊）出让国有建设用地使用权面积为41598.62平方米。根据《建设工程规划许可证》[]、《出让合同》[]，估价对象规划建筑面积为99836.688平方米。</v>
      </c>
    </row>
    <row r="16" spans="1:55" s="2916" customFormat="1">
      <c r="A16" s="2917" t="s">
        <v>2687</v>
      </c>
      <c r="B16" s="2918" t="str">
        <f>'预评函-1'!A22</f>
        <v>本次估价对象国有建设用地使用权类型为划拨，无土地使用年限限制。</v>
      </c>
    </row>
    <row r="17" spans="1:48" s="2916" customFormat="1">
      <c r="A17" s="2917" t="s">
        <v>2688</v>
      </c>
      <c r="B17" s="2918" t="str">
        <f>'预评函-1'!A23</f>
        <v/>
      </c>
    </row>
    <row r="18" spans="1:48" s="2916" customFormat="1">
      <c r="A18" s="2917" t="s">
        <v>2689</v>
      </c>
      <c r="B18" s="2918"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6" customFormat="1">
      <c r="A19" s="2917" t="s">
        <v>2690</v>
      </c>
      <c r="B19" s="2918"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23" spans="1:48">
      <c r="A23" s="2917" t="s">
        <v>2694</v>
      </c>
      <c r="B23" s="2918" t="str">
        <f>'预评函-2'!K2</f>
        <v>估价期日：2017年7月4日</v>
      </c>
    </row>
    <row r="24" spans="1:48">
      <c r="A24" s="2917" t="s">
        <v>2695</v>
      </c>
      <c r="B24" s="2918" t="str">
        <f>'预评函-2'!R2</f>
        <v>估价期日的国有建设用地使用权性质：</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t="str">
        <f>'预评函-2'!M5</f>
        <v>——</v>
      </c>
    </row>
    <row r="42" spans="1:2">
      <c r="A42" s="2917" t="s">
        <v>2757</v>
      </c>
      <c r="B42" s="2918" t="str">
        <f>'预评函-2'!N3</f>
        <v>（分摊）国有建设用地使用权面积/㎡</v>
      </c>
    </row>
    <row r="43" spans="1:2">
      <c r="A43" s="2917" t="s">
        <v>2739</v>
      </c>
      <c r="B43" s="2918">
        <f>'预评函-2'!N5</f>
        <v>41598.620000000003</v>
      </c>
    </row>
    <row r="44" spans="1:2">
      <c r="A44" s="2917" t="s">
        <v>2758</v>
      </c>
      <c r="B44" s="2918" t="str">
        <f>'预评函-2'!O3</f>
        <v>规划建筑面积/㎡</v>
      </c>
    </row>
    <row r="45" spans="1:2">
      <c r="A45" s="2917" t="s">
        <v>2740</v>
      </c>
      <c r="B45" s="2918">
        <f>'预评函-2'!O5</f>
        <v>99836.688000000009</v>
      </c>
    </row>
    <row r="46" spans="1:2">
      <c r="A46" s="2917" t="s">
        <v>2741</v>
      </c>
      <c r="B46" s="2918" t="e">
        <f ca="1">'预评函-2'!P5</f>
        <v>#REF!</v>
      </c>
    </row>
    <row r="47" spans="1:2">
      <c r="A47" s="2917" t="s">
        <v>2742</v>
      </c>
      <c r="B47" s="2918" t="e">
        <f ca="1">'预评函-2'!Q5</f>
        <v>#REF!</v>
      </c>
    </row>
    <row r="48" spans="1:2">
      <c r="A48" s="2917" t="s">
        <v>2743</v>
      </c>
      <c r="B48" s="2918" t="e">
        <f ca="1">'预评函-2'!R5</f>
        <v>#REF!</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91" t="str">
        <f>IF(B10="北京市","北京市",C10)&amp;F10&amp;B16&amp;"国有建设用地使用权"&amp;B9&amp;"预评估"</f>
        <v>国有建设用地使用权预评估</v>
      </c>
      <c r="C1" s="3192"/>
      <c r="D1" s="3192"/>
      <c r="E1" s="3192"/>
      <c r="F1" s="3192"/>
      <c r="G1" s="3192"/>
      <c r="H1" s="3192"/>
      <c r="I1" s="3193"/>
      <c r="J1" s="1699"/>
      <c r="K1" s="2490" t="str">
        <f>IF(B10="北京市","北京市",C10)&amp;F10&amp;B16&amp;"国有建设用地使用权"&amp;B9</f>
        <v>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国有建设用地使用权</v>
      </c>
      <c r="L2" s="1728"/>
      <c r="M2" s="1728"/>
      <c r="N2" s="1699"/>
      <c r="O2" s="1700"/>
      <c r="P2" s="1699"/>
      <c r="Q2" s="1699"/>
      <c r="R2" s="1699"/>
      <c r="S2" s="1699"/>
      <c r="T2" s="1699"/>
      <c r="U2" s="1699"/>
    </row>
    <row r="3" spans="1:21">
      <c r="A3" s="1666" t="s">
        <v>1949</v>
      </c>
      <c r="B3" s="1667">
        <v>42920</v>
      </c>
      <c r="C3" s="1668" t="s">
        <v>2005</v>
      </c>
      <c r="D3" s="1667">
        <v>42920</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197"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98"/>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94"/>
      <c r="C12" s="3195"/>
      <c r="D12" s="3196"/>
      <c r="E12" s="1704" t="s">
        <v>2072</v>
      </c>
      <c r="F12" s="3212" t="s">
        <v>2908</v>
      </c>
      <c r="G12" s="3213"/>
      <c r="H12" s="3213"/>
      <c r="I12" s="3214"/>
      <c r="J12" s="1699"/>
      <c r="K12" s="1779"/>
      <c r="L12" s="1728"/>
      <c r="M12" s="1728"/>
      <c r="N12" s="1699"/>
      <c r="O12" s="1700"/>
      <c r="P12" s="1699"/>
      <c r="Q12" s="1699"/>
      <c r="R12" s="1699"/>
      <c r="S12" s="1699"/>
      <c r="T12" s="1699"/>
      <c r="U12" s="1699"/>
    </row>
    <row r="13" spans="1:21">
      <c r="A13" s="1692" t="s">
        <v>2070</v>
      </c>
      <c r="B13" s="3194"/>
      <c r="C13" s="3195"/>
      <c r="D13" s="3196"/>
      <c r="E13" s="1704" t="s">
        <v>2072</v>
      </c>
      <c r="F13" s="3212" t="s">
        <v>2909</v>
      </c>
      <c r="G13" s="3213"/>
      <c r="H13" s="3213"/>
      <c r="I13" s="3214"/>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c r="A16" s="1685" t="s">
        <v>1957</v>
      </c>
      <c r="B16" s="1686"/>
      <c r="C16" s="1704" t="s">
        <v>1958</v>
      </c>
      <c r="D16" s="2682" t="s">
        <v>1959</v>
      </c>
      <c r="E16" s="1727"/>
      <c r="F16" s="1727"/>
      <c r="G16" s="1727"/>
      <c r="H16" s="1727"/>
      <c r="I16" s="1691" t="s">
        <v>1964</v>
      </c>
      <c r="J16" s="1699"/>
      <c r="K16" s="2491" t="str">
        <f>IF(D17="","",D16&amp;TEXT(D17,"yyyy年m月d日;;"))</f>
        <v>住宅2087年4月27日</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68419</v>
      </c>
      <c r="E17" s="1705"/>
      <c r="F17" s="1705"/>
      <c r="G17" s="1705"/>
      <c r="H17" s="1705"/>
      <c r="I17" s="1705"/>
      <c r="J17" s="1699"/>
      <c r="K17" s="2490" t="str">
        <f>CONCATENATE(K16,L16,M16,N16,O16,P16,Q16,R16,S16,T16,,U16)</f>
        <v>住宅2087年4月27日</v>
      </c>
      <c r="L17" s="1728"/>
      <c r="M17" s="1728"/>
      <c r="N17" s="1699"/>
      <c r="O17" s="1700"/>
      <c r="P17" s="1699"/>
      <c r="Q17" s="1699"/>
      <c r="R17" s="1699"/>
      <c r="S17" s="1699"/>
      <c r="T17" s="1699"/>
      <c r="U17" s="1699"/>
    </row>
    <row r="18" spans="1:21">
      <c r="A18" s="1768"/>
      <c r="B18" s="1687"/>
      <c r="C18" s="1688" t="s">
        <v>1966</v>
      </c>
      <c r="D18" s="1689">
        <v>70</v>
      </c>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70</v>
      </c>
      <c r="E19" s="1690">
        <f>IF(B16="出让",IF(E17="","",ROUNDDOWN(MIN((E17-$D$3)/365,E18),2)),E18)</f>
        <v>0</v>
      </c>
      <c r="F19" s="1690">
        <f>IF(B16="出让",IF(F17="","",ROUNDDOWN(MIN((F17-$D$3)/365,F18),2)),F18)</f>
        <v>0</v>
      </c>
      <c r="G19" s="1690">
        <f>IF(B16="出让",IF(G17="","",ROUNDDOWN(MIN((G17-$D$3)/365,G18),2)),G18)</f>
        <v>0</v>
      </c>
      <c r="H19" s="1690">
        <f>IF(B16="出让",IF(H17="","",ROUNDDOWN(MIN((H17-$D$3)/365,H18),2)),H18)</f>
        <v>0</v>
      </c>
      <c r="I19" s="1690">
        <f>IF(B16="出让",IF(I17="","",ROUNDDOWN(MIN((I17-$D$3)/365,I18),2)),I18)</f>
        <v>50</v>
      </c>
      <c r="J19" s="1699"/>
      <c r="K19" s="1779"/>
      <c r="L19" s="1728"/>
      <c r="M19" s="1728"/>
      <c r="N19" s="1699"/>
      <c r="O19" s="1700"/>
      <c r="P19" s="1699"/>
      <c r="Q19" s="1699"/>
      <c r="R19" s="1699"/>
      <c r="S19" s="1699"/>
      <c r="T19" s="1699"/>
      <c r="U19" s="1699"/>
    </row>
    <row r="20" spans="1:21">
      <c r="A20" s="1791"/>
      <c r="B20" s="1792"/>
      <c r="C20" s="1793" t="s">
        <v>2071</v>
      </c>
      <c r="D20" s="3209"/>
      <c r="E20" s="3210"/>
      <c r="F20" s="3210"/>
      <c r="G20" s="3210"/>
      <c r="H20" s="3210"/>
      <c r="I20" s="3211"/>
      <c r="J20" s="1699"/>
      <c r="K20" s="1779"/>
      <c r="L20" s="1728"/>
      <c r="M20" s="1728"/>
      <c r="N20" s="1699"/>
      <c r="O20" s="1700"/>
      <c r="P20" s="1699"/>
      <c r="Q20" s="1699"/>
      <c r="R20" s="1699"/>
      <c r="S20" s="1699"/>
      <c r="T20" s="1699"/>
      <c r="U20" s="1699"/>
    </row>
    <row r="21" spans="1:21">
      <c r="A21" s="1768" t="s">
        <v>1968</v>
      </c>
      <c r="B21" s="1769" t="s">
        <v>1969</v>
      </c>
      <c r="C21" s="1764">
        <f>'数据-汇总表'!E3</f>
        <v>99836.688000000009</v>
      </c>
      <c r="D21" s="1765" t="s">
        <v>1970</v>
      </c>
      <c r="E21" s="3199" t="s">
        <v>2009</v>
      </c>
      <c r="F21" s="3200"/>
      <c r="G21" s="3200"/>
      <c r="H21" s="3200"/>
      <c r="I21" s="3201"/>
      <c r="J21" s="1699"/>
      <c r="K21" s="1779"/>
      <c r="L21" s="1728"/>
      <c r="M21" s="1728"/>
      <c r="N21" s="1699"/>
      <c r="O21" s="1700"/>
      <c r="P21" s="1699"/>
      <c r="Q21" s="1699"/>
      <c r="R21" s="1699"/>
      <c r="S21" s="1699"/>
      <c r="T21" s="1699"/>
      <c r="U21" s="1699"/>
    </row>
    <row r="22" spans="1:21">
      <c r="A22" s="2673" t="s">
        <v>955</v>
      </c>
      <c r="B22" s="1666" t="s">
        <v>1971</v>
      </c>
      <c r="C22" s="1691">
        <f>'数据-汇总表'!D3</f>
        <v>41598.620000000003</v>
      </c>
      <c r="D22" s="1692" t="s">
        <v>1970</v>
      </c>
      <c r="E22" s="3199" t="s">
        <v>2910</v>
      </c>
      <c r="F22" s="3200"/>
      <c r="G22" s="3200"/>
      <c r="H22" s="3200"/>
      <c r="I22" s="3201"/>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02" t="s">
        <v>1976</v>
      </c>
      <c r="C24" s="3203"/>
      <c r="D24" s="3204" t="s">
        <v>1977</v>
      </c>
      <c r="E24" s="3205"/>
      <c r="F24" s="1713" t="s">
        <v>1978</v>
      </c>
      <c r="G24" s="1699"/>
      <c r="H24" s="1699"/>
      <c r="I24" s="1712"/>
      <c r="J24" s="1699"/>
      <c r="K24" s="3190"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90"/>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90"/>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176" t="s">
        <v>2012</v>
      </c>
      <c r="B31" s="1769" t="s">
        <v>2013</v>
      </c>
      <c r="C31" s="3215"/>
      <c r="D31" s="3216"/>
      <c r="E31" s="1699"/>
      <c r="F31" s="1699"/>
      <c r="G31" s="1699"/>
      <c r="H31" s="1699"/>
      <c r="I31" s="1712"/>
      <c r="J31" s="1699"/>
      <c r="K31" s="2493"/>
      <c r="L31" s="1699"/>
      <c r="M31" s="1699"/>
      <c r="N31" s="1699"/>
      <c r="O31" s="1699"/>
      <c r="P31" s="1699"/>
      <c r="Q31" s="1699"/>
      <c r="R31" s="1699"/>
      <c r="S31" s="1699"/>
      <c r="T31" s="1699"/>
      <c r="U31" s="1699"/>
    </row>
    <row r="32" spans="1:21">
      <c r="A32" s="3176"/>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176"/>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177"/>
      <c r="B34" s="1666" t="s">
        <v>2016</v>
      </c>
      <c r="C34" s="3178"/>
      <c r="D34" s="3179"/>
      <c r="E34" s="1699"/>
      <c r="F34" s="1699"/>
      <c r="G34" s="1699"/>
      <c r="H34" s="1699"/>
      <c r="I34" s="1712"/>
      <c r="J34" s="1699"/>
      <c r="K34" s="2493"/>
      <c r="L34" s="1699"/>
      <c r="M34" s="1699"/>
      <c r="N34" s="1699"/>
      <c r="O34" s="1699"/>
      <c r="P34" s="1699"/>
      <c r="Q34" s="1699"/>
      <c r="R34" s="1699"/>
      <c r="S34" s="1699"/>
      <c r="T34" s="1699"/>
      <c r="U34" s="1699"/>
    </row>
    <row r="35" spans="1:21">
      <c r="A35" s="3180" t="s">
        <v>850</v>
      </c>
      <c r="B35" s="1727"/>
      <c r="C35" s="1781" t="str">
        <f>IF(B35="场地平整","——","具体情况：")</f>
        <v>具体情况：</v>
      </c>
      <c r="D35" s="3182"/>
      <c r="E35" s="3183"/>
      <c r="F35" s="3183"/>
      <c r="G35" s="3183"/>
      <c r="H35" s="3183"/>
      <c r="I35" s="3184"/>
      <c r="J35" s="1699"/>
      <c r="K35" s="1780"/>
      <c r="L35" s="1728"/>
      <c r="M35" s="1728"/>
      <c r="N35" s="1699"/>
      <c r="O35" s="1700"/>
      <c r="P35" s="1699"/>
      <c r="Q35" s="1699"/>
      <c r="R35" s="1699"/>
      <c r="S35" s="1699"/>
      <c r="T35" s="1699"/>
      <c r="U35" s="1699"/>
    </row>
    <row r="36" spans="1:21">
      <c r="A36" s="3176"/>
      <c r="B36" s="3185" t="s">
        <v>2065</v>
      </c>
      <c r="C36" s="3186"/>
      <c r="D36" s="1797"/>
      <c r="E36" s="3187"/>
      <c r="F36" s="3187"/>
      <c r="G36" s="1692" t="str">
        <f>IF(B35="场地未平整","估价结果处理","")</f>
        <v/>
      </c>
      <c r="H36" s="3188"/>
      <c r="I36" s="3188"/>
      <c r="J36" s="1699"/>
      <c r="K36" s="1780"/>
      <c r="L36" s="1728"/>
      <c r="M36" s="1728"/>
      <c r="N36" s="1699"/>
      <c r="O36" s="1700"/>
      <c r="P36" s="1699"/>
      <c r="Q36" s="1699"/>
      <c r="R36" s="1699"/>
      <c r="S36" s="1699"/>
      <c r="T36" s="1699"/>
      <c r="U36" s="1699"/>
    </row>
    <row r="37" spans="1:21" ht="28.5">
      <c r="A37" s="3176"/>
      <c r="B37" s="3206"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176"/>
      <c r="B38" s="3207"/>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177"/>
      <c r="B39" s="3208"/>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89" t="s">
        <v>1995</v>
      </c>
      <c r="T40" s="1736" t="str">
        <f>NUMBERSTRING(7-K40,1)&amp;"通"</f>
        <v>七通</v>
      </c>
      <c r="U40" s="1699"/>
    </row>
    <row r="41" spans="1:21">
      <c r="A41" s="1668"/>
      <c r="B41" s="3181" t="s">
        <v>1725</v>
      </c>
      <c r="C41" s="3181"/>
      <c r="D41" s="3181"/>
      <c r="E41" s="3181"/>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9"/>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2911</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41598.620000000003</v>
      </c>
      <c r="B3" s="22">
        <f>IF(C3="否",G5-AT5,G5)</f>
        <v>99836.688000000009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99836.688000000009</v>
      </c>
      <c r="H5" s="27">
        <f t="shared" ref="H5:AT5" si="0">SUM(H13:H641)</f>
        <v>99836.688000000009</v>
      </c>
      <c r="I5" s="27">
        <f t="shared" si="0"/>
        <v>99836.688000000009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99836.688000000009</v>
      </c>
      <c r="BA5" s="29">
        <f t="shared" si="1"/>
        <v>99836.688000000009</v>
      </c>
      <c r="BB5" s="29">
        <f t="shared" si="1"/>
        <v>99836.688000000009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41598.620000000003</v>
      </c>
      <c r="F6" s="27" t="s">
        <v>1</v>
      </c>
      <c r="G6" s="27" t="s">
        <v>2</v>
      </c>
      <c r="H6" s="33">
        <f>SUMIF(I$12:AB$12,"总值",I6:AB6)</f>
        <v>41598.620000000003</v>
      </c>
      <c r="I6" s="27">
        <f t="shared" ref="I6:AB6" si="2">ROUND($A$3*I5/$B$3,2)</f>
        <v>41598.620000000003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41598.620000000003</v>
      </c>
      <c r="AZ6" s="27" t="s">
        <v>3</v>
      </c>
      <c r="BA6" s="27">
        <f>ROUND($AY$6*BA5/$AZ$5,2)</f>
        <v>41598.620000000003</v>
      </c>
      <c r="BB6" s="27">
        <f>ROUND($AY$6*BB5/$AZ$5,2)</f>
        <v>41598.620000000003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2965</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c r="L10" s="51"/>
      <c r="M10" s="3060"/>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c r="J11" s="71"/>
      <c r="K11" s="3059"/>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t="s">
        <v>2967</v>
      </c>
      <c r="D13" s="3054" t="s">
        <v>1682</v>
      </c>
      <c r="E13" s="27">
        <f t="shared" ref="E13:E20" si="6">IF($C$3="是",ROUND($A$3*G13/$B$3,2),ROUND($A$3*(G13-AT13)/$B$3,2))</f>
        <v>41598.620000000003</v>
      </c>
      <c r="F13" s="81"/>
      <c r="G13" s="82">
        <f t="shared" ref="G13:G20" si="7">H13+AC13+AT13</f>
        <v>99836.688000000009</v>
      </c>
      <c r="H13" s="33">
        <f t="shared" ref="H13:H20" si="8">SUMIF(I$12:AB$12,"总值",I13:AB13)</f>
        <v>99836.688000000009</v>
      </c>
      <c r="I13" s="3057">
        <f>41598.62*2.4</f>
        <v>99836.688000000009</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t="str">
        <f t="shared" si="10"/>
        <v>住宅</v>
      </c>
      <c r="AY13" s="999">
        <f t="shared" ref="AY13:AY20" si="11">ROUND($AY$6*AZ13/$AZ$5,2)</f>
        <v>41598.620000000003</v>
      </c>
      <c r="AZ13" s="27">
        <f t="shared" ref="AZ13:AZ20" si="12">BA13+BL13</f>
        <v>99836.688000000009</v>
      </c>
      <c r="BA13" s="27">
        <f t="shared" ref="BA13:BA20" si="13">SUM(BB13:BK13)</f>
        <v>99836.688000000009</v>
      </c>
      <c r="BB13" s="27">
        <f t="shared" ref="BB13:BB20" si="14">IF($D13="是",I13-J13,0)</f>
        <v>99836.688000000009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7" t="s">
        <v>0</v>
      </c>
      <c r="B1" s="3217" t="s">
        <v>4</v>
      </c>
      <c r="C1" s="3217" t="s">
        <v>5</v>
      </c>
      <c r="D1" s="3218" t="s">
        <v>40</v>
      </c>
      <c r="E1" s="3218" t="s">
        <v>41</v>
      </c>
      <c r="F1" s="3218"/>
      <c r="G1" s="3218"/>
      <c r="H1" s="3218"/>
      <c r="I1" s="3218"/>
      <c r="J1" s="3218"/>
      <c r="K1" s="3218"/>
      <c r="L1" s="3218"/>
      <c r="M1" s="3218"/>
    </row>
    <row r="2" spans="1:13" ht="27" customHeight="1">
      <c r="A2" s="3217"/>
      <c r="B2" s="3217"/>
      <c r="C2" s="3217"/>
      <c r="D2" s="3218"/>
      <c r="E2" s="3218" t="s">
        <v>24</v>
      </c>
      <c r="F2" s="3218" t="s">
        <v>25</v>
      </c>
      <c r="G2" s="3218"/>
      <c r="H2" s="3218"/>
      <c r="I2" s="3218"/>
      <c r="J2" s="3218" t="s">
        <v>26</v>
      </c>
      <c r="K2" s="3218"/>
      <c r="L2" s="3218"/>
      <c r="M2" s="3218"/>
    </row>
    <row r="3" spans="1:13" ht="28.5">
      <c r="A3" s="3217"/>
      <c r="B3" s="3217"/>
      <c r="C3" s="3217"/>
      <c r="D3" s="3218"/>
      <c r="E3" s="32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18" t="s">
        <v>42</v>
      </c>
      <c r="B9" s="3218"/>
      <c r="C9" s="32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28" t="s">
        <v>203</v>
      </c>
      <c r="B2" s="3228"/>
      <c r="C2" s="3228"/>
      <c r="D2" s="1981" t="s">
        <v>204</v>
      </c>
      <c r="E2" s="106" t="s">
        <v>205</v>
      </c>
      <c r="F2" s="1990"/>
      <c r="G2" s="1201"/>
      <c r="H2" s="1202"/>
      <c r="I2" s="1203" t="s">
        <v>860</v>
      </c>
      <c r="J2" s="1990"/>
      <c r="K2" s="1990"/>
      <c r="L2" s="1990"/>
    </row>
    <row r="3" spans="1:16" ht="15.75" thickBot="1">
      <c r="A3" s="3229" t="s">
        <v>206</v>
      </c>
      <c r="B3" s="3229"/>
      <c r="C3" s="3229"/>
      <c r="D3" s="107">
        <f>'数据-基础表'!AY6</f>
        <v>41598.620000000003</v>
      </c>
      <c r="E3" s="107">
        <f>'数据-基础表'!AZ5</f>
        <v>99836.688000000009</v>
      </c>
      <c r="F3" s="1990"/>
      <c r="G3" s="280" t="s">
        <v>861</v>
      </c>
      <c r="H3" s="275" t="s">
        <v>862</v>
      </c>
      <c r="I3" s="1982">
        <f>ROUND('数据-基础表'!B3/'数据-基础表'!A3,2)</f>
        <v>2.4</v>
      </c>
      <c r="J3" s="1990"/>
      <c r="K3" s="1990"/>
      <c r="L3" s="1990"/>
    </row>
    <row r="4" spans="1:16" ht="15">
      <c r="A4" s="3230"/>
      <c r="B4" s="3231"/>
      <c r="C4" s="3232"/>
      <c r="D4" s="108" t="s">
        <v>204</v>
      </c>
      <c r="E4" s="109" t="s">
        <v>205</v>
      </c>
      <c r="F4" s="1990"/>
      <c r="G4" s="1204"/>
      <c r="H4" s="275" t="s">
        <v>863</v>
      </c>
      <c r="I4" s="1982">
        <f>ROUND(SUMIF('数据-基础表'!I9:AS9,"地上",'数据-基础表'!I5:AS5)/'数据-基础表'!A3,2)</f>
        <v>2.4</v>
      </c>
      <c r="J4" s="1990"/>
      <c r="K4" s="1990"/>
      <c r="L4" s="1990"/>
    </row>
    <row r="5" spans="1:16">
      <c r="A5" s="110" t="s">
        <v>207</v>
      </c>
      <c r="B5" s="3233" t="s">
        <v>230</v>
      </c>
      <c r="C5" s="3233"/>
      <c r="D5" s="111">
        <f>ROUND($D$3*E5/$E$3,2)</f>
        <v>41598.620000000003</v>
      </c>
      <c r="E5" s="112">
        <f>SUMIF('数据-基础表'!$11:$11,"住宅",'数据-基础表'!$5:$5)</f>
        <v>99836.688000000009</v>
      </c>
      <c r="F5" s="1990"/>
      <c r="G5" s="280" t="s">
        <v>864</v>
      </c>
      <c r="H5" s="275" t="s">
        <v>862</v>
      </c>
      <c r="I5" s="1982">
        <f>ROUND(E31/D31,2)</f>
        <v>2.4</v>
      </c>
      <c r="J5" s="1990"/>
      <c r="K5" s="1990"/>
      <c r="L5" s="1990"/>
    </row>
    <row r="6" spans="1:16" ht="15" thickBot="1">
      <c r="A6" s="113"/>
      <c r="B6" s="3233" t="s">
        <v>208</v>
      </c>
      <c r="C6" s="3233"/>
      <c r="D6" s="111">
        <f>ROUND($D$3*E6/$E$3,2)</f>
        <v>0</v>
      </c>
      <c r="E6" s="112">
        <f>E3-E5</f>
        <v>0</v>
      </c>
      <c r="F6" s="1990"/>
      <c r="G6" s="1204"/>
      <c r="H6" s="275" t="s">
        <v>863</v>
      </c>
      <c r="I6" s="1982">
        <f>ROUND(F31/D31,2)</f>
        <v>2.4</v>
      </c>
      <c r="J6" s="1990"/>
      <c r="K6" s="1990"/>
      <c r="L6" s="1990"/>
    </row>
    <row r="7" spans="1:16" ht="15">
      <c r="A7" s="3225"/>
      <c r="B7" s="3226"/>
      <c r="C7" s="3227"/>
      <c r="D7" s="108" t="s">
        <v>204</v>
      </c>
      <c r="E7" s="114" t="s">
        <v>231</v>
      </c>
      <c r="F7" s="1990"/>
      <c r="G7" s="1159" t="s">
        <v>1649</v>
      </c>
      <c r="H7" s="1160"/>
      <c r="I7" s="1852">
        <v>4</v>
      </c>
      <c r="J7" s="1990"/>
      <c r="K7" s="1990"/>
      <c r="L7" s="1990"/>
    </row>
    <row r="8" spans="1:16">
      <c r="A8" s="110" t="s">
        <v>209</v>
      </c>
      <c r="B8" s="115" t="s">
        <v>210</v>
      </c>
      <c r="C8" s="111" t="s">
        <v>211</v>
      </c>
      <c r="D8" s="111">
        <f t="shared" ref="D8:D15" si="0">ROUND($D$3*E8/$E$3,2)</f>
        <v>41598.620000000003</v>
      </c>
      <c r="E8" s="116">
        <f>SUMIF('数据-基础表'!BB10:BK10,"地上",'数据-基础表'!BB5:BK5)</f>
        <v>99836.688000000009</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41598.620000000003</v>
      </c>
      <c r="E16" s="120">
        <f>SUM(E8:E15)</f>
        <v>99836.688000000009</v>
      </c>
      <c r="F16" s="1990"/>
      <c r="G16" s="1992"/>
      <c r="H16" s="971" t="s">
        <v>219</v>
      </c>
      <c r="I16" s="972"/>
      <c r="J16" s="1990"/>
      <c r="K16" s="3219" t="s">
        <v>2581</v>
      </c>
      <c r="L16" s="3220"/>
      <c r="M16" s="3220"/>
      <c r="N16" s="3220"/>
      <c r="O16" s="3220"/>
      <c r="P16" s="3221"/>
    </row>
    <row r="17" spans="1:19" ht="15">
      <c r="A17" s="121" t="s">
        <v>216</v>
      </c>
      <c r="B17" s="122" t="s">
        <v>217</v>
      </c>
      <c r="C17" s="2308" t="s">
        <v>2325</v>
      </c>
      <c r="D17" s="108" t="s">
        <v>204</v>
      </c>
      <c r="E17" s="124" t="s">
        <v>205</v>
      </c>
      <c r="F17" s="125"/>
      <c r="G17" s="1370"/>
      <c r="H17" s="973" t="s">
        <v>218</v>
      </c>
      <c r="I17" s="974" t="s">
        <v>2324</v>
      </c>
      <c r="J17" s="1990"/>
      <c r="K17" s="3222" t="s">
        <v>2582</v>
      </c>
      <c r="L17" s="3223"/>
      <c r="M17" s="3224"/>
      <c r="N17" s="3222" t="s">
        <v>2583</v>
      </c>
      <c r="O17" s="3223"/>
      <c r="P17" s="3224"/>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2966</v>
      </c>
      <c r="D19" s="111">
        <f t="shared" ref="D19:D26" si="1">ROUND($D$3*E19/$E$3,2)</f>
        <v>41598.620000000003</v>
      </c>
      <c r="E19" s="134">
        <f t="shared" ref="E19:E26" si="2">SUM(F19:G19)</f>
        <v>99836.688000000009</v>
      </c>
      <c r="F19" s="135">
        <f>41598.62*2.4</f>
        <v>99836.688000000009</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41598.620000000003</v>
      </c>
      <c r="S19" s="2311">
        <f t="shared" si="5"/>
        <v>99836.688000000009</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41598.620000000003</v>
      </c>
      <c r="E27" s="143">
        <f>IF(SUM(E19:E26)='数据-基础表'!BA5,SUM(E19:E26),IF(F27="地上面积有误","面积有误","地下面积有误"))</f>
        <v>99836.688000000009</v>
      </c>
      <c r="F27" s="134">
        <f>IF(SUM(F19:F26)=E8,SUM(F19:F26),"地上面积有误")</f>
        <v>99836.688000000009</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41598.620000000003</v>
      </c>
      <c r="S27" s="275">
        <f>IF(SUM(S19:S26)=$E$3,SUM(S19:S26),SUM(S19:S26)&amp;"误差"&amp;ROUND(SUM(S19:S26)-E3,2))</f>
        <v>99836.688000000009</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2334</v>
      </c>
      <c r="D31" s="1376">
        <f>D27+D30</f>
        <v>41598.620000000003</v>
      </c>
      <c r="E31" s="1376">
        <f>E27+E30</f>
        <v>99836.688000000009</v>
      </c>
      <c r="F31" s="1377">
        <f>F27+F30</f>
        <v>99836.688000000009</v>
      </c>
      <c r="G31" s="1378">
        <f>G27+G30</f>
        <v>0</v>
      </c>
      <c r="H31" s="1990"/>
      <c r="I31" s="1990"/>
      <c r="J31" s="1990"/>
      <c r="K31" s="1990"/>
      <c r="L31" s="1990"/>
    </row>
    <row r="32" spans="1:19">
      <c r="A32" s="1990"/>
      <c r="B32" s="2373" t="s">
        <v>2333</v>
      </c>
      <c r="C32" s="2683"/>
      <c r="D32" s="1204"/>
      <c r="E32" s="1204">
        <f>SUMIF(C19:C26,"*住宅*",E19:E26)</f>
        <v>99836.688000000009</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42920</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68419</v>
      </c>
      <c r="F6" s="174">
        <f>SUMIF(项目基本情况!D$15:I$15,C6,项目基本情况!D$19:I$19)</f>
        <v>70</v>
      </c>
      <c r="G6" s="175">
        <f>IF(ISERROR(ROUND(POWER(1+H6,D6-F6)*(POWER(1+H6,F6)-1)/(POWER(1+H6,D6)-1),3)),0,ROUND(POWER(1+H6,D6-F6)*(POWER(1+H6,F6)-1)/(POWER(1+H6,D6)-1),3))</f>
        <v>1</v>
      </c>
      <c r="H6" s="3065">
        <v>0.04</v>
      </c>
      <c r="I6" s="3065">
        <v>4.4999999999999998E-2</v>
      </c>
      <c r="J6" s="176">
        <v>0.08</v>
      </c>
      <c r="K6" s="179">
        <f>SUMIF('数据-汇总表'!C$19:C$33,'数据-取费表'!A6,'数据-汇总表'!E$19:E$33)</f>
        <v>99836.688000000009</v>
      </c>
      <c r="L6" s="3066">
        <v>3000</v>
      </c>
      <c r="M6" s="177">
        <f t="shared" ref="M6:M14" si="0">ROUND(K6*L6/10000,0)</f>
        <v>29951</v>
      </c>
      <c r="N6" s="3067">
        <v>0</v>
      </c>
      <c r="O6" s="177">
        <f>IF($N$5="成新度","——",ROUND(M6*N6,0))</f>
        <v>0</v>
      </c>
      <c r="P6" s="178">
        <f>IF($N$5="成新度","——",M6-O6)</f>
        <v>29951</v>
      </c>
      <c r="Q6" s="3068">
        <v>0.2</v>
      </c>
      <c r="R6" s="179">
        <f>SUMIF('数据-汇总表'!C$19:C$33,A6,'数据-汇总表'!R$19:R$33)</f>
        <v>41598.620000000003</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v>0.02</v>
      </c>
      <c r="AL6" s="190">
        <v>2E-3</v>
      </c>
      <c r="AM6" s="3079">
        <v>0.02</v>
      </c>
      <c r="AN6" s="2427" t="s">
        <v>2968</v>
      </c>
      <c r="AO6" s="2006"/>
      <c r="AP6" s="1207">
        <f>ROUND(1-1/(1+H6)^F6,3)</f>
        <v>0.93600000000000005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99836.688000000009</v>
      </c>
      <c r="L16" s="206">
        <f>ROUND(M16*10000/SUM(K6:K14),0)</f>
        <v>3000</v>
      </c>
      <c r="M16" s="206">
        <f>SUM(M6:M14)</f>
        <v>29951</v>
      </c>
      <c r="N16" s="207">
        <f>ROUND(SUMPRODUCT(M6:M14,N6:N14)/M16,3)</f>
        <v>0</v>
      </c>
      <c r="O16" s="206">
        <f>SUM(O6:O14)</f>
        <v>0</v>
      </c>
      <c r="P16" s="206">
        <f>SUM(P6:P14)</f>
        <v>29951</v>
      </c>
      <c r="Q16" s="208">
        <f>ROUND(SUMPRODUCT(Q6:Q13,K6:K13)/SUMPRODUCT((Q6:Q13&gt;0)*(K6:K13)),2)</f>
        <v>0.2</v>
      </c>
      <c r="R16" s="2321">
        <f>SUM(R6:R13)</f>
        <v>41598.620000000003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0.93600000000000005</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200</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200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0.05</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5"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5"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0</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1411</v>
      </c>
      <c r="C53" s="3116" t="s">
        <v>2923</v>
      </c>
      <c r="D53" s="3117"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2925</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2926</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2927</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2928</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2929</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2930</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2932</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34" t="s">
        <v>1667</v>
      </c>
      <c r="B1" s="3235"/>
      <c r="C1" s="3235"/>
      <c r="D1" s="3235"/>
      <c r="E1" s="3235"/>
      <c r="F1" s="3235"/>
      <c r="G1" s="3235"/>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2941</v>
      </c>
      <c r="D3" s="2015"/>
      <c r="E3" s="1232" t="s">
        <v>1670</v>
      </c>
      <c r="F3" s="1233" t="s">
        <v>1658</v>
      </c>
      <c r="G3" s="3125" t="s">
        <v>2940</v>
      </c>
      <c r="H3" s="2014"/>
      <c r="I3" s="2014"/>
      <c r="J3" s="2014"/>
      <c r="K3" s="2014"/>
      <c r="L3" s="2014"/>
      <c r="M3" s="2014"/>
      <c r="N3" s="2014"/>
      <c r="O3" s="2014"/>
      <c r="P3" s="2014"/>
      <c r="Q3" s="2014"/>
      <c r="R3" s="2014"/>
    </row>
    <row r="4" spans="1:18" ht="41.25">
      <c r="A4" s="1232"/>
      <c r="B4" s="1234" t="s">
        <v>1671</v>
      </c>
      <c r="C4" s="3122" t="s">
        <v>2942</v>
      </c>
      <c r="D4" s="2015"/>
      <c r="E4" s="1235"/>
      <c r="F4" s="1236" t="s">
        <v>1672</v>
      </c>
      <c r="G4" s="3123" t="s">
        <v>2937</v>
      </c>
      <c r="H4" s="2014"/>
      <c r="I4" s="2014"/>
      <c r="J4" s="2014"/>
      <c r="K4" s="2014"/>
      <c r="L4" s="2014"/>
      <c r="M4" s="2014"/>
      <c r="N4" s="2014"/>
      <c r="O4" s="2014"/>
      <c r="P4" s="2014"/>
      <c r="Q4" s="2014"/>
      <c r="R4" s="2014"/>
    </row>
    <row r="5" spans="1:18" ht="41.25">
      <c r="A5" s="1232"/>
      <c r="B5" s="1234" t="s">
        <v>1673</v>
      </c>
      <c r="C5" s="3122" t="s">
        <v>2943</v>
      </c>
      <c r="D5" s="2015"/>
      <c r="E5" s="1235"/>
      <c r="F5" s="1234" t="s">
        <v>2561</v>
      </c>
      <c r="G5" s="3123" t="s">
        <v>2938</v>
      </c>
      <c r="H5" s="2014"/>
      <c r="I5" s="2014"/>
      <c r="J5" s="2014"/>
      <c r="K5" s="2014"/>
      <c r="L5" s="2014"/>
      <c r="M5" s="2014"/>
      <c r="N5" s="2014"/>
      <c r="O5" s="2014"/>
      <c r="P5" s="2014"/>
      <c r="Q5" s="2014"/>
      <c r="R5" s="2014"/>
    </row>
    <row r="6" spans="1:18" ht="54">
      <c r="A6" s="1232"/>
      <c r="B6" s="1234" t="s">
        <v>1659</v>
      </c>
      <c r="C6" s="3123" t="s">
        <v>2937</v>
      </c>
      <c r="D6" s="2015"/>
      <c r="E6" s="1235"/>
      <c r="F6" s="1234" t="s">
        <v>2562</v>
      </c>
      <c r="G6" s="3123" t="s">
        <v>2935</v>
      </c>
      <c r="H6" s="2014"/>
      <c r="I6" s="2014"/>
      <c r="J6" s="2014"/>
      <c r="K6" s="2014"/>
      <c r="L6" s="2014"/>
      <c r="M6" s="2014"/>
      <c r="N6" s="2014"/>
      <c r="O6" s="2014"/>
      <c r="P6" s="2014"/>
      <c r="Q6" s="2014"/>
      <c r="R6" s="2014"/>
    </row>
    <row r="7" spans="1:18" ht="41.25" thickBot="1">
      <c r="A7" s="1232"/>
      <c r="B7" s="1234" t="s">
        <v>2561</v>
      </c>
      <c r="C7" s="3123" t="s">
        <v>2938</v>
      </c>
      <c r="D7" s="2016"/>
      <c r="E7" s="1237"/>
      <c r="F7" s="1238" t="s">
        <v>1674</v>
      </c>
      <c r="G7" s="3126" t="s">
        <v>2939</v>
      </c>
      <c r="H7" s="2014"/>
      <c r="I7" s="2014"/>
      <c r="J7" s="2014"/>
      <c r="K7" s="2014"/>
      <c r="L7" s="2014"/>
      <c r="M7" s="2014"/>
      <c r="N7" s="2014"/>
      <c r="O7" s="2014"/>
      <c r="P7" s="2014"/>
      <c r="Q7" s="2014"/>
      <c r="R7" s="2014"/>
    </row>
    <row r="8" spans="1:18" ht="27">
      <c r="A8" s="1232"/>
      <c r="B8" s="1234" t="s">
        <v>2562</v>
      </c>
      <c r="C8" s="3123" t="s">
        <v>2935</v>
      </c>
      <c r="D8" s="2016"/>
      <c r="E8" s="2016"/>
      <c r="F8" s="1559"/>
      <c r="G8" s="1559"/>
      <c r="H8" s="2014"/>
      <c r="I8" s="2014"/>
      <c r="J8" s="2014"/>
      <c r="K8" s="2014"/>
      <c r="L8" s="2014"/>
      <c r="M8" s="2014"/>
      <c r="N8" s="2014"/>
      <c r="O8" s="2014"/>
      <c r="P8" s="2014"/>
      <c r="Q8" s="2014"/>
      <c r="R8" s="2014"/>
    </row>
    <row r="9" spans="1:18" ht="40.5">
      <c r="A9" s="1232"/>
      <c r="B9" s="1234" t="s">
        <v>1660</v>
      </c>
      <c r="C9" s="3122"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2862</v>
      </c>
      <c r="B1" s="3085">
        <f>SUM(B14:B23)</f>
        <v>99836.688000000009</v>
      </c>
      <c r="C1" s="3086"/>
      <c r="D1" s="3086"/>
      <c r="E1" s="3086"/>
      <c r="F1" s="3086"/>
    </row>
    <row r="2" spans="1:9" ht="16.5">
      <c r="A2" s="3085" t="s">
        <v>2863</v>
      </c>
      <c r="B2" s="3085">
        <f>SUM(C14:C23)</f>
        <v>41598.620000000003</v>
      </c>
      <c r="C2" s="3086"/>
      <c r="D2" s="3086"/>
      <c r="E2" s="3086"/>
      <c r="F2" s="3086"/>
    </row>
    <row r="3" spans="1:9" ht="16.5">
      <c r="A3" s="3085" t="s">
        <v>2864</v>
      </c>
      <c r="B3" s="3087">
        <f>项目基本情况!D3</f>
        <v>42920</v>
      </c>
      <c r="C3" s="3086"/>
      <c r="D3" s="3086"/>
      <c r="E3" s="3086"/>
      <c r="F3" s="3086"/>
    </row>
    <row r="4" spans="1:9" ht="33">
      <c r="A4" s="3085" t="s">
        <v>2865</v>
      </c>
      <c r="B4" s="3085" t="s">
        <v>2866</v>
      </c>
      <c r="C4" s="3085" t="s">
        <v>2867</v>
      </c>
      <c r="D4" s="3085" t="s">
        <v>2868</v>
      </c>
      <c r="E4" s="3086"/>
      <c r="F4" s="3086"/>
    </row>
    <row r="5" spans="1:9" ht="16.5">
      <c r="A5" s="3085" t="s">
        <v>2869</v>
      </c>
      <c r="B5" s="3085" t="e">
        <f ca="1">SUM(D14:D23)</f>
        <v>#REF!</v>
      </c>
      <c r="C5" s="3085" t="e">
        <f ca="1">ROUND(B5*10000/$B$1,0)</f>
        <v>#REF!</v>
      </c>
      <c r="D5" s="3085" t="e">
        <f ca="1">ROUND(B5*10000/$B$2,0)</f>
        <v>#REF!</v>
      </c>
      <c r="E5" s="3086"/>
      <c r="F5" s="3086"/>
    </row>
    <row r="6" spans="1:9" ht="16.5">
      <c r="A6" s="3085" t="s">
        <v>2870</v>
      </c>
      <c r="B6" s="3085">
        <f>SUM(G14:G23)</f>
        <v>0</v>
      </c>
      <c r="C6" s="3085">
        <f t="shared" ref="C6:C8" si="0">ROUND(B6*10000/$B$1,0)</f>
        <v>0</v>
      </c>
      <c r="D6" s="3085">
        <f t="shared" ref="D6:D8" si="1">ROUND(B6*10000/$B$2,0)</f>
        <v>0</v>
      </c>
      <c r="E6" s="3086"/>
      <c r="F6" s="3086"/>
    </row>
    <row r="7" spans="1:9" ht="16.5">
      <c r="A7" s="3085" t="s">
        <v>2871</v>
      </c>
      <c r="B7" s="3085">
        <f>SUM(H14:H23)</f>
        <v>0</v>
      </c>
      <c r="C7" s="3085">
        <f t="shared" si="0"/>
        <v>0</v>
      </c>
      <c r="D7" s="3085">
        <f t="shared" si="1"/>
        <v>0</v>
      </c>
      <c r="E7" s="3086"/>
      <c r="F7" s="3086"/>
    </row>
    <row r="8" spans="1:9" ht="16.5">
      <c r="A8" s="3085" t="s">
        <v>2872</v>
      </c>
      <c r="B8" s="3085">
        <f>SUM(I14:I23)</f>
        <v>0</v>
      </c>
      <c r="C8" s="3085">
        <f t="shared" si="0"/>
        <v>0</v>
      </c>
      <c r="D8" s="3085">
        <f t="shared" si="1"/>
        <v>0</v>
      </c>
      <c r="E8" s="3086"/>
      <c r="F8" s="3086"/>
    </row>
    <row r="9" spans="1:9" ht="16.5">
      <c r="A9" s="3085" t="s">
        <v>2873</v>
      </c>
      <c r="B9" s="3088"/>
      <c r="C9" s="3086"/>
      <c r="D9" s="3086"/>
      <c r="E9" s="3086"/>
      <c r="F9" s="3086"/>
    </row>
    <row r="10" spans="1:9" ht="16.5">
      <c r="A10" s="3085" t="s">
        <v>2874</v>
      </c>
      <c r="B10" s="3088"/>
      <c r="C10" s="3086"/>
      <c r="D10" s="3086"/>
      <c r="E10" s="3086"/>
      <c r="F10" s="3086"/>
    </row>
    <row r="11" spans="1:9" ht="16.5">
      <c r="A11" s="3085" t="s">
        <v>2891</v>
      </c>
      <c r="B11" s="3088"/>
      <c r="C11" s="3086"/>
      <c r="D11" s="3086"/>
      <c r="E11" s="3086"/>
      <c r="F11" s="3086"/>
    </row>
    <row r="12" spans="1:9" ht="16.5">
      <c r="A12" s="3086"/>
      <c r="B12" s="3086"/>
      <c r="C12" s="3086"/>
      <c r="D12" s="3086"/>
      <c r="E12" s="3086"/>
      <c r="F12" s="3086"/>
    </row>
    <row r="13" spans="1:9" ht="33">
      <c r="A13" s="3091" t="s">
        <v>2890</v>
      </c>
      <c r="B13" s="3089" t="s">
        <v>2862</v>
      </c>
      <c r="C13" s="3089" t="s">
        <v>2863</v>
      </c>
      <c r="D13" s="3089" t="s">
        <v>2875</v>
      </c>
      <c r="E13" s="3085" t="s">
        <v>2889</v>
      </c>
      <c r="F13" s="3085" t="s">
        <v>2868</v>
      </c>
      <c r="G13" s="3089" t="s">
        <v>2876</v>
      </c>
      <c r="H13" s="3089" t="s">
        <v>2877</v>
      </c>
      <c r="I13" s="3089" t="s">
        <v>2878</v>
      </c>
    </row>
    <row r="14" spans="1:9" ht="16.5">
      <c r="A14" s="3092" t="s">
        <v>2888</v>
      </c>
      <c r="B14" s="3089">
        <f>'数据-汇总表'!E3</f>
        <v>99836.688000000009</v>
      </c>
      <c r="C14" s="3089">
        <f>'数据-汇总表'!D3</f>
        <v>41598.620000000003</v>
      </c>
      <c r="D14" s="3089" t="e">
        <f ca="1">结果表!C42</f>
        <v>#REF!</v>
      </c>
      <c r="E14" s="3089" t="e">
        <f ca="1">ROUND(D14*10000/B14,0)</f>
        <v>#REF!</v>
      </c>
      <c r="F14" s="3089" t="e">
        <f ca="1">ROUND(D14*10000/C14,0)</f>
        <v>#REF!</v>
      </c>
      <c r="G14" s="3089" t="str">
        <f>结果表!C44</f>
        <v>——</v>
      </c>
      <c r="H14" s="3089" t="str">
        <f>结果表!C45</f>
        <v>——</v>
      </c>
      <c r="I14" s="3089" t="str">
        <f>结果表!C46</f>
        <v>——</v>
      </c>
    </row>
    <row r="15" spans="1:9" ht="16.5">
      <c r="A15" s="3092" t="s">
        <v>2879</v>
      </c>
      <c r="B15" s="3093"/>
      <c r="C15" s="3093"/>
      <c r="D15" s="3093"/>
      <c r="E15" s="3089" t="e">
        <f t="shared" ref="E15:E23" si="2">ROUND(D15*10000/B15,0)</f>
        <v>#DIV/0!</v>
      </c>
      <c r="F15" s="3089" t="e">
        <f t="shared" ref="F15:F23" si="3">ROUND(D15*10000/C15,0)</f>
        <v>#DIV/0!</v>
      </c>
      <c r="G15" s="3090"/>
      <c r="H15" s="3090"/>
      <c r="I15" s="3093"/>
    </row>
    <row r="16" spans="1:9" ht="16.5">
      <c r="A16" s="3092" t="s">
        <v>2880</v>
      </c>
      <c r="B16" s="3093"/>
      <c r="C16" s="3093"/>
      <c r="D16" s="3093"/>
      <c r="E16" s="3089" t="e">
        <f t="shared" si="2"/>
        <v>#DIV/0!</v>
      </c>
      <c r="F16" s="3089" t="e">
        <f t="shared" si="3"/>
        <v>#DIV/0!</v>
      </c>
      <c r="G16" s="3090"/>
      <c r="H16" s="3090"/>
      <c r="I16" s="3093"/>
    </row>
    <row r="17" spans="1:9" ht="16.5">
      <c r="A17" s="3092" t="s">
        <v>2881</v>
      </c>
      <c r="B17" s="3093"/>
      <c r="C17" s="3093"/>
      <c r="D17" s="3093"/>
      <c r="E17" s="3089" t="e">
        <f t="shared" si="2"/>
        <v>#DIV/0!</v>
      </c>
      <c r="F17" s="3089" t="e">
        <f t="shared" si="3"/>
        <v>#DIV/0!</v>
      </c>
      <c r="G17" s="3090"/>
      <c r="H17" s="3090"/>
      <c r="I17" s="3093"/>
    </row>
    <row r="18" spans="1:9" ht="16.5">
      <c r="A18" s="3092" t="s">
        <v>2882</v>
      </c>
      <c r="B18" s="3093"/>
      <c r="C18" s="3093"/>
      <c r="D18" s="3093"/>
      <c r="E18" s="3089" t="e">
        <f t="shared" si="2"/>
        <v>#DIV/0!</v>
      </c>
      <c r="F18" s="3089" t="e">
        <f t="shared" si="3"/>
        <v>#DIV/0!</v>
      </c>
      <c r="G18" s="3093"/>
      <c r="H18" s="3093"/>
      <c r="I18" s="3093"/>
    </row>
    <row r="19" spans="1:9" ht="16.5">
      <c r="A19" s="3092" t="s">
        <v>2883</v>
      </c>
      <c r="B19" s="3093"/>
      <c r="C19" s="3093"/>
      <c r="D19" s="3093"/>
      <c r="E19" s="3089" t="e">
        <f t="shared" si="2"/>
        <v>#DIV/0!</v>
      </c>
      <c r="F19" s="3089" t="e">
        <f t="shared" si="3"/>
        <v>#DIV/0!</v>
      </c>
      <c r="G19" s="3093"/>
      <c r="H19" s="3093"/>
      <c r="I19" s="3093"/>
    </row>
    <row r="20" spans="1:9" ht="16.5">
      <c r="A20" s="3092" t="s">
        <v>2884</v>
      </c>
      <c r="B20" s="3093"/>
      <c r="C20" s="3093"/>
      <c r="D20" s="3093"/>
      <c r="E20" s="3089" t="e">
        <f t="shared" si="2"/>
        <v>#DIV/0!</v>
      </c>
      <c r="F20" s="3089" t="e">
        <f t="shared" si="3"/>
        <v>#DIV/0!</v>
      </c>
      <c r="G20" s="3093"/>
      <c r="H20" s="3093"/>
      <c r="I20" s="3093"/>
    </row>
    <row r="21" spans="1:9" ht="16.5">
      <c r="A21" s="3092" t="s">
        <v>2885</v>
      </c>
      <c r="B21" s="3093"/>
      <c r="C21" s="3093"/>
      <c r="D21" s="3093"/>
      <c r="E21" s="3089" t="e">
        <f t="shared" si="2"/>
        <v>#DIV/0!</v>
      </c>
      <c r="F21" s="3089" t="e">
        <f t="shared" si="3"/>
        <v>#DIV/0!</v>
      </c>
      <c r="G21" s="3093"/>
      <c r="H21" s="3093"/>
      <c r="I21" s="3093"/>
    </row>
    <row r="22" spans="1:9" ht="16.5">
      <c r="A22" s="3092" t="s">
        <v>2886</v>
      </c>
      <c r="B22" s="3093"/>
      <c r="C22" s="3093"/>
      <c r="D22" s="3093"/>
      <c r="E22" s="3089" t="e">
        <f t="shared" si="2"/>
        <v>#DIV/0!</v>
      </c>
      <c r="F22" s="3089" t="e">
        <f t="shared" si="3"/>
        <v>#DIV/0!</v>
      </c>
      <c r="G22" s="3093"/>
      <c r="H22" s="3093"/>
      <c r="I22" s="3093"/>
    </row>
    <row r="23" spans="1:9" ht="16.5">
      <c r="A23" s="3092" t="s">
        <v>2887</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3" zoomScaleNormal="100" zoomScaleSheetLayoutView="100" zoomScalePageLayoutView="80" workbookViewId="0">
      <selection activeCell="C92" sqref="C92"/>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72" t="str">
        <f>项目基本情况!K2</f>
        <v>国有建设用地使用权</v>
      </c>
      <c r="B2" s="3273"/>
      <c r="C2" s="3274"/>
      <c r="D2" s="3274"/>
      <c r="E2" s="3274"/>
      <c r="F2" s="3274"/>
      <c r="G2" s="3273"/>
      <c r="H2" s="3273"/>
      <c r="I2" s="3275"/>
      <c r="J2" s="2036"/>
      <c r="K2" s="2035"/>
      <c r="L2" s="2035"/>
      <c r="M2" s="2035"/>
      <c r="N2" s="2035"/>
      <c r="O2" s="2035"/>
      <c r="P2" s="2035"/>
      <c r="Q2" s="2035"/>
      <c r="R2" s="2035"/>
      <c r="S2" s="2035"/>
      <c r="T2" s="2035"/>
      <c r="U2" s="2035"/>
      <c r="V2" s="2035"/>
    </row>
    <row r="3" spans="1:22" ht="14.25">
      <c r="A3" s="3265" t="s">
        <v>298</v>
      </c>
      <c r="B3" s="3266"/>
      <c r="C3" s="3266"/>
      <c r="D3" s="3266"/>
      <c r="E3" s="3266"/>
      <c r="F3" s="3266"/>
      <c r="G3" s="3266"/>
      <c r="H3" s="3266"/>
      <c r="I3" s="3266"/>
      <c r="J3" s="2036"/>
      <c r="K3" s="2035"/>
      <c r="L3" s="2035"/>
      <c r="M3" s="2035"/>
      <c r="N3" s="2035"/>
      <c r="O3" s="2035"/>
      <c r="P3" s="2035"/>
      <c r="Q3" s="2035"/>
      <c r="R3" s="2035"/>
      <c r="S3" s="2035"/>
      <c r="T3" s="2035"/>
      <c r="U3" s="2035"/>
      <c r="V3" s="2035"/>
    </row>
    <row r="4" spans="1:22" ht="14.25">
      <c r="A4" s="258" t="s">
        <v>299</v>
      </c>
      <c r="B4" s="259" t="s">
        <v>300</v>
      </c>
      <c r="C4" s="260"/>
      <c r="D4" s="260"/>
      <c r="E4" s="3237" t="s">
        <v>301</v>
      </c>
      <c r="F4" s="3238"/>
      <c r="G4" s="3238"/>
      <c r="H4" s="3238"/>
      <c r="I4" s="3267"/>
      <c r="J4" s="2036"/>
      <c r="K4" s="2035"/>
      <c r="L4" s="951" t="str">
        <f>IF(ISNUMBER(FIND("比较法",C4)),"比较法",IF(ISNUMBER(FIND("成本法",C4)),"成本法",IF(ISNUMBER(FIND("剩余法",C4)),"剩余法",IF(ISNUMBER(FIND("收益法",C4)),"收益法","基准地价系数修正法"))))</f>
        <v>基准地价系数修正法</v>
      </c>
      <c r="M4" s="951" t="str">
        <f>IF(ISNUMBER(FIND("比较法",D4)),"比较法",IF(ISNUMBER(FIND("成本法",D4)),"成本法",IF(ISNUMBER(FIND("剩余法",D4)),"剩余法",IF(ISNUMBER(FIND("收益法",D4)),"收益法","基准地价系数修正法"))))</f>
        <v>基准地价系数修正法</v>
      </c>
      <c r="N4" s="2035"/>
      <c r="O4" s="2035"/>
      <c r="P4" s="2035"/>
      <c r="Q4" s="2035"/>
      <c r="R4" s="2035"/>
      <c r="S4" s="2035"/>
      <c r="T4" s="2035"/>
      <c r="U4" s="2035"/>
      <c r="V4" s="2035"/>
    </row>
    <row r="5" spans="1:22" ht="14.25">
      <c r="A5" s="3236" t="s">
        <v>302</v>
      </c>
      <c r="B5" s="3262">
        <v>25</v>
      </c>
      <c r="C5" s="3260"/>
      <c r="D5" s="3264"/>
      <c r="E5" s="261" t="s">
        <v>303</v>
      </c>
      <c r="F5" s="262"/>
      <c r="G5" s="262"/>
      <c r="H5" s="262"/>
      <c r="I5" s="263"/>
      <c r="J5" s="2036"/>
      <c r="K5" s="2035"/>
      <c r="L5" s="2035"/>
      <c r="M5" s="2035"/>
      <c r="N5" s="2035"/>
      <c r="O5" s="2035"/>
      <c r="P5" s="2035"/>
      <c r="Q5" s="2035"/>
      <c r="R5" s="2035"/>
      <c r="S5" s="2035"/>
      <c r="T5" s="2035"/>
      <c r="U5" s="2035"/>
      <c r="V5" s="2035"/>
    </row>
    <row r="6" spans="1:22" ht="14.25">
      <c r="A6" s="3236"/>
      <c r="B6" s="3262"/>
      <c r="C6" s="3263"/>
      <c r="D6" s="3264"/>
      <c r="E6" s="261" t="s">
        <v>304</v>
      </c>
      <c r="F6" s="262"/>
      <c r="G6" s="262"/>
      <c r="H6" s="262"/>
      <c r="I6" s="263"/>
      <c r="J6" s="2036"/>
      <c r="K6" s="2035"/>
      <c r="L6" s="2035"/>
      <c r="M6" s="2035"/>
      <c r="N6" s="2035"/>
      <c r="O6" s="2035"/>
      <c r="P6" s="2035"/>
      <c r="Q6" s="2035"/>
      <c r="R6" s="2035"/>
      <c r="S6" s="2035"/>
      <c r="T6" s="2035"/>
      <c r="U6" s="2035"/>
      <c r="V6" s="2035"/>
    </row>
    <row r="7" spans="1:22" ht="14.25">
      <c r="A7" s="3236"/>
      <c r="B7" s="3262"/>
      <c r="C7" s="3261"/>
      <c r="D7" s="3264"/>
      <c r="E7" s="261" t="s">
        <v>305</v>
      </c>
      <c r="F7" s="262"/>
      <c r="G7" s="262"/>
      <c r="H7" s="262"/>
      <c r="I7" s="263"/>
      <c r="J7" s="2036"/>
      <c r="K7" s="2035"/>
      <c r="L7" s="2035"/>
      <c r="M7" s="2035"/>
      <c r="N7" s="2035"/>
      <c r="O7" s="2035"/>
      <c r="P7" s="2035"/>
      <c r="Q7" s="2035"/>
      <c r="R7" s="2035"/>
      <c r="S7" s="2035"/>
      <c r="T7" s="2035"/>
      <c r="U7" s="2035"/>
      <c r="V7" s="2035"/>
    </row>
    <row r="8" spans="1:22" ht="14.25">
      <c r="A8" s="3236" t="s">
        <v>306</v>
      </c>
      <c r="B8" s="3262">
        <v>15</v>
      </c>
      <c r="C8" s="3260"/>
      <c r="D8" s="3264"/>
      <c r="E8" s="261" t="s">
        <v>307</v>
      </c>
      <c r="F8" s="262"/>
      <c r="G8" s="262"/>
      <c r="H8" s="262"/>
      <c r="I8" s="263"/>
      <c r="J8" s="2036"/>
      <c r="K8" s="2035"/>
      <c r="L8" s="2035"/>
      <c r="M8" s="2035"/>
      <c r="N8" s="2035"/>
      <c r="O8" s="2035"/>
      <c r="P8" s="2035"/>
      <c r="Q8" s="2035"/>
      <c r="R8" s="2035"/>
      <c r="S8" s="2035"/>
      <c r="T8" s="2035"/>
      <c r="U8" s="2035"/>
      <c r="V8" s="2035"/>
    </row>
    <row r="9" spans="1:22" ht="14.25">
      <c r="A9" s="3236"/>
      <c r="B9" s="3262"/>
      <c r="C9" s="3261"/>
      <c r="D9" s="3264"/>
      <c r="E9" s="261" t="s">
        <v>308</v>
      </c>
      <c r="F9" s="262"/>
      <c r="G9" s="262"/>
      <c r="H9" s="262"/>
      <c r="I9" s="263"/>
      <c r="J9" s="2036"/>
      <c r="K9" s="2035"/>
      <c r="L9" s="2035"/>
      <c r="M9" s="2035"/>
      <c r="N9" s="2035"/>
      <c r="O9" s="2035"/>
      <c r="P9" s="2035"/>
      <c r="Q9" s="2035"/>
      <c r="R9" s="2035"/>
      <c r="S9" s="2035"/>
      <c r="T9" s="2035"/>
      <c r="U9" s="2035"/>
      <c r="V9" s="2035"/>
    </row>
    <row r="10" spans="1:22" ht="14.25">
      <c r="A10" s="3236" t="s">
        <v>309</v>
      </c>
      <c r="B10" s="3262">
        <v>15</v>
      </c>
      <c r="C10" s="3260"/>
      <c r="D10" s="3264"/>
      <c r="E10" s="261" t="s">
        <v>310</v>
      </c>
      <c r="F10" s="262"/>
      <c r="G10" s="262"/>
      <c r="H10" s="262"/>
      <c r="I10" s="263"/>
      <c r="J10" s="2036"/>
      <c r="K10" s="2035"/>
      <c r="L10" s="2035"/>
      <c r="M10" s="2035"/>
      <c r="N10" s="2035"/>
      <c r="O10" s="2035"/>
      <c r="P10" s="2035"/>
      <c r="Q10" s="2035"/>
      <c r="R10" s="2035"/>
      <c r="S10" s="2035"/>
      <c r="T10" s="2035"/>
      <c r="U10" s="2035"/>
      <c r="V10" s="2035"/>
    </row>
    <row r="11" spans="1:22" ht="14.25">
      <c r="A11" s="3236"/>
      <c r="B11" s="3262"/>
      <c r="C11" s="3261"/>
      <c r="D11" s="3264"/>
      <c r="E11" s="261" t="s">
        <v>311</v>
      </c>
      <c r="F11" s="262"/>
      <c r="G11" s="262"/>
      <c r="H11" s="262"/>
      <c r="I11" s="263"/>
      <c r="J11" s="2036"/>
      <c r="K11" s="2035"/>
      <c r="L11" s="2035"/>
      <c r="M11" s="2035"/>
      <c r="N11" s="2035"/>
      <c r="O11" s="2035"/>
      <c r="P11" s="2035"/>
      <c r="Q11" s="2035"/>
      <c r="R11" s="2035"/>
      <c r="S11" s="2035"/>
      <c r="T11" s="2035"/>
      <c r="U11" s="2035"/>
      <c r="V11" s="2035"/>
    </row>
    <row r="12" spans="1:22" ht="14.25">
      <c r="A12" s="3236" t="s">
        <v>312</v>
      </c>
      <c r="B12" s="3262">
        <v>15</v>
      </c>
      <c r="C12" s="3260"/>
      <c r="D12" s="3264"/>
      <c r="E12" s="261" t="s">
        <v>313</v>
      </c>
      <c r="F12" s="262"/>
      <c r="G12" s="262"/>
      <c r="H12" s="262"/>
      <c r="I12" s="263"/>
      <c r="J12" s="2036"/>
      <c r="K12" s="2035"/>
      <c r="L12" s="2035"/>
      <c r="M12" s="2035"/>
      <c r="N12" s="2035"/>
      <c r="O12" s="2035"/>
      <c r="P12" s="2035"/>
      <c r="Q12" s="2035"/>
      <c r="R12" s="2035"/>
      <c r="S12" s="2035"/>
      <c r="T12" s="2035"/>
      <c r="U12" s="2035"/>
      <c r="V12" s="2035"/>
    </row>
    <row r="13" spans="1:22" ht="14.25">
      <c r="A13" s="3236"/>
      <c r="B13" s="3262"/>
      <c r="C13" s="3261"/>
      <c r="D13" s="3264"/>
      <c r="E13" s="261" t="s">
        <v>314</v>
      </c>
      <c r="F13" s="262"/>
      <c r="G13" s="262"/>
      <c r="H13" s="262"/>
      <c r="I13" s="263"/>
      <c r="J13" s="2036"/>
      <c r="K13" s="2035"/>
      <c r="L13" s="2035"/>
      <c r="M13" s="2035"/>
      <c r="N13" s="2035"/>
      <c r="O13" s="2035"/>
      <c r="P13" s="2035"/>
      <c r="Q13" s="2035"/>
      <c r="R13" s="2035"/>
      <c r="S13" s="2035"/>
      <c r="T13" s="2035"/>
      <c r="U13" s="2035"/>
      <c r="V13" s="2035"/>
    </row>
    <row r="14" spans="1:22" ht="14.25">
      <c r="A14" s="3236" t="s">
        <v>315</v>
      </c>
      <c r="B14" s="3262">
        <v>30</v>
      </c>
      <c r="C14" s="3260"/>
      <c r="D14" s="3264"/>
      <c r="E14" s="261" t="s">
        <v>316</v>
      </c>
      <c r="F14" s="262"/>
      <c r="G14" s="262"/>
      <c r="H14" s="262"/>
      <c r="I14" s="263"/>
      <c r="J14" s="2036"/>
      <c r="K14" s="2035"/>
      <c r="L14" s="2035"/>
      <c r="M14" s="2035"/>
      <c r="N14" s="2035"/>
      <c r="O14" s="2035"/>
      <c r="P14" s="2035"/>
      <c r="Q14" s="2035"/>
      <c r="R14" s="2035"/>
      <c r="S14" s="2035"/>
      <c r="T14" s="2035"/>
      <c r="U14" s="2035"/>
      <c r="V14" s="2035"/>
    </row>
    <row r="15" spans="1:22" ht="14.25">
      <c r="A15" s="3236"/>
      <c r="B15" s="3262"/>
      <c r="C15" s="3263"/>
      <c r="D15" s="3264"/>
      <c r="E15" s="261" t="s">
        <v>317</v>
      </c>
      <c r="F15" s="262"/>
      <c r="G15" s="262"/>
      <c r="H15" s="262"/>
      <c r="I15" s="263"/>
      <c r="J15" s="2036"/>
      <c r="K15" s="2035"/>
      <c r="L15" s="2035"/>
      <c r="M15" s="2035"/>
      <c r="N15" s="2035"/>
      <c r="O15" s="2035"/>
      <c r="P15" s="2035"/>
      <c r="Q15" s="2035"/>
      <c r="R15" s="2035"/>
      <c r="S15" s="2035"/>
      <c r="T15" s="2035"/>
      <c r="U15" s="2035"/>
      <c r="V15" s="2035"/>
    </row>
    <row r="16" spans="1:22" ht="14.25">
      <c r="A16" s="3236"/>
      <c r="B16" s="3262"/>
      <c r="C16" s="3261"/>
      <c r="D16" s="3264"/>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0</v>
      </c>
      <c r="D17" s="265">
        <f>SUM(D5:D16)</f>
        <v>0</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t="e">
        <f>ROUND(C17/SUM(C17:D17),2)</f>
        <v>#DIV/0!</v>
      </c>
      <c r="D18" s="267" t="e">
        <f>1-C18</f>
        <v>#DIV/0!</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t="e">
        <f ca="1">IF(C19&lt;D19,D19/C19-1,C19/D19-1)</f>
        <v>#REF!</v>
      </c>
      <c r="E22" s="284"/>
      <c r="F22" s="285"/>
      <c r="G22" s="286" t="e">
        <f ca="1">ROUND(G19/('数据-汇总表'!D3/666.67),0)</f>
        <v>#REF!</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42"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43"/>
      <c r="B25" s="1324" t="s">
        <v>331</v>
      </c>
      <c r="C25" s="290">
        <f>IF(B30=0,0,C30)</f>
        <v>0</v>
      </c>
      <c r="D25" s="291"/>
      <c r="E25" s="314"/>
      <c r="F25" s="314"/>
      <c r="G25" s="314"/>
      <c r="H25" s="314"/>
      <c r="I25" s="314"/>
      <c r="J25" s="2035"/>
      <c r="K25" s="1258" t="e">
        <f ca="1">项目基本情况!B16&amp;"国有建设用地使用权价格："&amp;O38&amp;"万元"</f>
        <v>#REF!</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e">
        <f ca="1">"大写金额：人民币"&amp;NUMBERSTRING(INT(O38*10000),2)&amp;"元整"</f>
        <v>#REF!</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e">
        <f ca="1">"单位面积地价："&amp;M38&amp;"元/平方米"</f>
        <v>#REF!</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e">
        <f ca="1">"楼面地价："&amp;N38&amp;"元/平方米"</f>
        <v>#REF!</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t="e">
        <f ca="1">G19-C24</f>
        <v>#REF!</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t="e">
        <f ca="1">ROUND(C32*10000/'数据-汇总表'!E3,0)</f>
        <v>#REF!</v>
      </c>
      <c r="D33" s="1390" t="s">
        <v>1695</v>
      </c>
      <c r="E33" s="3242"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t="e">
        <f ca="1">ROUND(C32*10000/'数据-汇总表'!D3,0)</f>
        <v>#REF!</v>
      </c>
      <c r="D34" s="1392" t="s">
        <v>1695</v>
      </c>
      <c r="E34" s="3283"/>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t="e">
        <f ca="1">ROUND(C32/('数据-汇总表'!D3/666.67),0)</f>
        <v>#REF!</v>
      </c>
      <c r="D35" s="1395" t="s">
        <v>1697</v>
      </c>
      <c r="E35" s="3284"/>
      <c r="F35" s="304" t="s">
        <v>342</v>
      </c>
      <c r="G35" s="985"/>
      <c r="H35" s="984" t="s">
        <v>343</v>
      </c>
      <c r="I35" s="314"/>
      <c r="J35" s="2035"/>
      <c r="K35" s="3257" t="s">
        <v>350</v>
      </c>
      <c r="L35" s="3257" t="s">
        <v>351</v>
      </c>
      <c r="M35" s="1267" t="s">
        <v>352</v>
      </c>
      <c r="N35" s="3257" t="s">
        <v>353</v>
      </c>
      <c r="O35" s="3257" t="s">
        <v>354</v>
      </c>
      <c r="P35" s="2035"/>
      <c r="V35" s="2035"/>
    </row>
    <row r="36" spans="1:26" ht="16.5" customHeight="1">
      <c r="A36" s="306" t="s">
        <v>344</v>
      </c>
      <c r="B36" s="307" t="s">
        <v>333</v>
      </c>
      <c r="C36" s="308" t="s">
        <v>345</v>
      </c>
      <c r="D36" s="308" t="s">
        <v>346</v>
      </c>
      <c r="E36" s="309" t="s">
        <v>347</v>
      </c>
      <c r="F36" s="314"/>
      <c r="G36" s="314"/>
      <c r="H36" s="314"/>
      <c r="I36" s="314"/>
      <c r="J36" s="2037"/>
      <c r="K36" s="3258"/>
      <c r="L36" s="3258"/>
      <c r="M36" s="1269" t="s">
        <v>355</v>
      </c>
      <c r="N36" s="3258"/>
      <c r="O36" s="3258"/>
      <c r="P36" s="2035"/>
      <c r="V36" s="2035"/>
    </row>
    <row r="37" spans="1:26" ht="16.5" customHeight="1" thickBot="1">
      <c r="A37" s="1263" t="s">
        <v>348</v>
      </c>
      <c r="B37" s="310"/>
      <c r="C37" s="294"/>
      <c r="D37" s="294"/>
      <c r="E37" s="295"/>
      <c r="F37" s="314"/>
      <c r="G37" s="314"/>
      <c r="H37" s="314"/>
      <c r="I37" s="314"/>
      <c r="J37" s="2037"/>
      <c r="K37" s="3259"/>
      <c r="L37" s="3259"/>
      <c r="M37" s="1270"/>
      <c r="N37" s="3259"/>
      <c r="O37" s="3259"/>
      <c r="P37" s="2035"/>
      <c r="V37" s="2035"/>
    </row>
    <row r="38" spans="1:26" ht="16.5" customHeight="1" thickBot="1">
      <c r="A38" s="1263" t="s">
        <v>349</v>
      </c>
      <c r="B38" s="310"/>
      <c r="C38" s="294"/>
      <c r="D38" s="294"/>
      <c r="E38" s="295"/>
      <c r="F38" s="314"/>
      <c r="G38" s="314"/>
      <c r="H38" s="314"/>
      <c r="I38" s="314"/>
      <c r="J38" s="2037"/>
      <c r="K38" s="1271">
        <f>'数据-汇总表'!D3</f>
        <v>41598.620000000003</v>
      </c>
      <c r="L38" s="1272">
        <f>'数据-汇总表'!E3</f>
        <v>99836.688000000009</v>
      </c>
      <c r="M38" s="1272" t="e">
        <f ca="1">C34</f>
        <v>#REF!</v>
      </c>
      <c r="N38" s="1272" t="e">
        <f ca="1">C33</f>
        <v>#REF!</v>
      </c>
      <c r="O38" s="1273" t="e">
        <f ca="1">C32</f>
        <v>#REF!</v>
      </c>
      <c r="P38" s="2035"/>
      <c r="V38" s="2035"/>
    </row>
    <row r="39" spans="1:26" ht="16.5" customHeight="1" thickBot="1">
      <c r="A39" s="1268"/>
      <c r="B39" s="311"/>
      <c r="C39" s="312"/>
      <c r="D39" s="312"/>
      <c r="E39" s="313"/>
      <c r="F39" s="314"/>
      <c r="G39" s="314"/>
      <c r="H39" s="314"/>
      <c r="I39" s="314"/>
      <c r="J39" s="2037"/>
      <c r="K39" s="3302" t="str">
        <f>MID(A44,3,LEN(A44)-2)</f>
        <v/>
      </c>
      <c r="L39" s="3303"/>
      <c r="M39" s="3303"/>
      <c r="N39" s="3304"/>
      <c r="O39" s="1397" t="str">
        <f>C44</f>
        <v>——</v>
      </c>
      <c r="P39" s="2035"/>
      <c r="V39" s="2035"/>
    </row>
    <row r="40" spans="1:26" ht="19.5" thickBot="1">
      <c r="A40" s="104" t="s">
        <v>876</v>
      </c>
      <c r="B40" s="314"/>
      <c r="C40" s="314"/>
      <c r="D40" s="314"/>
      <c r="E40" s="314"/>
      <c r="F40" s="314"/>
      <c r="G40" s="314"/>
      <c r="H40" s="314"/>
      <c r="I40" s="314"/>
      <c r="J40" s="2037"/>
      <c r="K40" s="3302" t="str">
        <f t="shared" ref="K40:K41" si="0">MID(A45,3,LEN(A45)-2)</f>
        <v/>
      </c>
      <c r="L40" s="3303"/>
      <c r="M40" s="3303"/>
      <c r="N40" s="3304"/>
      <c r="O40" s="1397" t="str">
        <f>C45</f>
        <v>——</v>
      </c>
      <c r="P40" s="2035"/>
      <c r="V40" s="2035"/>
    </row>
    <row r="41" spans="1:26" ht="16.5" thickBot="1">
      <c r="A41" s="315" t="s">
        <v>356</v>
      </c>
      <c r="B41" s="316"/>
      <c r="C41" s="317" t="s">
        <v>357</v>
      </c>
      <c r="D41" s="318" t="s">
        <v>358</v>
      </c>
      <c r="E41" s="318" t="s">
        <v>359</v>
      </c>
      <c r="F41" s="319" t="s">
        <v>360</v>
      </c>
      <c r="G41" s="314"/>
      <c r="H41" s="314"/>
      <c r="I41" s="314"/>
      <c r="J41" s="2037"/>
      <c r="K41" s="3302" t="str">
        <f t="shared" si="0"/>
        <v/>
      </c>
      <c r="L41" s="3303"/>
      <c r="M41" s="3303"/>
      <c r="N41" s="3304"/>
      <c r="O41" s="1397" t="str">
        <f>C46</f>
        <v>——</v>
      </c>
      <c r="P41" s="2035"/>
      <c r="V41" s="2035"/>
    </row>
    <row r="42" spans="1:26" ht="29.25">
      <c r="A42" s="3244" t="s">
        <v>2078</v>
      </c>
      <c r="B42" s="3245"/>
      <c r="C42" s="264" t="e">
        <f ca="1">C32</f>
        <v>#REF!</v>
      </c>
      <c r="D42" s="320" t="e">
        <f ca="1">C33</f>
        <v>#REF!</v>
      </c>
      <c r="E42" s="320" t="e">
        <f ca="1">C34</f>
        <v>#REF!</v>
      </c>
      <c r="F42" s="321" t="e">
        <f ca="1">C35</f>
        <v>#REF!</v>
      </c>
      <c r="G42" s="314"/>
      <c r="H42" s="314"/>
      <c r="I42" s="322"/>
      <c r="J42" s="2037"/>
      <c r="K42" s="1274" t="s">
        <v>361</v>
      </c>
      <c r="L42" s="2054" t="s">
        <v>362</v>
      </c>
      <c r="M42" s="1275" t="s">
        <v>363</v>
      </c>
      <c r="N42" s="2055" t="s">
        <v>364</v>
      </c>
      <c r="O42" s="2056" t="s">
        <v>365</v>
      </c>
      <c r="P42" s="2035"/>
      <c r="V42" s="2035"/>
    </row>
    <row r="43" spans="1:26" ht="18">
      <c r="A43" s="3255" t="s">
        <v>2748</v>
      </c>
      <c r="B43" s="3256"/>
      <c r="C43" s="264">
        <f>IF(H33="正常操作",G33+G34+G35,G34+G35)</f>
        <v>0</v>
      </c>
      <c r="D43" s="320" t="s">
        <v>43</v>
      </c>
      <c r="E43" s="320" t="s">
        <v>44</v>
      </c>
      <c r="F43" s="321" t="s">
        <v>44</v>
      </c>
      <c r="G43" s="2906" t="s">
        <v>955</v>
      </c>
      <c r="H43" s="314"/>
      <c r="I43" s="322"/>
      <c r="J43" s="2037"/>
      <c r="K43" s="1276">
        <f>C4</f>
        <v>0</v>
      </c>
      <c r="L43" s="1277" t="e">
        <f ca="1">IF(L42="估价结果/万元",C19,C20)</f>
        <v>#REF!</v>
      </c>
      <c r="M43" s="1278" t="e">
        <f>C18</f>
        <v>#DIV/0!</v>
      </c>
      <c r="N43" s="1279" t="e">
        <f ca="1">IF(N42="测算结果/万元",G19,G20)</f>
        <v>#REF!</v>
      </c>
      <c r="O43" s="1280" t="e">
        <f ca="1">IF(O42="最终结果/万元",C32,C33)</f>
        <v>#REF!</v>
      </c>
      <c r="P43" s="2035"/>
      <c r="V43" s="2035"/>
    </row>
    <row r="44" spans="1:26" ht="18.75" thickBot="1">
      <c r="A44" s="3244" t="str">
        <f>IF(OR(项目基本情况!E8="抵押价格",项目基本情况!E8="已注销及未注销"),"3.抵押价格","——")</f>
        <v>——</v>
      </c>
      <c r="B44" s="3245"/>
      <c r="C44" s="264" t="str">
        <f>IF(A44="——","——",C42-C43)</f>
        <v>——</v>
      </c>
      <c r="D44" s="320" t="e">
        <f>ROUND(C44*10000/'数据-汇总表'!E3,0)</f>
        <v>#VALUE!</v>
      </c>
      <c r="E44" s="320" t="e">
        <f>ROUND(C44*10000/'数据-汇总表'!D3,0)</f>
        <v>#VALUE!</v>
      </c>
      <c r="F44" s="321" t="e">
        <f>ROUND(C44/('数据-汇总表'!D3/666.67),0)</f>
        <v>#VALUE!</v>
      </c>
      <c r="G44" s="314"/>
      <c r="H44" s="314"/>
      <c r="I44" s="322"/>
      <c r="J44" s="2037"/>
      <c r="K44" s="1281">
        <f>D4</f>
        <v>0</v>
      </c>
      <c r="L44" s="1282" t="e">
        <f ca="1">IF(L42="估价结果/万元",D19,D20)</f>
        <v>#REF!</v>
      </c>
      <c r="M44" s="1283" t="e">
        <f>D18</f>
        <v>#DIV/0!</v>
      </c>
      <c r="N44" s="1284"/>
      <c r="O44" s="1285"/>
      <c r="P44" s="2035"/>
      <c r="V44" s="2035"/>
    </row>
    <row r="45" spans="1:26" ht="15">
      <c r="A45" s="3250" t="str">
        <f>IF(项目基本情况!E8="已注销及未注销","4.抵押担保权已注销时的抵押价格",IF(项目基本情况!E8="已注销","3.抵押担保权已注销时的抵押价格","——"))</f>
        <v>——</v>
      </c>
      <c r="B45" s="3251"/>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46" t="str">
        <f>IF(项目基本情况!E9="抵押净值",IF(A45="——","4.抵押净值","5.抵押净值"),"——")</f>
        <v>——</v>
      </c>
      <c r="B46" s="3247"/>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91" t="s">
        <v>374</v>
      </c>
      <c r="B63" s="3292"/>
      <c r="C63" s="3293"/>
      <c r="D63" s="344" t="e">
        <f ca="1">ROUND(C42*F63,0)</f>
        <v>#REF!</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52" t="s">
        <v>378</v>
      </c>
      <c r="B64" s="3253"/>
      <c r="C64" s="3253"/>
      <c r="D64" s="3253"/>
      <c r="E64" s="3253"/>
      <c r="F64" s="3253"/>
      <c r="G64" s="3254"/>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48" t="s">
        <v>386</v>
      </c>
      <c r="B66" s="3249"/>
      <c r="C66" s="3249"/>
      <c r="D66" s="261" t="e">
        <f ca="1">IF(H66="情况1",0,IF(H66="情况2",D70,IF(H66="情况3",D71,IF(H66="情况4",D72))))</f>
        <v>#REF!</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306" t="s">
        <v>385</v>
      </c>
      <c r="M66" s="3307"/>
      <c r="N66" s="2494"/>
      <c r="O66" s="2495"/>
      <c r="P66" s="2496"/>
      <c r="Q66" s="2035"/>
      <c r="R66" s="2035"/>
      <c r="S66" s="2035"/>
      <c r="T66" s="2035"/>
      <c r="U66" s="2035"/>
      <c r="V66" s="2035"/>
    </row>
    <row r="67" spans="1:22" ht="25.5" customHeight="1">
      <c r="A67" s="355" t="s">
        <v>390</v>
      </c>
      <c r="B67" s="3239" t="s">
        <v>391</v>
      </c>
      <c r="C67" s="3239"/>
      <c r="D67" s="356">
        <v>0</v>
      </c>
      <c r="E67" s="41" t="s">
        <v>392</v>
      </c>
      <c r="F67" s="62" t="s">
        <v>21</v>
      </c>
      <c r="G67" s="3294"/>
      <c r="H67" s="314"/>
      <c r="I67" s="1295"/>
      <c r="J67" s="2042"/>
      <c r="K67" s="1983">
        <v>2</v>
      </c>
      <c r="L67" s="3305" t="s">
        <v>389</v>
      </c>
      <c r="M67" s="3305"/>
      <c r="N67" s="1328">
        <f>'数据-取费表'!B2</f>
        <v>42920</v>
      </c>
      <c r="O67" s="1328"/>
      <c r="P67" s="1328"/>
      <c r="Q67" s="2035"/>
      <c r="R67" s="2035"/>
      <c r="S67" s="2035"/>
      <c r="T67" s="2035"/>
      <c r="U67" s="2035"/>
      <c r="V67" s="2035"/>
    </row>
    <row r="68" spans="1:22" ht="25.5" customHeight="1">
      <c r="A68" s="357"/>
      <c r="B68" s="3239" t="s">
        <v>394</v>
      </c>
      <c r="C68" s="3239"/>
      <c r="D68" s="358"/>
      <c r="E68" s="77"/>
      <c r="F68" s="359"/>
      <c r="G68" s="3295"/>
      <c r="H68" s="314"/>
      <c r="I68" s="1295"/>
      <c r="J68" s="2042"/>
      <c r="K68" s="1983">
        <v>3</v>
      </c>
      <c r="L68" s="3305" t="s">
        <v>393</v>
      </c>
      <c r="M68" s="3305"/>
      <c r="N68" s="1296" t="e">
        <f ca="1">C42</f>
        <v>#REF!</v>
      </c>
      <c r="O68" s="1296"/>
      <c r="P68" s="1296"/>
      <c r="Q68" s="2035"/>
      <c r="R68" s="2035"/>
      <c r="S68" s="2035"/>
      <c r="T68" s="2035"/>
      <c r="U68" s="2035"/>
      <c r="V68" s="2035"/>
    </row>
    <row r="69" spans="1:22" ht="12" customHeight="1">
      <c r="A69" s="360"/>
      <c r="B69" s="3239" t="s">
        <v>395</v>
      </c>
      <c r="C69" s="3239"/>
      <c r="D69" s="361"/>
      <c r="E69" s="73"/>
      <c r="F69" s="359"/>
      <c r="G69" s="3296"/>
      <c r="H69" s="314"/>
      <c r="I69" s="1295"/>
      <c r="J69" s="2042"/>
      <c r="K69" s="1297">
        <v>4</v>
      </c>
      <c r="L69" s="3310" t="s">
        <v>2901</v>
      </c>
      <c r="M69" s="3311"/>
      <c r="N69" s="1298" t="str">
        <f>C44</f>
        <v>——</v>
      </c>
      <c r="O69" s="1298"/>
      <c r="P69" s="1298"/>
      <c r="Q69" s="2035"/>
      <c r="R69" s="2035"/>
      <c r="S69" s="2035"/>
      <c r="T69" s="2035"/>
      <c r="U69" s="2035"/>
      <c r="V69" s="2035"/>
    </row>
    <row r="70" spans="1:22" ht="24" customHeight="1">
      <c r="A70" s="362" t="s">
        <v>396</v>
      </c>
      <c r="B70" s="3239" t="s">
        <v>397</v>
      </c>
      <c r="C70" s="3239"/>
      <c r="D70" s="361" t="e">
        <f ca="1">ROUND(D63*'数据-取费表'!B41/(1+'数据-取费表'!C42),0)</f>
        <v>#REF!</v>
      </c>
      <c r="E70" s="17" t="s">
        <v>398</v>
      </c>
      <c r="F70" s="363">
        <f>'数据-取费表'!B41</f>
        <v>5.6000000000000001E-2</v>
      </c>
      <c r="G70" s="364"/>
      <c r="H70" s="314"/>
      <c r="I70" s="1295"/>
      <c r="J70" s="2042"/>
      <c r="K70" s="3102"/>
      <c r="L70" s="3103"/>
      <c r="M70" s="3103"/>
      <c r="N70" s="3104" t="s">
        <v>2906</v>
      </c>
      <c r="O70" s="3103"/>
      <c r="P70" s="3105"/>
      <c r="Q70" s="2035"/>
      <c r="R70" s="2035"/>
      <c r="S70" s="2035"/>
      <c r="T70" s="2035"/>
      <c r="U70" s="2035"/>
      <c r="V70" s="2035"/>
    </row>
    <row r="71" spans="1:22" ht="12" customHeight="1">
      <c r="A71" s="362" t="s">
        <v>404</v>
      </c>
      <c r="B71" s="3240" t="s">
        <v>405</v>
      </c>
      <c r="C71" s="3241"/>
      <c r="D71" s="361" t="e">
        <f ca="1">ROUND(D63*'数据-取费表'!B41/(1+'数据-取费表'!C42),0)</f>
        <v>#REF!</v>
      </c>
      <c r="E71" s="17" t="s">
        <v>398</v>
      </c>
      <c r="F71" s="363">
        <f>'数据-取费表'!B41</f>
        <v>5.6000000000000001E-2</v>
      </c>
      <c r="G71" s="364"/>
      <c r="H71" s="314"/>
      <c r="I71" s="1295"/>
      <c r="J71" s="2042"/>
      <c r="K71" s="3101" t="s">
        <v>399</v>
      </c>
      <c r="L71" s="3312" t="s">
        <v>400</v>
      </c>
      <c r="M71" s="3312"/>
      <c r="N71" s="3101" t="s">
        <v>401</v>
      </c>
      <c r="O71" s="3101" t="s">
        <v>402</v>
      </c>
      <c r="P71" s="3101" t="s">
        <v>403</v>
      </c>
      <c r="Q71" s="2035"/>
      <c r="R71" s="2035"/>
      <c r="S71" s="2035"/>
      <c r="T71" s="2035"/>
      <c r="U71" s="2035"/>
      <c r="V71" s="2035"/>
    </row>
    <row r="72" spans="1:22" ht="12" customHeight="1">
      <c r="A72" s="362" t="s">
        <v>407</v>
      </c>
      <c r="B72" s="3240" t="s">
        <v>408</v>
      </c>
      <c r="C72" s="3241"/>
      <c r="D72" s="361" t="e">
        <f ca="1">C86</f>
        <v>#REF!</v>
      </c>
      <c r="E72" s="73" t="s">
        <v>409</v>
      </c>
      <c r="F72" s="363">
        <f>'数据-取费表'!B41</f>
        <v>5.6000000000000001E-2</v>
      </c>
      <c r="G72" s="364"/>
      <c r="H72" s="1301"/>
      <c r="I72" s="1295"/>
      <c r="J72" s="2042"/>
      <c r="K72" s="1983">
        <v>1</v>
      </c>
      <c r="L72" s="3287" t="s">
        <v>406</v>
      </c>
      <c r="M72" s="3287"/>
      <c r="N72" s="1299" t="e">
        <f ca="1">D66</f>
        <v>#REF!</v>
      </c>
      <c r="O72" s="1866" t="str">
        <f>E66</f>
        <v>销售额×税（费）率</v>
      </c>
      <c r="P72" s="1300">
        <f>F66</f>
        <v>5.6000000000000001E-2</v>
      </c>
      <c r="Q72" s="2035"/>
      <c r="R72" s="2035"/>
      <c r="S72" s="2035"/>
      <c r="T72" s="2035"/>
      <c r="U72" s="2035"/>
      <c r="V72" s="2035"/>
    </row>
    <row r="73" spans="1:22" ht="24" customHeight="1">
      <c r="A73" s="3281" t="s">
        <v>411</v>
      </c>
      <c r="B73" s="3249"/>
      <c r="C73" s="3249"/>
      <c r="D73" s="365">
        <f>IF(H73="个人住宅",0,ROUND(D63*I73,0))</f>
        <v>0</v>
      </c>
      <c r="E73" s="17" t="s">
        <v>412</v>
      </c>
      <c r="F73" s="363" t="str">
        <f>IF(H73="正常",I73,"免征")</f>
        <v>免征</v>
      </c>
      <c r="G73" s="364"/>
      <c r="H73" s="191" t="s">
        <v>2469</v>
      </c>
      <c r="I73" s="363">
        <f>'数据-取费表'!B49</f>
        <v>5.0000000000000001E-4</v>
      </c>
      <c r="J73" s="2042"/>
      <c r="K73" s="1983">
        <v>2</v>
      </c>
      <c r="L73" s="3287" t="s">
        <v>410</v>
      </c>
      <c r="M73" s="3287"/>
      <c r="N73" s="1299">
        <f t="shared" ref="N73:P74" si="1">D73</f>
        <v>0</v>
      </c>
      <c r="O73" s="1866" t="str">
        <f t="shared" si="1"/>
        <v>销售额×税（费）率</v>
      </c>
      <c r="P73" s="1300" t="str">
        <f t="shared" si="1"/>
        <v>免征</v>
      </c>
      <c r="Q73" s="2035"/>
      <c r="R73" s="2035"/>
      <c r="S73" s="2035"/>
      <c r="T73" s="2035"/>
      <c r="U73" s="2035"/>
      <c r="V73" s="2035"/>
    </row>
    <row r="74" spans="1:22" ht="24.75">
      <c r="A74" s="3281" t="s">
        <v>415</v>
      </c>
      <c r="B74" s="3249"/>
      <c r="C74" s="3249"/>
      <c r="D74" s="365" t="e">
        <f ca="1">IF(H74="个人住宅",D75,D76)</f>
        <v>#REF!</v>
      </c>
      <c r="E74" s="17" t="s">
        <v>416</v>
      </c>
      <c r="F74" s="363" t="str">
        <f>IF(H74="正常",F76,"免征")</f>
        <v>——</v>
      </c>
      <c r="G74" s="986" t="s">
        <v>417</v>
      </c>
      <c r="H74" s="366" t="s">
        <v>413</v>
      </c>
      <c r="I74" s="42"/>
      <c r="J74" s="2042"/>
      <c r="K74" s="1983">
        <v>3</v>
      </c>
      <c r="L74" s="3287" t="s">
        <v>414</v>
      </c>
      <c r="M74" s="3287"/>
      <c r="N74" s="1299" t="e">
        <f t="shared" ca="1" si="1"/>
        <v>#REF!</v>
      </c>
      <c r="O74" s="1866" t="str">
        <f t="shared" si="1"/>
        <v>增值额×税（费）率</v>
      </c>
      <c r="P74" s="1302" t="str">
        <f t="shared" si="1"/>
        <v>——</v>
      </c>
      <c r="Q74" s="2035"/>
      <c r="R74" s="2035"/>
      <c r="S74" s="2035"/>
      <c r="T74" s="2035"/>
      <c r="U74" s="2035"/>
      <c r="V74" s="2035"/>
    </row>
    <row r="75" spans="1:22" ht="24">
      <c r="A75" s="362" t="s">
        <v>418</v>
      </c>
      <c r="B75" s="3237" t="s">
        <v>419</v>
      </c>
      <c r="C75" s="3267"/>
      <c r="D75" s="367">
        <v>0</v>
      </c>
      <c r="E75" s="41" t="s">
        <v>420</v>
      </c>
      <c r="F75" s="368"/>
      <c r="G75" s="364"/>
      <c r="H75" s="42"/>
      <c r="I75" s="42"/>
      <c r="J75" s="2042"/>
      <c r="K75" s="3094">
        <f>IF(H77="非个人房产","",4)</f>
        <v>4</v>
      </c>
      <c r="L75" s="3287" t="str">
        <f>IF(H77="非个人房产","——","个人所得税")</f>
        <v>个人所得税</v>
      </c>
      <c r="M75" s="3287"/>
      <c r="N75" s="1303" t="e">
        <f ca="1">D77</f>
        <v>#REF!</v>
      </c>
      <c r="O75" s="1879" t="str">
        <f>E77</f>
        <v>销售额×税（费）率</v>
      </c>
      <c r="P75" s="1304">
        <f>F77</f>
        <v>0.01</v>
      </c>
      <c r="Q75" s="2035"/>
      <c r="R75" s="2035"/>
      <c r="S75" s="2035"/>
      <c r="T75" s="2035"/>
      <c r="U75" s="2035"/>
      <c r="V75" s="2035"/>
    </row>
    <row r="76" spans="1:22" ht="24.75">
      <c r="A76" s="362" t="s">
        <v>396</v>
      </c>
      <c r="B76" s="3237" t="s">
        <v>422</v>
      </c>
      <c r="C76" s="3238"/>
      <c r="D76" s="365" t="e">
        <f ca="1">IF(H76="转让取得",C99,C115)</f>
        <v>#REF!</v>
      </c>
      <c r="E76" s="17" t="s">
        <v>423</v>
      </c>
      <c r="F76" s="53" t="s">
        <v>21</v>
      </c>
      <c r="G76" s="364"/>
      <c r="H76" s="366" t="s">
        <v>424</v>
      </c>
      <c r="I76" s="42"/>
      <c r="J76" s="2042"/>
      <c r="K76" s="3094" t="str">
        <f>IF(项目基本情况!K6="上海银行",IF(K75="",4,K75+1),"")</f>
        <v/>
      </c>
      <c r="L76" s="3298" t="str">
        <f>IF(项目基本情况!K6="上海银行","其他处置费用","")</f>
        <v/>
      </c>
      <c r="M76" s="3299"/>
      <c r="N76" s="1299" t="str">
        <f>IF(项目基本情况!K6="上海银行",N89,"")</f>
        <v/>
      </c>
      <c r="O76" s="3300" t="str">
        <f>IF(项目基本情况!K6="上海银行","包含处置中涉及的律师、诉讼、拍卖、评估等费用","")</f>
        <v/>
      </c>
      <c r="P76" s="3301"/>
      <c r="Q76" s="2035"/>
      <c r="R76" s="2035"/>
      <c r="S76" s="2035"/>
      <c r="T76" s="2035"/>
      <c r="U76" s="2035"/>
      <c r="V76" s="2035"/>
    </row>
    <row r="77" spans="1:22" ht="26.25" thickBot="1">
      <c r="A77" s="3289" t="s">
        <v>426</v>
      </c>
      <c r="B77" s="3290"/>
      <c r="C77" s="3290"/>
      <c r="D77" s="369" t="e">
        <f ca="1">IF(H77="非个人房产","——",IF(H77="个人住宅",0,ROUND(D63*I77,0)))</f>
        <v>#REF!</v>
      </c>
      <c r="E77" s="370" t="str">
        <f>IF(H77="非个人房产","——","销售额×税（费）率")</f>
        <v>销售额×税（费）率</v>
      </c>
      <c r="F77" s="371">
        <f>IF(H77="非个人房产","——",IF(H77="个人住宅","免征",I77))</f>
        <v>0.01</v>
      </c>
      <c r="G77" s="987" t="s">
        <v>417</v>
      </c>
      <c r="H77" s="366" t="s">
        <v>2902</v>
      </c>
      <c r="I77" s="372">
        <v>0.01</v>
      </c>
      <c r="J77" s="2042"/>
      <c r="K77" s="3288">
        <f>IF(AND(K75="",K76=""),4,IF(项目基本情况!K6="上海银行",K76+1,K75+1))</f>
        <v>5</v>
      </c>
      <c r="L77" s="3287" t="s">
        <v>2903</v>
      </c>
      <c r="M77" s="3100" t="s">
        <v>421</v>
      </c>
      <c r="N77" s="1305"/>
      <c r="O77" s="1306">
        <f ca="1">SUMIF(N72:N76,"&lt;9e307")</f>
        <v>0</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88"/>
      <c r="L78" s="3287"/>
      <c r="M78" s="3100" t="s">
        <v>425</v>
      </c>
      <c r="N78" s="1305"/>
      <c r="O78" s="1306" t="str">
        <f ca="1">NUMBERSTRING(INT(O77*10000),2)&amp;"元整"</f>
        <v>零元整</v>
      </c>
      <c r="P78" s="1307"/>
      <c r="Q78" s="2035"/>
      <c r="R78" s="2035"/>
      <c r="S78" s="2035"/>
      <c r="T78" s="2035"/>
      <c r="U78" s="2035"/>
      <c r="V78" s="2035"/>
    </row>
    <row r="79" spans="1:22" ht="13.5" thickBot="1">
      <c r="A79" s="3282" t="s">
        <v>427</v>
      </c>
      <c r="B79" s="3282"/>
      <c r="C79" s="3282"/>
      <c r="D79" s="3282"/>
      <c r="E79" s="3282"/>
      <c r="F79" s="42"/>
      <c r="G79" s="42"/>
      <c r="H79" s="1006"/>
      <c r="I79" s="314"/>
      <c r="J79" s="2042"/>
      <c r="K79" s="3308">
        <f>K77+1</f>
        <v>6</v>
      </c>
      <c r="L79" s="3287" t="s">
        <v>2904</v>
      </c>
      <c r="M79" s="3100" t="s">
        <v>421</v>
      </c>
      <c r="N79" s="1305"/>
      <c r="O79" s="1306" t="e">
        <f ca="1">N69-O77</f>
        <v>#VALUE!</v>
      </c>
      <c r="P79" s="1307"/>
      <c r="Q79" s="2035"/>
      <c r="R79" s="2035"/>
      <c r="S79" s="2035"/>
      <c r="T79" s="2035"/>
      <c r="U79" s="2035"/>
      <c r="V79" s="2035"/>
    </row>
    <row r="80" spans="1:22" ht="12.75">
      <c r="A80" s="3277" t="s">
        <v>428</v>
      </c>
      <c r="B80" s="3278"/>
      <c r="C80" s="997"/>
      <c r="D80" s="997" t="s">
        <v>429</v>
      </c>
      <c r="E80" s="373" t="s">
        <v>430</v>
      </c>
      <c r="F80" s="42"/>
      <c r="G80" s="42"/>
      <c r="H80" s="1006"/>
      <c r="I80" s="314"/>
      <c r="J80" s="2035"/>
      <c r="K80" s="3309"/>
      <c r="L80" s="3287"/>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t="e">
        <f ca="1">ROUND((C82+C83)/(1+'数据-取费表'!C42),0)</f>
        <v>#REF!</v>
      </c>
      <c r="D81" s="376"/>
      <c r="E81" s="377"/>
      <c r="F81" s="42"/>
      <c r="G81" s="42"/>
      <c r="H81" s="1006"/>
      <c r="I81" s="314"/>
      <c r="J81" s="2035"/>
      <c r="K81" s="3094">
        <f>K79+1</f>
        <v>7</v>
      </c>
      <c r="L81" s="3285" t="s">
        <v>2905</v>
      </c>
      <c r="M81" s="3286"/>
      <c r="N81" s="1309"/>
      <c r="O81" s="1310" t="e">
        <f ca="1">ROUND(O79*10000/'数据-汇总表'!E3,0)</f>
        <v>#VALUE!</v>
      </c>
      <c r="P81" s="1311"/>
      <c r="Q81" s="2035"/>
      <c r="R81" s="2035"/>
      <c r="S81" s="2035"/>
      <c r="T81" s="2035"/>
      <c r="U81" s="2035"/>
      <c r="V81" s="2035"/>
    </row>
    <row r="82" spans="1:26" ht="13.5" thickTop="1">
      <c r="A82" s="378" t="s">
        <v>1829</v>
      </c>
      <c r="B82" s="379" t="s">
        <v>432</v>
      </c>
      <c r="C82" s="380" t="e">
        <f ca="1">D63</f>
        <v>#REF!</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97" t="s">
        <v>2892</v>
      </c>
      <c r="L83" s="3106" t="s">
        <v>2893</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2962</v>
      </c>
      <c r="F84" s="42"/>
      <c r="G84" s="42"/>
      <c r="H84" s="1006"/>
      <c r="I84" s="314"/>
      <c r="J84" s="2035"/>
      <c r="K84" s="3297"/>
      <c r="L84" s="3106" t="s">
        <v>2894</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2895</v>
      </c>
      <c r="P84" s="2035"/>
      <c r="Q84" s="2035"/>
      <c r="R84" s="2035"/>
      <c r="S84" s="2035"/>
      <c r="T84" s="2035"/>
      <c r="U84" s="2035"/>
      <c r="V84" s="2035"/>
    </row>
    <row r="85" spans="1:26" ht="12.75">
      <c r="A85" s="384" t="s">
        <v>1832</v>
      </c>
      <c r="B85" s="385" t="s">
        <v>435</v>
      </c>
      <c r="C85" s="388" t="e">
        <f ca="1">C81-C84</f>
        <v>#REF!</v>
      </c>
      <c r="D85" s="381" t="s">
        <v>19</v>
      </c>
      <c r="E85" s="382"/>
      <c r="F85" s="42"/>
      <c r="G85" s="42"/>
      <c r="H85" s="1006"/>
      <c r="I85" s="314"/>
      <c r="J85" s="2035"/>
      <c r="K85" s="3297"/>
      <c r="L85" s="3106" t="s">
        <v>2896</v>
      </c>
      <c r="M85" s="3096" t="e">
        <f>IF(N69&gt;1000,N69*0.1%,IF(AND(N69&gt;500,N69&lt;=1000),N69*0.5%,IF(AND(N69&gt;50,N69&lt;=500),N69*1%,IF(AND(N69&gt;1,N69&lt;=50),N69*1.5%))))</f>
        <v>#VALUE!</v>
      </c>
      <c r="N85" s="53" t="e">
        <f t="shared" si="2"/>
        <v>#VALUE!</v>
      </c>
      <c r="O85" s="2035" t="s">
        <v>2895</v>
      </c>
      <c r="P85" s="2035"/>
      <c r="Q85" s="2035"/>
      <c r="R85" s="2035"/>
      <c r="S85" s="2035"/>
      <c r="T85" s="2035"/>
      <c r="U85" s="2035"/>
      <c r="V85" s="2035"/>
    </row>
    <row r="86" spans="1:26" ht="13.5" thickBot="1">
      <c r="A86" s="389" t="s">
        <v>1833</v>
      </c>
      <c r="B86" s="390" t="s">
        <v>436</v>
      </c>
      <c r="C86" s="391" t="e">
        <f ca="1">IF(C85&lt;=0,0,ROUND(C85*D86,0))</f>
        <v>#REF!</v>
      </c>
      <c r="D86" s="392">
        <f>'数据-取费表'!B41</f>
        <v>5.6000000000000001E-2</v>
      </c>
      <c r="E86" s="393"/>
      <c r="F86" s="42"/>
      <c r="G86" s="42"/>
      <c r="H86" s="1006"/>
      <c r="I86" s="314"/>
      <c r="J86" s="2035"/>
      <c r="K86" s="3297"/>
      <c r="L86" s="3106" t="s">
        <v>2897</v>
      </c>
      <c r="M86" s="3096" t="e">
        <f>N69*0.5%</f>
        <v>#VALUE!</v>
      </c>
      <c r="N86" s="53" t="e">
        <f>IF(M86&gt;0.5,0.5,ROUND(M86,0))</f>
        <v>#VALUE!</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97"/>
      <c r="L87" s="3106" t="s">
        <v>2899</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279" t="s">
        <v>437</v>
      </c>
      <c r="B88" s="3280"/>
      <c r="C88" s="3280"/>
      <c r="D88" s="3280"/>
      <c r="E88" s="3280"/>
      <c r="F88" s="3280"/>
      <c r="G88" s="3280"/>
      <c r="H88" s="3280"/>
      <c r="I88" s="1318"/>
      <c r="J88" s="2043"/>
      <c r="K88" s="3297"/>
      <c r="L88" s="3106" t="s">
        <v>2900</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77" t="s">
        <v>428</v>
      </c>
      <c r="B89" s="3278"/>
      <c r="C89" s="997"/>
      <c r="D89" s="997" t="s">
        <v>429</v>
      </c>
      <c r="E89" s="394" t="s">
        <v>438</v>
      </c>
      <c r="F89" s="395"/>
      <c r="G89" s="395"/>
      <c r="H89" s="396"/>
      <c r="I89" s="1319"/>
      <c r="J89" s="2045"/>
      <c r="K89" s="3297"/>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t="e">
        <f ca="1">ROUND(D63/(1+'数据-取费表'!C42),0)</f>
        <v>#REF!</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t="e">
        <f ca="1">C92+C96</f>
        <v>#REF!</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40" t="s">
        <v>447</v>
      </c>
      <c r="F94" s="3239"/>
      <c r="G94" s="3239"/>
      <c r="H94" s="3276"/>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t="e">
        <f ca="1">ROUND(D63*D96/(1+'数据-取费表'!C42),0)</f>
        <v>#REF!</v>
      </c>
      <c r="D96" s="409">
        <f>'数据-取费表'!B43</f>
        <v>6.000000000000001E-3</v>
      </c>
      <c r="E96" s="3268" t="s">
        <v>2441</v>
      </c>
      <c r="F96" s="3269"/>
      <c r="G96" s="3269"/>
      <c r="H96" s="3270"/>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t="e">
        <f ca="1">C90-C91</f>
        <v>#REF!</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t="e">
        <f ca="1">IF(C97&lt;=0,0,C97/C91)</f>
        <v>#REF!</v>
      </c>
      <c r="D98" s="381" t="s">
        <v>19</v>
      </c>
      <c r="E98" s="26" t="e">
        <f ca="1">IF(C98&gt;=200%,"增值额超过扣除项目金额200%",IF(C98&gt;=100%,"增值额超过扣除项目金额100%，未超过200%",IF(C98&gt;=50%,"增值额超过扣除项目金额50%，未超过100%",IF(C98&lt;50%,"增值额未超过扣除项目金额50%"))))</f>
        <v>#REF!</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t="e">
        <f ca="1">ROUND(IF(C97&lt;=0,0,IF(C98&gt;=200%,C97*60%-C91*35%,IF(C98&gt;=100%,C97*50%-C91*15%,IF(C98&gt;=50%,C97*40%-C91*5%,IF(C98&lt;50%,C97*30%,0))))),0)</f>
        <v>#REF!</v>
      </c>
      <c r="D99" s="412" t="s">
        <v>19</v>
      </c>
      <c r="E99" s="41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79" t="s">
        <v>454</v>
      </c>
      <c r="B101" s="3280"/>
      <c r="C101" s="3280"/>
      <c r="D101" s="3280"/>
      <c r="E101" s="3280"/>
      <c r="F101" s="3280"/>
      <c r="G101" s="3280"/>
      <c r="H101" s="3280"/>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77" t="s">
        <v>428</v>
      </c>
      <c r="B102" s="3278"/>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t="e">
        <f ca="1">ROUND(D63/(1+'数据-取费表'!C42),0)</f>
        <v>#REF!</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t="e">
        <f ca="1">IF(H106="仅含出让金",C105+C108+C109+C110+C111+C112,C105+C109+C110+C111+C112)</f>
        <v>#REF!</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71" t="s">
        <v>462</v>
      </c>
      <c r="F109" s="3269"/>
      <c r="G109" s="3269"/>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271" t="s">
        <v>464</v>
      </c>
      <c r="F110" s="3269"/>
      <c r="G110" s="3269"/>
      <c r="H110" s="3270"/>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t="e">
        <f ca="1">ROUND(D63*D111/(1+'数据-取费表'!C42),0)</f>
        <v>#REF!</v>
      </c>
      <c r="D111" s="409">
        <f>'数据-取费表'!B43</f>
        <v>6.000000000000001E-3</v>
      </c>
      <c r="E111" s="3268" t="s">
        <v>2441</v>
      </c>
      <c r="F111" s="3269"/>
      <c r="G111" s="3269"/>
      <c r="H111" s="3270"/>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71" t="s">
        <v>2466</v>
      </c>
      <c r="F112" s="3269"/>
      <c r="G112" s="3269"/>
      <c r="H112" s="3270"/>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t="e">
        <f ca="1">ROUND(C103-C104,0)</f>
        <v>#REF!</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t="e">
        <f ca="1">IF(C113&lt;=0,0,C113/C104)</f>
        <v>#REF!</v>
      </c>
      <c r="D114" s="381" t="s">
        <v>19</v>
      </c>
      <c r="E114" s="26" t="e">
        <f ca="1">IF(C114&gt;=200%,"增值额超过扣除项目金额200%",IF(C114&gt;=100%,"增值额超过扣除项目金额100%，未超过200%",IF(C114&gt;=50%,"增值额超过扣除项目金额50%，未超过100%",IF(C114&lt;50%,"增值额未超过扣除项目金额50%"))))</f>
        <v>#REF!</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t="e">
        <f ca="1">ROUND(IF(C113&lt;=0,0,IF(C114&gt;=200%,C113*60%-C104*35%,IF(C114&gt;=100%,C113*50%-C104*15%,IF(C114&gt;=50%,C113*40%-C104*5%,IF(C114&lt;50%,C113*30%,0))))),0)</f>
        <v>#REF!</v>
      </c>
      <c r="D115" s="412" t="s">
        <v>19</v>
      </c>
      <c r="E115" s="41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9" sqref="C9"/>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73322</v>
      </c>
      <c r="C2" s="2115"/>
      <c r="D2" s="2115"/>
      <c r="E2" s="2115"/>
      <c r="F2" s="2115"/>
      <c r="G2" s="2115"/>
      <c r="H2" s="2115"/>
      <c r="I2" s="2115"/>
      <c r="J2" s="2115"/>
      <c r="K2" s="2115"/>
    </row>
    <row r="3" spans="1:31" s="2048" customFormat="1" ht="18" customHeight="1">
      <c r="A3" s="2117" t="s">
        <v>1688</v>
      </c>
      <c r="B3" s="2118">
        <f ca="1">ROUND(B2*10000/IF(B1="",'数据-汇总表'!E3,INDIRECT("'数据-取费表'!K"&amp;$K$1)),0)</f>
        <v>7344</v>
      </c>
      <c r="C3" s="2115"/>
      <c r="D3" s="2115"/>
      <c r="E3" s="2115"/>
      <c r="F3" s="2115"/>
      <c r="G3" s="2115"/>
      <c r="H3" s="2115"/>
      <c r="I3" s="2115"/>
      <c r="J3" s="2115"/>
      <c r="K3" s="2115"/>
    </row>
    <row r="4" spans="1:31" s="2048" customFormat="1" ht="18" customHeight="1">
      <c r="A4" s="429" t="s">
        <v>468</v>
      </c>
      <c r="B4" s="430">
        <f ca="1">ROUND(B2*10000/IF(B1="",'数据-汇总表'!D3,INDIRECT("'数据-取费表'!R"&amp;$K$1)),0)</f>
        <v>17626</v>
      </c>
      <c r="C4" s="431"/>
      <c r="D4" s="425"/>
      <c r="E4" s="425"/>
      <c r="F4" s="425"/>
      <c r="G4" s="425"/>
      <c r="H4" s="425"/>
      <c r="I4" s="425"/>
      <c r="J4" s="425"/>
      <c r="K4" s="425"/>
    </row>
    <row r="5" spans="1:31" s="2048" customFormat="1" ht="18" customHeight="1" thickBot="1">
      <c r="A5" s="432"/>
      <c r="B5" s="433">
        <f ca="1">ROUND(B2/(IF(B1="",'数据-汇总表'!D3,INDIRECT("'数据-取费表'!R"&amp;$K$1))/666.67),0)</f>
        <v>1175</v>
      </c>
      <c r="C5" s="434" t="s">
        <v>469</v>
      </c>
      <c r="D5" s="425"/>
      <c r="E5" s="425"/>
      <c r="F5" s="425"/>
      <c r="G5" s="425"/>
      <c r="H5" s="425"/>
      <c r="I5" s="425"/>
      <c r="J5" s="425"/>
      <c r="K5" s="425"/>
    </row>
    <row r="6" spans="1:31" s="2122" customFormat="1" ht="16.5" customHeight="1">
      <c r="A6" s="2868" t="s">
        <v>1847</v>
      </c>
      <c r="B6" s="2869"/>
      <c r="C6" s="2870">
        <f>SUM(C10:K10)</f>
        <v>159739</v>
      </c>
      <c r="D6" s="2869"/>
      <c r="E6" s="2869"/>
      <c r="F6" s="2869"/>
      <c r="G6" s="2869"/>
      <c r="H6" s="2869"/>
      <c r="I6" s="2869"/>
      <c r="J6" s="2869"/>
      <c r="K6" s="2871"/>
    </row>
    <row r="7" spans="1:31" s="2124" customFormat="1" ht="15">
      <c r="A7" s="2872" t="s">
        <v>470</v>
      </c>
      <c r="B7" s="2873" t="s">
        <v>471</v>
      </c>
      <c r="C7" s="439" t="s">
        <v>926</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v>16000</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99836.688000000009</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ROUND(C9*C8/10000,0)</f>
        <v>159739</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29951</v>
      </c>
      <c r="D13" s="2884"/>
      <c r="E13" s="2885"/>
      <c r="F13" s="2886"/>
      <c r="G13" s="2852"/>
      <c r="H13" s="2853"/>
      <c r="I13" s="2853"/>
      <c r="J13" s="2853"/>
      <c r="K13" s="2854"/>
    </row>
    <row r="14" spans="1:31" s="2127" customFormat="1" ht="13.5" customHeight="1">
      <c r="A14" s="2882" t="s">
        <v>1854</v>
      </c>
      <c r="B14" s="2883" t="s">
        <v>480</v>
      </c>
      <c r="C14" s="53">
        <f ca="1">ROUND(C13*F14,0)</f>
        <v>899</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1498</v>
      </c>
      <c r="D15" s="2884"/>
      <c r="E15" s="2885"/>
      <c r="F15" s="2887">
        <f>'数据-取费表'!B34</f>
        <v>0.05</v>
      </c>
      <c r="G15" s="2852" t="s">
        <v>483</v>
      </c>
      <c r="H15" s="2853"/>
      <c r="I15" s="2853"/>
      <c r="J15" s="2853"/>
      <c r="K15" s="2854"/>
    </row>
    <row r="16" spans="1:31" s="2128" customFormat="1" ht="13.5" customHeight="1">
      <c r="A16" s="2882" t="s">
        <v>1856</v>
      </c>
      <c r="B16" s="2883" t="s">
        <v>484</v>
      </c>
      <c r="C16" s="53">
        <f ca="1">ROUND(D16*E16/10000,0)</f>
        <v>1997</v>
      </c>
      <c r="D16" s="2884">
        <f ca="1">IF(B1="",'数据-汇总表'!E3,INDIRECT("'数据-取费表'!K"&amp;$K$1)+INDIRECT("'数据-取费表'!S"&amp;$K$1))</f>
        <v>99836.688000000009</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449</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34794</v>
      </c>
      <c r="D18" s="2893"/>
      <c r="E18" s="471"/>
      <c r="F18" s="471"/>
      <c r="G18" s="2856" t="s">
        <v>2443</v>
      </c>
      <c r="H18" s="2857"/>
      <c r="I18" s="2857"/>
      <c r="J18" s="2857"/>
      <c r="K18" s="2858"/>
    </row>
    <row r="19" spans="1:14" s="2127" customFormat="1" ht="13.5" customHeight="1">
      <c r="A19" s="2890" t="s">
        <v>1859</v>
      </c>
      <c r="B19" s="2891" t="s">
        <v>488</v>
      </c>
      <c r="C19" s="2848">
        <f ca="1">ROUND(D19*E19/10000,0)</f>
        <v>1997</v>
      </c>
      <c r="D19" s="2894">
        <f ca="1">D16</f>
        <v>99836.688000000009</v>
      </c>
      <c r="E19" s="2848">
        <f>'数据-取费表'!B32</f>
        <v>200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1997</v>
      </c>
      <c r="D20" s="2894"/>
      <c r="E20" s="2848"/>
      <c r="F20" s="2895"/>
      <c r="G20" s="3129"/>
      <c r="H20" s="2850"/>
      <c r="I20" s="2851" t="s">
        <v>2669</v>
      </c>
      <c r="J20" s="2857"/>
      <c r="K20" s="2858"/>
    </row>
    <row r="21" spans="1:14" s="2127" customFormat="1" ht="13.5" customHeight="1">
      <c r="A21" s="2882" t="s">
        <v>1861</v>
      </c>
      <c r="B21" s="2883" t="s">
        <v>491</v>
      </c>
      <c r="C21" s="53">
        <f ca="1">ROUND(D21*E21/10000,0)</f>
        <v>1997</v>
      </c>
      <c r="D21" s="2884">
        <f ca="1">IF(B1="",'数据-汇总表'!E5,IF(INDIRECT("'数据-取费表'!c"&amp;$K$1)="住宅",INDIRECT("'数据-取费表'!k"&amp;$K$1),0))</f>
        <v>99836.688000000009</v>
      </c>
      <c r="E21" s="53">
        <f>'数据-取费表'!B27</f>
        <v>200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0</v>
      </c>
      <c r="E22" s="53">
        <f>'数据-取费表'!B28</f>
        <v>0</v>
      </c>
      <c r="F22" s="2887"/>
      <c r="G22" s="26"/>
      <c r="H22" s="51"/>
      <c r="I22" s="51"/>
      <c r="J22" s="51"/>
      <c r="K22" s="2859"/>
    </row>
    <row r="23" spans="1:14" s="2127" customFormat="1" ht="13.5" customHeight="1">
      <c r="A23" s="2890" t="s">
        <v>1863</v>
      </c>
      <c r="B23" s="3075" t="s">
        <v>2852</v>
      </c>
      <c r="C23" s="2892">
        <f ca="1">ROUND((C18+C19+C20)*F23,0)</f>
        <v>776</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2855</v>
      </c>
      <c r="C24" s="2892">
        <f>ROUND(C6*F24,0)</f>
        <v>3195</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2853</v>
      </c>
      <c r="C25" s="470">
        <f>ROUND(F25/(1+'数据-取费表'!C42),4)</f>
        <v>2.9000000000000001E-2</v>
      </c>
      <c r="D25" s="465" t="s">
        <v>2847</v>
      </c>
      <c r="E25" s="472"/>
      <c r="F25" s="2896">
        <f>'数据-取费表'!B48+'数据-取费表'!B49</f>
        <v>3.0499999999999999E-2</v>
      </c>
      <c r="G25" s="2860" t="s">
        <v>2300</v>
      </c>
      <c r="H25" s="2853"/>
      <c r="I25" s="2853"/>
      <c r="J25" s="2853"/>
      <c r="K25" s="2854"/>
    </row>
    <row r="26" spans="1:14" s="2129" customFormat="1" ht="13.5" customHeight="1">
      <c r="A26" s="2890" t="s">
        <v>1866</v>
      </c>
      <c r="B26" s="3076" t="s">
        <v>2854</v>
      </c>
      <c r="C26" s="2897">
        <f ca="1">C28</f>
        <v>2031</v>
      </c>
      <c r="D26" s="470">
        <f ca="1">C27</f>
        <v>0.10009999999999999</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0.10009999999999999</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2031</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8519</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53309</v>
      </c>
      <c r="D30" s="480">
        <f ca="1">C32</f>
        <v>0.12909999999999999</v>
      </c>
      <c r="E30" s="472" t="s">
        <v>495</v>
      </c>
      <c r="F30" s="474"/>
      <c r="G30" s="2852" t="s">
        <v>501</v>
      </c>
      <c r="H30" s="2853"/>
      <c r="I30" s="2853"/>
      <c r="J30" s="2853"/>
      <c r="K30" s="2854"/>
    </row>
    <row r="31" spans="1:14" s="2131" customFormat="1" ht="13.5" customHeight="1">
      <c r="A31" s="806" t="s">
        <v>1861</v>
      </c>
      <c r="B31" s="2898"/>
      <c r="C31" s="453">
        <f ca="1">C18+C19+C20+C23+C24+C26+C29</f>
        <v>53309</v>
      </c>
      <c r="D31" s="475"/>
      <c r="E31" s="476"/>
      <c r="F31" s="477"/>
      <c r="G31" s="261"/>
      <c r="H31" s="2855"/>
      <c r="I31" s="2855"/>
      <c r="J31" s="2855"/>
      <c r="K31" s="279"/>
    </row>
    <row r="32" spans="1:14" s="2131" customFormat="1" ht="13.5" customHeight="1">
      <c r="A32" s="806" t="s">
        <v>1862</v>
      </c>
      <c r="B32" s="2898"/>
      <c r="C32" s="53">
        <f ca="1">ROUND(C25+D26,4)</f>
        <v>0.12909999999999999</v>
      </c>
      <c r="D32" s="475"/>
      <c r="E32" s="476"/>
      <c r="F32" s="477"/>
      <c r="G32" s="261"/>
      <c r="H32" s="2855"/>
      <c r="I32" s="2855"/>
      <c r="J32" s="2855"/>
      <c r="K32" s="279"/>
    </row>
    <row r="33" spans="1:11" s="2133" customFormat="1" ht="13.5" customHeight="1">
      <c r="A33" s="3074" t="s">
        <v>2851</v>
      </c>
      <c r="B33" s="3072" t="s">
        <v>2849</v>
      </c>
      <c r="C33" s="481">
        <f ca="1">C35</f>
        <v>8552</v>
      </c>
      <c r="D33" s="470">
        <f ca="1">C34</f>
        <v>0.20580000000000001</v>
      </c>
      <c r="E33" s="472" t="s">
        <v>495</v>
      </c>
      <c r="F33" s="482">
        <f ca="1">IF(B1="",'数据-取费表'!Q16,INDIRECT("'数据-取费表'!q"&amp;$K$1))</f>
        <v>0.2</v>
      </c>
      <c r="G33" s="2856"/>
      <c r="H33" s="2857"/>
      <c r="I33" s="2857"/>
      <c r="J33" s="2857"/>
      <c r="K33" s="2858"/>
    </row>
    <row r="34" spans="1:11" s="2134" customFormat="1" ht="13.5" customHeight="1">
      <c r="A34" s="378" t="s">
        <v>1861</v>
      </c>
      <c r="B34" s="2903" t="s">
        <v>502</v>
      </c>
      <c r="C34" s="475">
        <f ca="1">ROUND((1+C25)*F33,4)</f>
        <v>0.20580000000000001</v>
      </c>
      <c r="D34" s="475"/>
      <c r="E34" s="476"/>
      <c r="F34" s="483"/>
      <c r="G34" s="261" t="s">
        <v>2301</v>
      </c>
      <c r="H34" s="2855"/>
      <c r="I34" s="2855"/>
      <c r="J34" s="2855"/>
      <c r="K34" s="279"/>
    </row>
    <row r="35" spans="1:11" s="2134" customFormat="1" ht="13.5" customHeight="1" thickBot="1">
      <c r="A35" s="1642" t="s">
        <v>1862</v>
      </c>
      <c r="B35" s="3073" t="s">
        <v>2857</v>
      </c>
      <c r="C35" s="1634">
        <f ca="1">ROUND((C18+C19+C20+C23+C24)*F33,0)</f>
        <v>8552</v>
      </c>
      <c r="D35" s="1635"/>
      <c r="E35" s="2904"/>
      <c r="F35" s="1636"/>
      <c r="G35" s="2862"/>
      <c r="H35" s="2863"/>
      <c r="I35" s="2863"/>
      <c r="J35" s="2863"/>
      <c r="K35" s="2864"/>
    </row>
    <row r="36" spans="1:11" s="2093" customFormat="1" ht="13.5" customHeight="1" thickBot="1">
      <c r="A36" s="284" t="s">
        <v>1849</v>
      </c>
      <c r="B36" s="2866"/>
      <c r="C36" s="2905">
        <f ca="1">ROUND((C6-C30-C33)/(1+D30+D33),0)</f>
        <v>73322</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9" sqref="C9"/>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v>10000</v>
      </c>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29951</v>
      </c>
      <c r="D13" s="454"/>
      <c r="E13" s="368"/>
      <c r="F13" s="455"/>
      <c r="G13" s="447"/>
      <c r="H13" s="450"/>
      <c r="I13" s="450"/>
      <c r="J13" s="450"/>
      <c r="K13" s="451"/>
    </row>
    <row r="14" spans="1:41" s="2127" customFormat="1" ht="13.5" customHeight="1">
      <c r="A14" s="1639" t="s">
        <v>1854</v>
      </c>
      <c r="B14" s="452" t="s">
        <v>480</v>
      </c>
      <c r="C14" s="53">
        <f ca="1">ROUND(C13*F14,0)</f>
        <v>899</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1498</v>
      </c>
      <c r="D15" s="454"/>
      <c r="E15" s="368"/>
      <c r="F15" s="456">
        <f>'数据-取费表'!B34</f>
        <v>0.05</v>
      </c>
      <c r="G15" s="447" t="s">
        <v>503</v>
      </c>
      <c r="H15" s="450"/>
      <c r="I15" s="450"/>
      <c r="J15" s="450"/>
      <c r="K15" s="451"/>
    </row>
    <row r="16" spans="1:41" s="2128" customFormat="1" ht="13.5" customHeight="1">
      <c r="A16" s="1639" t="s">
        <v>1856</v>
      </c>
      <c r="B16" s="452" t="s">
        <v>484</v>
      </c>
      <c r="C16" s="53">
        <f ca="1">ROUND(D16*E16/10000,0)</f>
        <v>1997</v>
      </c>
      <c r="D16" s="454">
        <f ca="1">IF(B1="",'数据-汇总表'!E3,INDIRECT("'数据-取费表'!K"&amp;$K$1)+INDIRECT("'数据-取费表'!S"&amp;$K$1))</f>
        <v>99836.688000000009</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449</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34794</v>
      </c>
      <c r="D18" s="464"/>
      <c r="E18" s="465"/>
      <c r="F18" s="465"/>
      <c r="G18" s="1330" t="s">
        <v>2445</v>
      </c>
      <c r="H18" s="450"/>
      <c r="I18" s="450"/>
      <c r="J18" s="450"/>
      <c r="K18" s="451"/>
    </row>
    <row r="19" spans="1:14" s="2130" customFormat="1" ht="13.5" customHeight="1">
      <c r="A19" s="1640" t="s">
        <v>1859</v>
      </c>
      <c r="B19" s="462" t="s">
        <v>493</v>
      </c>
      <c r="C19" s="463">
        <f ca="1">ROUND(C18*F19,0)</f>
        <v>696</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1686</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1686</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2850</v>
      </c>
      <c r="C24" s="481">
        <f ca="1">C25</f>
        <v>7098</v>
      </c>
      <c r="D24" s="492">
        <f ca="1">C26</f>
        <v>4.0000000000000001E-3</v>
      </c>
      <c r="E24" s="472" t="s">
        <v>508</v>
      </c>
      <c r="F24" s="482">
        <f ca="1">IF(B1="",'数据-取费表'!Q16,INDIRECT("'数据-取费表'!q"&amp;$K$1))</f>
        <v>0.2</v>
      </c>
      <c r="G24" s="447"/>
      <c r="H24" s="450"/>
      <c r="I24" s="450"/>
      <c r="J24" s="450"/>
      <c r="K24" s="451"/>
    </row>
    <row r="25" spans="1:14" s="2131" customFormat="1" ht="13.5" customHeight="1">
      <c r="A25" s="1639" t="s">
        <v>1853</v>
      </c>
      <c r="B25" s="1331" t="s">
        <v>2449</v>
      </c>
      <c r="C25" s="493">
        <f ca="1">ROUND((C18+C19)*F24,0)</f>
        <v>7098</v>
      </c>
      <c r="D25" s="475"/>
      <c r="E25" s="476"/>
      <c r="F25" s="483"/>
      <c r="G25" s="1329" t="s">
        <v>2446</v>
      </c>
      <c r="H25" s="460"/>
      <c r="I25" s="460"/>
      <c r="J25" s="460"/>
      <c r="K25" s="461"/>
    </row>
    <row r="26" spans="1:14" s="2131" customFormat="1" ht="13.5" customHeight="1">
      <c r="A26" s="1639" t="s">
        <v>1854</v>
      </c>
      <c r="B26" s="1331" t="s">
        <v>510</v>
      </c>
      <c r="C26" s="494">
        <f ca="1">ROUND(F20*F24,4)</f>
        <v>4.0000000000000001E-3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48035</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48" t="str">
        <f>项目基本情况!B1</f>
        <v>国有建设用地使用权预评估</v>
      </c>
      <c r="C37" s="3148"/>
      <c r="D37" s="3148"/>
      <c r="E37" s="3148"/>
      <c r="F37" s="3148"/>
      <c r="G37" s="3148"/>
      <c r="H37" s="3148"/>
      <c r="I37" s="3148"/>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22" t="s">
        <v>523</v>
      </c>
      <c r="D6" s="3323"/>
      <c r="E6" s="3322" t="s">
        <v>524</v>
      </c>
      <c r="F6" s="3323"/>
      <c r="G6" s="3322" t="s">
        <v>525</v>
      </c>
      <c r="H6" s="3323"/>
      <c r="I6" s="3322" t="s">
        <v>526</v>
      </c>
      <c r="J6" s="3323"/>
      <c r="K6" s="517" t="s">
        <v>527</v>
      </c>
      <c r="L6" s="2144"/>
      <c r="M6" s="2143"/>
      <c r="N6" s="2143"/>
      <c r="O6" s="2145"/>
      <c r="P6" s="3324" t="s">
        <v>528</v>
      </c>
      <c r="Q6" s="3325"/>
      <c r="R6" s="3330" t="s">
        <v>524</v>
      </c>
      <c r="S6" s="3331"/>
      <c r="T6" s="3330" t="s">
        <v>525</v>
      </c>
      <c r="U6" s="3331"/>
      <c r="V6" s="3317" t="s">
        <v>526</v>
      </c>
      <c r="W6" s="3317"/>
      <c r="X6" s="1573"/>
      <c r="Y6" s="3330" t="s">
        <v>528</v>
      </c>
      <c r="Z6" s="3331"/>
      <c r="AA6" s="3319" t="s">
        <v>524</v>
      </c>
      <c r="AB6" s="3320" t="s">
        <v>525</v>
      </c>
      <c r="AC6" s="3319" t="s">
        <v>526</v>
      </c>
    </row>
    <row r="7" spans="1:30" ht="20.25">
      <c r="A7" s="518"/>
      <c r="B7" s="519"/>
      <c r="C7" s="3338" t="s">
        <v>2949</v>
      </c>
      <c r="D7" s="3339"/>
      <c r="E7" s="3338" t="s">
        <v>2950</v>
      </c>
      <c r="F7" s="3339"/>
      <c r="G7" s="3338" t="s">
        <v>2951</v>
      </c>
      <c r="H7" s="3339"/>
      <c r="I7" s="3338" t="s">
        <v>2952</v>
      </c>
      <c r="J7" s="3339"/>
      <c r="K7" s="517"/>
      <c r="L7" s="2144"/>
      <c r="M7" s="2143"/>
      <c r="N7" s="2143"/>
      <c r="O7" s="2145"/>
      <c r="P7" s="3326"/>
      <c r="Q7" s="3327"/>
      <c r="R7" s="3332"/>
      <c r="S7" s="3333"/>
      <c r="T7" s="3332"/>
      <c r="U7" s="3333"/>
      <c r="V7" s="3317"/>
      <c r="W7" s="3317"/>
      <c r="X7" s="1573"/>
      <c r="Y7" s="3332"/>
      <c r="Z7" s="3333"/>
      <c r="AA7" s="3320"/>
      <c r="AB7" s="3320"/>
      <c r="AC7" s="3320"/>
    </row>
    <row r="8" spans="1:30" ht="21" thickBot="1">
      <c r="A8" s="518"/>
      <c r="B8" s="519"/>
      <c r="C8" s="3340" t="s">
        <v>2953</v>
      </c>
      <c r="D8" s="3341"/>
      <c r="E8" s="3340" t="s">
        <v>2953</v>
      </c>
      <c r="F8" s="3341"/>
      <c r="G8" s="3336" t="s">
        <v>2953</v>
      </c>
      <c r="H8" s="3337"/>
      <c r="I8" s="3336" t="s">
        <v>2953</v>
      </c>
      <c r="J8" s="3337"/>
      <c r="K8" s="517" t="s">
        <v>529</v>
      </c>
      <c r="L8" s="2144"/>
      <c r="M8" s="2143"/>
      <c r="N8" s="2143"/>
      <c r="O8" s="2145"/>
      <c r="P8" s="3328"/>
      <c r="Q8" s="3329"/>
      <c r="R8" s="3332"/>
      <c r="S8" s="3333"/>
      <c r="T8" s="3334"/>
      <c r="U8" s="3335"/>
      <c r="V8" s="3317"/>
      <c r="W8" s="3317"/>
      <c r="X8" s="1573"/>
      <c r="Y8" s="3334"/>
      <c r="Z8" s="3335"/>
      <c r="AA8" s="3321"/>
      <c r="AB8" s="3321"/>
      <c r="AC8" s="3321"/>
    </row>
    <row r="9" spans="1:30" s="1223" customFormat="1" ht="21" thickBot="1">
      <c r="A9" s="2952"/>
      <c r="B9" s="2959" t="s">
        <v>530</v>
      </c>
      <c r="C9" s="2951">
        <f>'数据-取费表'!B2</f>
        <v>42920</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47" t="s">
        <v>531</v>
      </c>
      <c r="Q9" s="3349"/>
      <c r="R9" s="1574" t="s">
        <v>8</v>
      </c>
      <c r="S9" s="1575">
        <f t="shared" ref="S9:S17" si="0">F9</f>
        <v>0</v>
      </c>
      <c r="T9" s="1574" t="s">
        <v>8</v>
      </c>
      <c r="U9" s="1575">
        <f t="shared" ref="U9:U17" si="1">H9</f>
        <v>0</v>
      </c>
      <c r="V9" s="1574" t="s">
        <v>8</v>
      </c>
      <c r="W9" s="1575">
        <f t="shared" ref="W9:W17" si="2">J9</f>
        <v>0</v>
      </c>
      <c r="X9" s="1576"/>
      <c r="Y9" s="3347" t="s">
        <v>531</v>
      </c>
      <c r="Z9" s="3348"/>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47" t="s">
        <v>534</v>
      </c>
      <c r="Q10" s="3348"/>
      <c r="R10" s="1574" t="s">
        <v>8</v>
      </c>
      <c r="S10" s="1575">
        <f t="shared" si="0"/>
        <v>0</v>
      </c>
      <c r="T10" s="1574" t="s">
        <v>8</v>
      </c>
      <c r="U10" s="1575">
        <f t="shared" si="1"/>
        <v>0</v>
      </c>
      <c r="V10" s="1574" t="s">
        <v>8</v>
      </c>
      <c r="W10" s="1575">
        <f t="shared" si="2"/>
        <v>0</v>
      </c>
      <c r="X10" s="1576"/>
      <c r="Y10" s="3347" t="s">
        <v>534</v>
      </c>
      <c r="Z10" s="3348"/>
      <c r="AA10" s="1577" t="e">
        <f t="shared" ref="AA10:AA47" si="3">D10/F10</f>
        <v>#DIV/0!</v>
      </c>
      <c r="AB10" s="1577" t="e">
        <f t="shared" ref="AB10:AB47" si="4">D10/H10</f>
        <v>#DIV/0!</v>
      </c>
      <c r="AC10" s="1577" t="e">
        <f t="shared" ref="AC10:AC47" si="5">D10/J10</f>
        <v>#DIV/0!</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16" t="s">
        <v>536</v>
      </c>
      <c r="Q11" s="1154" t="str">
        <f t="shared" ref="Q11:Q17" si="6">B11</f>
        <v>用途</v>
      </c>
      <c r="R11" s="1574" t="s">
        <v>8</v>
      </c>
      <c r="S11" s="1575">
        <f t="shared" si="0"/>
        <v>100</v>
      </c>
      <c r="T11" s="1574" t="s">
        <v>8</v>
      </c>
      <c r="U11" s="1575">
        <f t="shared" si="1"/>
        <v>100</v>
      </c>
      <c r="V11" s="1574" t="s">
        <v>8</v>
      </c>
      <c r="W11" s="1575">
        <f t="shared" si="2"/>
        <v>100</v>
      </c>
      <c r="X11" s="1576"/>
      <c r="Y11" s="3262"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16"/>
      <c r="Q12" s="1154" t="str">
        <f t="shared" si="6"/>
        <v>土地使用年限（年）</v>
      </c>
      <c r="R12" s="1574" t="s">
        <v>8</v>
      </c>
      <c r="S12" s="1575">
        <f t="shared" si="0"/>
        <v>100</v>
      </c>
      <c r="T12" s="1574" t="s">
        <v>8</v>
      </c>
      <c r="U12" s="1575">
        <f t="shared" si="1"/>
        <v>100</v>
      </c>
      <c r="V12" s="1574" t="s">
        <v>8</v>
      </c>
      <c r="W12" s="1575">
        <f t="shared" si="2"/>
        <v>100</v>
      </c>
      <c r="X12" s="1576"/>
      <c r="Y12" s="3262"/>
      <c r="Z12" s="1153" t="str">
        <f t="shared" si="7"/>
        <v>土地使用年限（年）</v>
      </c>
      <c r="AA12" s="1577">
        <f t="shared" si="3"/>
        <v>1</v>
      </c>
      <c r="AB12" s="1577">
        <f t="shared" si="4"/>
        <v>1</v>
      </c>
      <c r="AC12" s="1577">
        <f t="shared" si="5"/>
        <v>1</v>
      </c>
    </row>
    <row r="13" spans="1:30" ht="20.25">
      <c r="A13" s="2956"/>
      <c r="B13" s="2960" t="s">
        <v>2776</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16"/>
      <c r="Q13" s="1154" t="str">
        <f t="shared" si="6"/>
        <v>容积率</v>
      </c>
      <c r="R13" s="1574" t="s">
        <v>8</v>
      </c>
      <c r="S13" s="1575" t="e">
        <f t="shared" si="0"/>
        <v>#N/A</v>
      </c>
      <c r="T13" s="1574" t="s">
        <v>8</v>
      </c>
      <c r="U13" s="1575" t="e">
        <f t="shared" si="1"/>
        <v>#N/A</v>
      </c>
      <c r="V13" s="1574" t="s">
        <v>8</v>
      </c>
      <c r="W13" s="1575" t="e">
        <f t="shared" si="2"/>
        <v>#N/A</v>
      </c>
      <c r="X13" s="1576"/>
      <c r="Y13" s="3262"/>
      <c r="Z13" s="1153" t="str">
        <f t="shared" si="7"/>
        <v>容积率</v>
      </c>
      <c r="AA13" s="1577" t="e">
        <f t="shared" si="3"/>
        <v>#N/A</v>
      </c>
      <c r="AB13" s="1577" t="e">
        <f t="shared" si="4"/>
        <v>#N/A</v>
      </c>
      <c r="AC13" s="1577" t="e">
        <f t="shared" si="5"/>
        <v>#N/A</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16"/>
      <c r="Q14" s="1154" t="str">
        <f t="shared" si="6"/>
        <v>配建</v>
      </c>
      <c r="R14" s="1574" t="s">
        <v>8</v>
      </c>
      <c r="S14" s="1575">
        <f t="shared" si="0"/>
        <v>100</v>
      </c>
      <c r="T14" s="1574" t="s">
        <v>8</v>
      </c>
      <c r="U14" s="1575">
        <f t="shared" si="1"/>
        <v>100</v>
      </c>
      <c r="V14" s="1574" t="s">
        <v>8</v>
      </c>
      <c r="W14" s="1575">
        <f t="shared" si="2"/>
        <v>100</v>
      </c>
      <c r="X14" s="1576"/>
      <c r="Y14" s="3262"/>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16"/>
      <c r="Q15" s="1154">
        <f t="shared" si="6"/>
        <v>111</v>
      </c>
      <c r="R15" s="1574" t="s">
        <v>8</v>
      </c>
      <c r="S15" s="1575">
        <f t="shared" si="0"/>
        <v>100</v>
      </c>
      <c r="T15" s="1574" t="s">
        <v>8</v>
      </c>
      <c r="U15" s="1575">
        <f t="shared" si="1"/>
        <v>100</v>
      </c>
      <c r="V15" s="1574" t="s">
        <v>8</v>
      </c>
      <c r="W15" s="1575">
        <f t="shared" si="2"/>
        <v>100</v>
      </c>
      <c r="X15" s="1576"/>
      <c r="Y15" s="3262"/>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16"/>
      <c r="Q16" s="1154">
        <f t="shared" si="6"/>
        <v>111</v>
      </c>
      <c r="R16" s="1574" t="s">
        <v>8</v>
      </c>
      <c r="S16" s="1575">
        <f t="shared" si="0"/>
        <v>100</v>
      </c>
      <c r="T16" s="1574" t="s">
        <v>8</v>
      </c>
      <c r="U16" s="1575">
        <f t="shared" si="1"/>
        <v>100</v>
      </c>
      <c r="V16" s="1574" t="s">
        <v>8</v>
      </c>
      <c r="W16" s="1575">
        <f t="shared" si="2"/>
        <v>100</v>
      </c>
      <c r="X16" s="1576"/>
      <c r="Y16" s="3262"/>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50" t="s">
        <v>541</v>
      </c>
      <c r="Q17" s="1578" t="str">
        <f t="shared" si="6"/>
        <v>居住社区成熟度</v>
      </c>
      <c r="R17" s="1579" t="s">
        <v>8</v>
      </c>
      <c r="S17" s="1580">
        <f t="shared" si="0"/>
        <v>100</v>
      </c>
      <c r="T17" s="1579" t="s">
        <v>8</v>
      </c>
      <c r="U17" s="1580">
        <f t="shared" si="1"/>
        <v>100</v>
      </c>
      <c r="V17" s="1579" t="s">
        <v>8</v>
      </c>
      <c r="W17" s="1580">
        <f t="shared" si="2"/>
        <v>100</v>
      </c>
      <c r="X17" s="1573"/>
      <c r="Y17" s="3350"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51"/>
      <c r="Q18" s="1578"/>
      <c r="R18" s="1579"/>
      <c r="S18" s="1580"/>
      <c r="T18" s="1579"/>
      <c r="U18" s="1580"/>
      <c r="V18" s="1579"/>
      <c r="W18" s="1580"/>
      <c r="X18" s="1573"/>
      <c r="Y18" s="3351"/>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51"/>
      <c r="Q19" s="1578" t="str">
        <f>B19</f>
        <v>商业繁华度</v>
      </c>
      <c r="R19" s="1579" t="s">
        <v>8</v>
      </c>
      <c r="S19" s="1580">
        <f>F19</f>
        <v>100</v>
      </c>
      <c r="T19" s="1579" t="s">
        <v>8</v>
      </c>
      <c r="U19" s="1580">
        <f>H19</f>
        <v>100</v>
      </c>
      <c r="V19" s="1579" t="s">
        <v>8</v>
      </c>
      <c r="W19" s="1580">
        <f>J19</f>
        <v>100</v>
      </c>
      <c r="X19" s="1573"/>
      <c r="Y19" s="3351"/>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51"/>
      <c r="Q20" s="1578"/>
      <c r="R20" s="1579"/>
      <c r="S20" s="1580"/>
      <c r="T20" s="1579"/>
      <c r="U20" s="1580"/>
      <c r="V20" s="1579"/>
      <c r="W20" s="1580"/>
      <c r="X20" s="1573"/>
      <c r="Y20" s="3351"/>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51"/>
      <c r="Q21" s="1578" t="str">
        <f>B21</f>
        <v>办公集聚程度</v>
      </c>
      <c r="R21" s="1579" t="s">
        <v>8</v>
      </c>
      <c r="S21" s="1580">
        <f>F21</f>
        <v>100</v>
      </c>
      <c r="T21" s="1579" t="s">
        <v>8</v>
      </c>
      <c r="U21" s="1580">
        <f>H21</f>
        <v>100</v>
      </c>
      <c r="V21" s="1579" t="s">
        <v>8</v>
      </c>
      <c r="W21" s="1580">
        <f>J21</f>
        <v>100</v>
      </c>
      <c r="X21" s="1573"/>
      <c r="Y21" s="3351"/>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51"/>
      <c r="Q22" s="1578"/>
      <c r="R22" s="1579"/>
      <c r="S22" s="1580"/>
      <c r="T22" s="1579"/>
      <c r="U22" s="1580"/>
      <c r="V22" s="1579"/>
      <c r="W22" s="1580"/>
      <c r="X22" s="1573"/>
      <c r="Y22" s="3351"/>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51"/>
      <c r="Q23" s="1578" t="str">
        <f>B23</f>
        <v>交通便捷度</v>
      </c>
      <c r="R23" s="1579" t="s">
        <v>8</v>
      </c>
      <c r="S23" s="1580">
        <f>F23</f>
        <v>100</v>
      </c>
      <c r="T23" s="1579" t="s">
        <v>8</v>
      </c>
      <c r="U23" s="1580">
        <f>H23</f>
        <v>100</v>
      </c>
      <c r="V23" s="1579" t="s">
        <v>8</v>
      </c>
      <c r="W23" s="1580">
        <f>J23</f>
        <v>100</v>
      </c>
      <c r="X23" s="1573"/>
      <c r="Y23" s="3351"/>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51"/>
      <c r="Q24" s="1578"/>
      <c r="R24" s="1579"/>
      <c r="S24" s="1580"/>
      <c r="T24" s="1579"/>
      <c r="U24" s="1580"/>
      <c r="V24" s="1579"/>
      <c r="W24" s="1580"/>
      <c r="X24" s="1573"/>
      <c r="Y24" s="3351"/>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51"/>
      <c r="Q25" s="1578" t="str">
        <f t="shared" ref="Q25:Q39" si="8">B25</f>
        <v>区域土地利用方向</v>
      </c>
      <c r="R25" s="1579" t="s">
        <v>8</v>
      </c>
      <c r="S25" s="1580">
        <f>F25</f>
        <v>100</v>
      </c>
      <c r="T25" s="1579" t="s">
        <v>8</v>
      </c>
      <c r="U25" s="1580">
        <f>H25</f>
        <v>100</v>
      </c>
      <c r="V25" s="1579" t="s">
        <v>8</v>
      </c>
      <c r="W25" s="1580">
        <f>J25</f>
        <v>100</v>
      </c>
      <c r="X25" s="1573"/>
      <c r="Y25" s="3351"/>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51"/>
      <c r="Q26" s="1578"/>
      <c r="R26" s="1579"/>
      <c r="S26" s="1580"/>
      <c r="T26" s="1579"/>
      <c r="U26" s="1580"/>
      <c r="V26" s="1579"/>
      <c r="W26" s="1580"/>
      <c r="X26" s="1573"/>
      <c r="Y26" s="3351"/>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51"/>
      <c r="Q27" s="1578" t="str">
        <f t="shared" si="8"/>
        <v>自然及人文环境状况</v>
      </c>
      <c r="R27" s="1579" t="s">
        <v>8</v>
      </c>
      <c r="S27" s="1580">
        <f>F27</f>
        <v>100</v>
      </c>
      <c r="T27" s="1579" t="s">
        <v>8</v>
      </c>
      <c r="U27" s="1580">
        <f>H27</f>
        <v>100</v>
      </c>
      <c r="V27" s="1579" t="s">
        <v>8</v>
      </c>
      <c r="W27" s="1580">
        <f>J27</f>
        <v>100</v>
      </c>
      <c r="X27" s="1573"/>
      <c r="Y27" s="3351"/>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51"/>
      <c r="Q28" s="1578"/>
      <c r="R28" s="1579"/>
      <c r="S28" s="1580"/>
      <c r="T28" s="1579"/>
      <c r="U28" s="1580"/>
      <c r="V28" s="1579"/>
      <c r="W28" s="1580"/>
      <c r="X28" s="1573"/>
      <c r="Y28" s="3351"/>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51"/>
      <c r="Q29" s="1154" t="str">
        <f t="shared" si="8"/>
        <v>公共配套设施</v>
      </c>
      <c r="R29" s="1574" t="s">
        <v>8</v>
      </c>
      <c r="S29" s="1575">
        <f>F29</f>
        <v>100</v>
      </c>
      <c r="T29" s="1574" t="s">
        <v>8</v>
      </c>
      <c r="U29" s="1575">
        <f>H29</f>
        <v>100</v>
      </c>
      <c r="V29" s="1574" t="s">
        <v>8</v>
      </c>
      <c r="W29" s="1575">
        <f>J29</f>
        <v>100</v>
      </c>
      <c r="X29" s="1576"/>
      <c r="Y29" s="3351"/>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51"/>
      <c r="Q30" s="1154"/>
      <c r="R30" s="1574"/>
      <c r="S30" s="1575"/>
      <c r="T30" s="1574"/>
      <c r="U30" s="1575"/>
      <c r="V30" s="1574"/>
      <c r="W30" s="1575"/>
      <c r="X30" s="1576"/>
      <c r="Y30" s="3351"/>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51"/>
      <c r="Q31" s="2614" t="str">
        <f t="shared" ref="Q31" si="9">B31</f>
        <v>基础设施水平</v>
      </c>
      <c r="R31" s="1574" t="s">
        <v>8</v>
      </c>
      <c r="S31" s="1575">
        <f>F31</f>
        <v>100</v>
      </c>
      <c r="T31" s="1574" t="s">
        <v>8</v>
      </c>
      <c r="U31" s="1575">
        <f>H31</f>
        <v>100</v>
      </c>
      <c r="V31" s="1574" t="s">
        <v>8</v>
      </c>
      <c r="W31" s="1575">
        <f>J31</f>
        <v>100</v>
      </c>
      <c r="X31" s="1576"/>
      <c r="Y31" s="3351"/>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51"/>
      <c r="Q32" s="2614"/>
      <c r="R32" s="1574"/>
      <c r="S32" s="1575"/>
      <c r="T32" s="1574"/>
      <c r="U32" s="1575"/>
      <c r="V32" s="1574"/>
      <c r="W32" s="1575"/>
      <c r="X32" s="1576"/>
      <c r="Y32" s="3351"/>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51"/>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51"/>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51"/>
      <c r="Q34" s="1578" t="str">
        <f t="shared" si="8"/>
        <v>毗邻道路的类型与等级</v>
      </c>
      <c r="R34" s="1579" t="s">
        <v>8</v>
      </c>
      <c r="S34" s="1580">
        <f t="shared" si="10"/>
        <v>100</v>
      </c>
      <c r="T34" s="1579" t="s">
        <v>8</v>
      </c>
      <c r="U34" s="1580">
        <f t="shared" si="11"/>
        <v>100</v>
      </c>
      <c r="V34" s="1579" t="s">
        <v>8</v>
      </c>
      <c r="W34" s="1580">
        <f t="shared" si="12"/>
        <v>100</v>
      </c>
      <c r="X34" s="1573"/>
      <c r="Y34" s="3351"/>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51"/>
      <c r="Q35" s="1578"/>
      <c r="R35" s="1579"/>
      <c r="S35" s="1580"/>
      <c r="T35" s="1579"/>
      <c r="U35" s="1580"/>
      <c r="V35" s="1579"/>
      <c r="W35" s="1580"/>
      <c r="X35" s="1573"/>
      <c r="Y35" s="3351"/>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51"/>
      <c r="Q36" s="1578" t="str">
        <f t="shared" si="8"/>
        <v>土地级别</v>
      </c>
      <c r="R36" s="1579" t="s">
        <v>8</v>
      </c>
      <c r="S36" s="1580">
        <f t="shared" si="10"/>
        <v>100</v>
      </c>
      <c r="T36" s="1579" t="s">
        <v>8</v>
      </c>
      <c r="U36" s="1580">
        <f t="shared" si="11"/>
        <v>100</v>
      </c>
      <c r="V36" s="1579" t="s">
        <v>8</v>
      </c>
      <c r="W36" s="1580">
        <f t="shared" si="12"/>
        <v>100</v>
      </c>
      <c r="X36" s="1573"/>
      <c r="Y36" s="3351"/>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51"/>
      <c r="Q37" s="1578">
        <f t="shared" si="8"/>
        <v>111</v>
      </c>
      <c r="R37" s="1579" t="s">
        <v>8</v>
      </c>
      <c r="S37" s="1580">
        <f t="shared" si="10"/>
        <v>100</v>
      </c>
      <c r="T37" s="1579" t="s">
        <v>8</v>
      </c>
      <c r="U37" s="1580">
        <f t="shared" si="11"/>
        <v>100</v>
      </c>
      <c r="V37" s="1579" t="s">
        <v>8</v>
      </c>
      <c r="W37" s="1580">
        <f t="shared" si="12"/>
        <v>100</v>
      </c>
      <c r="X37" s="1573"/>
      <c r="Y37" s="3351"/>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52" t="s">
        <v>551</v>
      </c>
      <c r="Q38" s="1578">
        <f t="shared" si="8"/>
        <v>111</v>
      </c>
      <c r="R38" s="1579" t="s">
        <v>8</v>
      </c>
      <c r="S38" s="1580">
        <f t="shared" si="10"/>
        <v>100</v>
      </c>
      <c r="T38" s="1579" t="s">
        <v>8</v>
      </c>
      <c r="U38" s="1580">
        <f t="shared" si="11"/>
        <v>100</v>
      </c>
      <c r="V38" s="1579" t="s">
        <v>8</v>
      </c>
      <c r="W38" s="1580">
        <f t="shared" si="12"/>
        <v>100</v>
      </c>
      <c r="X38" s="1573"/>
      <c r="Y38" s="3353"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53"/>
      <c r="Q39" s="1578">
        <f t="shared" si="8"/>
        <v>111</v>
      </c>
      <c r="R39" s="1583" t="s">
        <v>8</v>
      </c>
      <c r="S39" s="1584">
        <f t="shared" si="10"/>
        <v>100</v>
      </c>
      <c r="T39" s="1583" t="s">
        <v>8</v>
      </c>
      <c r="U39" s="1584">
        <f t="shared" si="11"/>
        <v>100</v>
      </c>
      <c r="V39" s="1583" t="s">
        <v>8</v>
      </c>
      <c r="W39" s="1584">
        <f t="shared" si="12"/>
        <v>100</v>
      </c>
      <c r="X39" s="1585"/>
      <c r="Y39" s="3353"/>
      <c r="Z39" s="1586">
        <f t="shared" si="13"/>
        <v>111</v>
      </c>
      <c r="AA39" s="1582">
        <f t="shared" si="3"/>
        <v>1</v>
      </c>
      <c r="AB39" s="1582">
        <f t="shared" si="4"/>
        <v>1</v>
      </c>
      <c r="AC39" s="1582">
        <f t="shared" si="5"/>
        <v>1</v>
      </c>
    </row>
    <row r="40" spans="1:29" ht="20.25">
      <c r="A40" s="2947" t="s">
        <v>2773</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53"/>
      <c r="Q40" s="1578" t="str">
        <f>B40</f>
        <v>宗地面积</v>
      </c>
      <c r="R40" s="1579" t="s">
        <v>8</v>
      </c>
      <c r="S40" s="1580" t="e">
        <f t="shared" si="10"/>
        <v>#N/A</v>
      </c>
      <c r="T40" s="1579" t="s">
        <v>8</v>
      </c>
      <c r="U40" s="1580" t="e">
        <f t="shared" si="11"/>
        <v>#N/A</v>
      </c>
      <c r="V40" s="1579" t="s">
        <v>8</v>
      </c>
      <c r="W40" s="1580" t="e">
        <f t="shared" si="12"/>
        <v>#N/A</v>
      </c>
      <c r="X40" s="1573"/>
      <c r="Y40" s="3353"/>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53"/>
      <c r="Q41" s="1578" t="str">
        <f t="shared" ref="Q41:Q47" si="14">B41</f>
        <v>宗地形状</v>
      </c>
      <c r="R41" s="1579" t="s">
        <v>8</v>
      </c>
      <c r="S41" s="1580">
        <f t="shared" si="10"/>
        <v>100</v>
      </c>
      <c r="T41" s="1579" t="s">
        <v>8</v>
      </c>
      <c r="U41" s="1580">
        <f t="shared" si="11"/>
        <v>100</v>
      </c>
      <c r="V41" s="1579" t="s">
        <v>8</v>
      </c>
      <c r="W41" s="1580">
        <f t="shared" si="12"/>
        <v>100</v>
      </c>
      <c r="X41" s="1573"/>
      <c r="Y41" s="3353"/>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53"/>
      <c r="Q42" s="1578" t="str">
        <f t="shared" si="14"/>
        <v>临街宽度及深度</v>
      </c>
      <c r="R42" s="1579" t="s">
        <v>8</v>
      </c>
      <c r="S42" s="1580">
        <f t="shared" si="10"/>
        <v>100</v>
      </c>
      <c r="T42" s="1579" t="s">
        <v>8</v>
      </c>
      <c r="U42" s="1580">
        <f t="shared" si="11"/>
        <v>100</v>
      </c>
      <c r="V42" s="1579" t="s">
        <v>8</v>
      </c>
      <c r="W42" s="1580">
        <f t="shared" si="12"/>
        <v>100</v>
      </c>
      <c r="X42" s="1573"/>
      <c r="Y42" s="3353"/>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53"/>
      <c r="Q43" s="1578" t="str">
        <f t="shared" si="14"/>
        <v>宗地开发程度</v>
      </c>
      <c r="R43" s="1574" t="s">
        <v>8</v>
      </c>
      <c r="S43" s="1575">
        <f t="shared" si="10"/>
        <v>100</v>
      </c>
      <c r="T43" s="1574" t="s">
        <v>8</v>
      </c>
      <c r="U43" s="1575">
        <f t="shared" si="11"/>
        <v>100</v>
      </c>
      <c r="V43" s="1574" t="s">
        <v>8</v>
      </c>
      <c r="W43" s="1575">
        <f t="shared" si="12"/>
        <v>100</v>
      </c>
      <c r="X43" s="1576"/>
      <c r="Y43" s="3353"/>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53" t="s">
        <v>551</v>
      </c>
      <c r="Q44" s="1578" t="str">
        <f t="shared" si="14"/>
        <v>工程地质条件</v>
      </c>
      <c r="R44" s="1579" t="s">
        <v>8</v>
      </c>
      <c r="S44" s="1580">
        <f t="shared" si="10"/>
        <v>100</v>
      </c>
      <c r="T44" s="1579" t="s">
        <v>8</v>
      </c>
      <c r="U44" s="1580">
        <f t="shared" si="11"/>
        <v>100</v>
      </c>
      <c r="V44" s="1579" t="s">
        <v>8</v>
      </c>
      <c r="W44" s="1580">
        <f t="shared" si="12"/>
        <v>100</v>
      </c>
      <c r="X44" s="1573"/>
      <c r="Y44" s="3353"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53"/>
      <c r="Q45" s="1578">
        <f t="shared" si="14"/>
        <v>111</v>
      </c>
      <c r="R45" s="1579" t="s">
        <v>8</v>
      </c>
      <c r="S45" s="1580">
        <f t="shared" si="10"/>
        <v>100</v>
      </c>
      <c r="T45" s="1579" t="s">
        <v>8</v>
      </c>
      <c r="U45" s="1580">
        <f t="shared" si="11"/>
        <v>100</v>
      </c>
      <c r="V45" s="1579" t="s">
        <v>8</v>
      </c>
      <c r="W45" s="1580">
        <f t="shared" si="12"/>
        <v>100</v>
      </c>
      <c r="X45" s="1573"/>
      <c r="Y45" s="3353"/>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53"/>
      <c r="Q46" s="1578">
        <f t="shared" si="14"/>
        <v>111</v>
      </c>
      <c r="R46" s="1579" t="s">
        <v>8</v>
      </c>
      <c r="S46" s="1580">
        <f t="shared" si="10"/>
        <v>100</v>
      </c>
      <c r="T46" s="1579" t="s">
        <v>8</v>
      </c>
      <c r="U46" s="1580">
        <f t="shared" si="11"/>
        <v>100</v>
      </c>
      <c r="V46" s="1579" t="s">
        <v>8</v>
      </c>
      <c r="W46" s="1580">
        <f t="shared" si="12"/>
        <v>100</v>
      </c>
      <c r="X46" s="1573"/>
      <c r="Y46" s="3353"/>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53"/>
      <c r="Q47" s="1578">
        <f t="shared" si="14"/>
        <v>111</v>
      </c>
      <c r="R47" s="1583" t="s">
        <v>8</v>
      </c>
      <c r="S47" s="1584">
        <f t="shared" si="10"/>
        <v>100</v>
      </c>
      <c r="T47" s="1583" t="s">
        <v>8</v>
      </c>
      <c r="U47" s="1584">
        <f t="shared" si="11"/>
        <v>100</v>
      </c>
      <c r="V47" s="1583" t="s">
        <v>8</v>
      </c>
      <c r="W47" s="1584">
        <f t="shared" si="12"/>
        <v>100</v>
      </c>
      <c r="X47" s="1585"/>
      <c r="Y47" s="3353"/>
      <c r="Z47" s="1586">
        <f t="shared" si="13"/>
        <v>111</v>
      </c>
      <c r="AA47" s="1582">
        <f t="shared" si="3"/>
        <v>1</v>
      </c>
      <c r="AB47" s="1582">
        <f t="shared" si="4"/>
        <v>1</v>
      </c>
      <c r="AC47" s="1582">
        <f t="shared" si="5"/>
        <v>1</v>
      </c>
    </row>
    <row r="48" spans="1:29" ht="20.25">
      <c r="A48" s="610" t="s">
        <v>557</v>
      </c>
      <c r="B48" s="611" t="s">
        <v>2954</v>
      </c>
      <c r="C48" s="612" t="s">
        <v>1</v>
      </c>
      <c r="D48" s="613"/>
      <c r="E48" s="614"/>
      <c r="F48" s="615"/>
      <c r="G48" s="616"/>
      <c r="H48" s="617"/>
      <c r="I48" s="614"/>
      <c r="J48" s="617"/>
      <c r="K48" s="1343"/>
      <c r="L48" s="2155"/>
      <c r="M48" s="2143"/>
      <c r="N48" s="2143"/>
      <c r="O48" s="2156"/>
      <c r="P48" s="3316" t="str">
        <f>A48</f>
        <v>成交单价</v>
      </c>
      <c r="Q48" s="3316"/>
      <c r="R48" s="3317">
        <f>E48</f>
        <v>0</v>
      </c>
      <c r="S48" s="3317"/>
      <c r="T48" s="3317">
        <f>G48</f>
        <v>0</v>
      </c>
      <c r="U48" s="3317"/>
      <c r="V48" s="3317">
        <f>I48</f>
        <v>0</v>
      </c>
      <c r="W48" s="3317"/>
      <c r="X48" s="1565"/>
      <c r="Y48" s="1587"/>
      <c r="Z48" s="1565"/>
      <c r="AA48" s="1565"/>
      <c r="AB48" s="1565"/>
      <c r="AC48" s="1565"/>
    </row>
    <row r="49" spans="1:29" ht="21" thickBot="1">
      <c r="A49" s="618" t="s">
        <v>2711</v>
      </c>
      <c r="B49" s="619"/>
      <c r="C49" s="620" t="e">
        <f>R50</f>
        <v>#DIV/0!</v>
      </c>
      <c r="D49" s="621"/>
      <c r="E49" s="620" t="e">
        <f>R49</f>
        <v>#DIV/0!</v>
      </c>
      <c r="F49" s="622"/>
      <c r="G49" s="623" t="e">
        <f>T49</f>
        <v>#DIV/0!</v>
      </c>
      <c r="H49" s="621"/>
      <c r="I49" s="620" t="e">
        <f>V49</f>
        <v>#DIV/0!</v>
      </c>
      <c r="J49" s="621"/>
      <c r="K49" s="1344"/>
      <c r="L49" s="2155"/>
      <c r="M49" s="2143"/>
      <c r="N49" s="2143"/>
      <c r="O49" s="2156"/>
      <c r="P49" s="3316" t="str">
        <f>A49</f>
        <v>比较价格（元/平方米）</v>
      </c>
      <c r="Q49" s="3316"/>
      <c r="R49" s="3318" t="e">
        <f>ROUND(PRODUCT(R48,AA9:AA47),0)</f>
        <v>#DIV/0!</v>
      </c>
      <c r="S49" s="3318"/>
      <c r="T49" s="3318" t="e">
        <f>ROUND(PRODUCT(T48,AB9:AB47),0)</f>
        <v>#DIV/0!</v>
      </c>
      <c r="U49" s="3318"/>
      <c r="V49" s="3318" t="e">
        <f>ROUND(PRODUCT(V48,AC9:AC47),0)</f>
        <v>#DIV/0!</v>
      </c>
      <c r="W49" s="3318"/>
      <c r="X49" s="1565"/>
      <c r="Y49" s="1565"/>
      <c r="Z49" s="1565"/>
      <c r="AA49" s="1565"/>
      <c r="AB49" s="1565"/>
      <c r="AC49" s="1565"/>
    </row>
    <row r="50" spans="1:29" ht="21" thickBot="1">
      <c r="A50" s="624" t="s">
        <v>2955</v>
      </c>
      <c r="B50" s="625"/>
      <c r="C50" s="626" t="e">
        <f>R50</f>
        <v>#DIV/0!</v>
      </c>
      <c r="D50" s="626"/>
      <c r="E50" s="626"/>
      <c r="F50" s="626"/>
      <c r="G50" s="626"/>
      <c r="H50" s="626"/>
      <c r="I50" s="626"/>
      <c r="J50" s="626"/>
      <c r="K50" s="1345"/>
      <c r="L50" s="2155"/>
      <c r="M50" s="2143"/>
      <c r="N50" s="2143"/>
      <c r="O50" s="2156"/>
      <c r="P50" s="3313" t="str">
        <f>A50</f>
        <v>估价对象XX用房的比较价格（楼面单价，元/平方米）</v>
      </c>
      <c r="Q50" s="3314"/>
      <c r="R50" s="3315" t="e">
        <f>ROUND(AVERAGE(R49:V49),0)</f>
        <v>#DIV/0!</v>
      </c>
      <c r="S50" s="3315"/>
      <c r="T50" s="3315"/>
      <c r="U50" s="3315"/>
      <c r="V50" s="3315"/>
      <c r="W50" s="3315"/>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42" t="s">
        <v>2292</v>
      </c>
      <c r="H57" s="3343"/>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99836.688000000009</v>
      </c>
      <c r="F58" s="639" t="e">
        <f t="shared" ref="F58:F67" si="15">ROUND(B58*E58/10000,0)</f>
        <v>#DIV/0!</v>
      </c>
      <c r="G58" s="3344"/>
      <c r="H58" s="3345"/>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46"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46"/>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46"/>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46"/>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t="e">
        <f t="shared" si="17"/>
        <v>#DIV/0!</v>
      </c>
      <c r="C63" s="381">
        <f t="shared" si="16"/>
        <v>0</v>
      </c>
      <c r="D63" s="2240">
        <v>0.25</v>
      </c>
      <c r="E63" s="644">
        <f>'数据-汇总表'!E11</f>
        <v>0</v>
      </c>
      <c r="F63" s="639" t="e">
        <f t="shared" si="15"/>
        <v>#DIV/0!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41598.620000000003</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22" t="s">
        <v>523</v>
      </c>
      <c r="D6" s="3323"/>
      <c r="E6" s="3356" t="s">
        <v>524</v>
      </c>
      <c r="F6" s="3357"/>
      <c r="G6" s="3322" t="s">
        <v>525</v>
      </c>
      <c r="H6" s="3323"/>
      <c r="I6" s="3322" t="s">
        <v>526</v>
      </c>
      <c r="J6" s="3323"/>
      <c r="K6" s="517" t="s">
        <v>527</v>
      </c>
      <c r="L6" s="2144"/>
      <c r="M6" s="2145"/>
      <c r="N6" s="2145"/>
      <c r="O6" s="2145"/>
      <c r="P6" s="3324" t="s">
        <v>528</v>
      </c>
      <c r="Q6" s="3325"/>
      <c r="R6" s="3330" t="s">
        <v>524</v>
      </c>
      <c r="S6" s="3331"/>
      <c r="T6" s="3330" t="s">
        <v>525</v>
      </c>
      <c r="U6" s="3331"/>
      <c r="V6" s="3317" t="s">
        <v>526</v>
      </c>
      <c r="W6" s="3317"/>
      <c r="X6" s="1573"/>
      <c r="Y6" s="3330" t="s">
        <v>528</v>
      </c>
      <c r="Z6" s="3331"/>
      <c r="AA6" s="3319" t="s">
        <v>524</v>
      </c>
      <c r="AB6" s="3320" t="s">
        <v>525</v>
      </c>
      <c r="AC6" s="3319" t="s">
        <v>526</v>
      </c>
    </row>
    <row r="7" spans="1:29" ht="15">
      <c r="A7" s="518"/>
      <c r="B7" s="519"/>
      <c r="C7" s="3338" t="s">
        <v>2949</v>
      </c>
      <c r="D7" s="3339"/>
      <c r="E7" s="3358" t="s">
        <v>2950</v>
      </c>
      <c r="F7" s="3359"/>
      <c r="G7" s="3338" t="s">
        <v>2951</v>
      </c>
      <c r="H7" s="3339"/>
      <c r="I7" s="3338" t="s">
        <v>2952</v>
      </c>
      <c r="J7" s="3339"/>
      <c r="K7" s="517"/>
      <c r="L7" s="2144"/>
      <c r="M7" s="2145"/>
      <c r="N7" s="2145"/>
      <c r="O7" s="2145"/>
      <c r="P7" s="3326"/>
      <c r="Q7" s="3327"/>
      <c r="R7" s="3332"/>
      <c r="S7" s="3333"/>
      <c r="T7" s="3332"/>
      <c r="U7" s="3333"/>
      <c r="V7" s="3317"/>
      <c r="W7" s="3317"/>
      <c r="X7" s="1573"/>
      <c r="Y7" s="3332"/>
      <c r="Z7" s="3333"/>
      <c r="AA7" s="3320"/>
      <c r="AB7" s="3320"/>
      <c r="AC7" s="3320"/>
    </row>
    <row r="8" spans="1:29" ht="15.75" thickBot="1">
      <c r="A8" s="520"/>
      <c r="B8" s="521"/>
      <c r="C8" s="3336" t="s">
        <v>2953</v>
      </c>
      <c r="D8" s="3337"/>
      <c r="E8" s="3354" t="s">
        <v>2953</v>
      </c>
      <c r="F8" s="3355"/>
      <c r="G8" s="3336" t="s">
        <v>2953</v>
      </c>
      <c r="H8" s="3337"/>
      <c r="I8" s="3336" t="s">
        <v>2953</v>
      </c>
      <c r="J8" s="3337"/>
      <c r="K8" s="517" t="s">
        <v>529</v>
      </c>
      <c r="L8" s="2144"/>
      <c r="M8" s="2145"/>
      <c r="N8" s="2145"/>
      <c r="O8" s="2145"/>
      <c r="P8" s="3328"/>
      <c r="Q8" s="3329"/>
      <c r="R8" s="3332"/>
      <c r="S8" s="3333"/>
      <c r="T8" s="3334"/>
      <c r="U8" s="3335"/>
      <c r="V8" s="3317"/>
      <c r="W8" s="3317"/>
      <c r="X8" s="1573"/>
      <c r="Y8" s="3334"/>
      <c r="Z8" s="3335"/>
      <c r="AA8" s="3321"/>
      <c r="AB8" s="3321"/>
      <c r="AC8" s="3321"/>
    </row>
    <row r="9" spans="1:29" s="1223" customFormat="1" ht="15.75" thickBot="1">
      <c r="A9" s="2952"/>
      <c r="B9" s="2959" t="s">
        <v>530</v>
      </c>
      <c r="C9" s="522">
        <f>'数据-取费表'!B2</f>
        <v>42920</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47" t="s">
        <v>531</v>
      </c>
      <c r="Q9" s="3349"/>
      <c r="R9" s="1574" t="s">
        <v>8</v>
      </c>
      <c r="S9" s="1575">
        <f t="shared" ref="S9:S17" si="0">F9</f>
        <v>0</v>
      </c>
      <c r="T9" s="1574" t="s">
        <v>8</v>
      </c>
      <c r="U9" s="1575">
        <f t="shared" ref="U9:U17" si="1">H9</f>
        <v>0</v>
      </c>
      <c r="V9" s="1574" t="s">
        <v>8</v>
      </c>
      <c r="W9" s="1575">
        <f t="shared" ref="W9:W17" si="2">J9</f>
        <v>0</v>
      </c>
      <c r="X9" s="1576"/>
      <c r="Y9" s="3347" t="s">
        <v>531</v>
      </c>
      <c r="Z9" s="3348"/>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47" t="s">
        <v>534</v>
      </c>
      <c r="Q10" s="3348"/>
      <c r="R10" s="1574" t="s">
        <v>8</v>
      </c>
      <c r="S10" s="1575">
        <f t="shared" si="0"/>
        <v>0</v>
      </c>
      <c r="T10" s="1574" t="s">
        <v>8</v>
      </c>
      <c r="U10" s="1575">
        <f t="shared" si="1"/>
        <v>0</v>
      </c>
      <c r="V10" s="1574" t="s">
        <v>8</v>
      </c>
      <c r="W10" s="1575">
        <f t="shared" si="2"/>
        <v>0</v>
      </c>
      <c r="X10" s="1576"/>
      <c r="Y10" s="3347" t="s">
        <v>534</v>
      </c>
      <c r="Z10" s="3348"/>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16" t="s">
        <v>536</v>
      </c>
      <c r="Q11" s="1154" t="str">
        <f t="shared" ref="Q11:Q17" si="6">B11</f>
        <v>用途</v>
      </c>
      <c r="R11" s="1574" t="s">
        <v>8</v>
      </c>
      <c r="S11" s="1575">
        <f t="shared" si="0"/>
        <v>100</v>
      </c>
      <c r="T11" s="1574" t="s">
        <v>8</v>
      </c>
      <c r="U11" s="1575">
        <f t="shared" si="1"/>
        <v>100</v>
      </c>
      <c r="V11" s="1574" t="s">
        <v>8</v>
      </c>
      <c r="W11" s="1575">
        <f t="shared" si="2"/>
        <v>100</v>
      </c>
      <c r="X11" s="1576"/>
      <c r="Y11" s="3262"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16"/>
      <c r="Q12" s="1154" t="str">
        <f t="shared" si="6"/>
        <v>土地使用年限（年）</v>
      </c>
      <c r="R12" s="1574" t="s">
        <v>8</v>
      </c>
      <c r="S12" s="1575">
        <f t="shared" si="0"/>
        <v>100</v>
      </c>
      <c r="T12" s="1574" t="s">
        <v>8</v>
      </c>
      <c r="U12" s="1575">
        <f t="shared" si="1"/>
        <v>100</v>
      </c>
      <c r="V12" s="1574" t="s">
        <v>8</v>
      </c>
      <c r="W12" s="1575">
        <f t="shared" si="2"/>
        <v>100</v>
      </c>
      <c r="X12" s="1576"/>
      <c r="Y12" s="3262"/>
      <c r="Z12" s="1153" t="str">
        <f t="shared" si="7"/>
        <v>土地使用年限（年）</v>
      </c>
      <c r="AA12" s="1577">
        <f t="shared" si="3"/>
        <v>1</v>
      </c>
      <c r="AB12" s="1577">
        <f t="shared" si="4"/>
        <v>1</v>
      </c>
      <c r="AC12" s="1577">
        <f t="shared" si="5"/>
        <v>1</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16"/>
      <c r="Q13" s="1154" t="str">
        <f t="shared" si="6"/>
        <v>容积率</v>
      </c>
      <c r="R13" s="1574" t="s">
        <v>8</v>
      </c>
      <c r="S13" s="1575" t="e">
        <f t="shared" si="0"/>
        <v>#N/A</v>
      </c>
      <c r="T13" s="1574" t="s">
        <v>8</v>
      </c>
      <c r="U13" s="1575" t="e">
        <f t="shared" si="1"/>
        <v>#N/A</v>
      </c>
      <c r="V13" s="1574" t="s">
        <v>8</v>
      </c>
      <c r="W13" s="1575" t="e">
        <f t="shared" si="2"/>
        <v>#N/A</v>
      </c>
      <c r="X13" s="1576"/>
      <c r="Y13" s="3262"/>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16"/>
      <c r="Q15" s="1154">
        <f t="shared" si="6"/>
        <v>111</v>
      </c>
      <c r="R15" s="1574" t="s">
        <v>8</v>
      </c>
      <c r="S15" s="1575">
        <f t="shared" si="0"/>
        <v>100</v>
      </c>
      <c r="T15" s="1574" t="s">
        <v>8</v>
      </c>
      <c r="U15" s="1575">
        <f t="shared" si="1"/>
        <v>100</v>
      </c>
      <c r="V15" s="1574" t="s">
        <v>8</v>
      </c>
      <c r="W15" s="1575">
        <f t="shared" si="2"/>
        <v>100</v>
      </c>
      <c r="X15" s="1576"/>
      <c r="Y15" s="3262"/>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16"/>
      <c r="Q16" s="1154">
        <f t="shared" si="6"/>
        <v>111</v>
      </c>
      <c r="R16" s="1574" t="s">
        <v>8</v>
      </c>
      <c r="S16" s="1575">
        <f t="shared" si="0"/>
        <v>100</v>
      </c>
      <c r="T16" s="1574" t="s">
        <v>8</v>
      </c>
      <c r="U16" s="1575">
        <f t="shared" si="1"/>
        <v>100</v>
      </c>
      <c r="V16" s="1574" t="s">
        <v>8</v>
      </c>
      <c r="W16" s="1575">
        <f t="shared" si="2"/>
        <v>100</v>
      </c>
      <c r="X16" s="1576"/>
      <c r="Y16" s="3262"/>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50" t="s">
        <v>541</v>
      </c>
      <c r="Q17" s="1578" t="str">
        <f t="shared" si="6"/>
        <v>产业集聚程度</v>
      </c>
      <c r="R17" s="1579" t="s">
        <v>8</v>
      </c>
      <c r="S17" s="1580">
        <f t="shared" si="0"/>
        <v>100</v>
      </c>
      <c r="T17" s="1579" t="s">
        <v>8</v>
      </c>
      <c r="U17" s="1580">
        <f t="shared" si="1"/>
        <v>100</v>
      </c>
      <c r="V17" s="1579" t="s">
        <v>8</v>
      </c>
      <c r="W17" s="1580">
        <f t="shared" si="2"/>
        <v>100</v>
      </c>
      <c r="X17" s="1573"/>
      <c r="Y17" s="3350"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51"/>
      <c r="Q18" s="1578"/>
      <c r="R18" s="1579"/>
      <c r="S18" s="1580"/>
      <c r="T18" s="1579"/>
      <c r="U18" s="1580"/>
      <c r="V18" s="1579"/>
      <c r="W18" s="1580"/>
      <c r="X18" s="1573"/>
      <c r="Y18" s="3351"/>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51"/>
      <c r="Q19" s="1578" t="str">
        <f>B19</f>
        <v>交通便捷度</v>
      </c>
      <c r="R19" s="1579" t="s">
        <v>8</v>
      </c>
      <c r="S19" s="1580">
        <f>F19</f>
        <v>100</v>
      </c>
      <c r="T19" s="1579" t="s">
        <v>8</v>
      </c>
      <c r="U19" s="1580">
        <f>H19</f>
        <v>100</v>
      </c>
      <c r="V19" s="1579" t="s">
        <v>8</v>
      </c>
      <c r="W19" s="1580">
        <f>J19</f>
        <v>100</v>
      </c>
      <c r="X19" s="1573"/>
      <c r="Y19" s="3351"/>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51"/>
      <c r="Q21" s="1578" t="str">
        <f t="shared" ref="Q21:Q35" si="8">B21</f>
        <v>区域土地利用方向</v>
      </c>
      <c r="R21" s="1579" t="s">
        <v>8</v>
      </c>
      <c r="S21" s="1580">
        <f>F21</f>
        <v>100</v>
      </c>
      <c r="T21" s="1579" t="s">
        <v>8</v>
      </c>
      <c r="U21" s="1580">
        <f>H21</f>
        <v>100</v>
      </c>
      <c r="V21" s="1579" t="s">
        <v>8</v>
      </c>
      <c r="W21" s="1580">
        <f>J21</f>
        <v>100</v>
      </c>
      <c r="X21" s="1573"/>
      <c r="Y21" s="3351"/>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51"/>
      <c r="Q22" s="1578"/>
      <c r="R22" s="1579"/>
      <c r="S22" s="1580"/>
      <c r="T22" s="1579"/>
      <c r="U22" s="1580"/>
      <c r="V22" s="1579"/>
      <c r="W22" s="1580"/>
      <c r="X22" s="1573"/>
      <c r="Y22" s="3351"/>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51"/>
      <c r="Q23" s="1578" t="str">
        <f t="shared" si="8"/>
        <v>环境状况</v>
      </c>
      <c r="R23" s="1579" t="s">
        <v>8</v>
      </c>
      <c r="S23" s="1580">
        <f>F23</f>
        <v>100</v>
      </c>
      <c r="T23" s="1579" t="s">
        <v>8</v>
      </c>
      <c r="U23" s="1580">
        <f>H23</f>
        <v>100</v>
      </c>
      <c r="V23" s="1579" t="s">
        <v>8</v>
      </c>
      <c r="W23" s="1580">
        <f>J23</f>
        <v>100</v>
      </c>
      <c r="X23" s="1573"/>
      <c r="Y23" s="3351"/>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51"/>
      <c r="Q24" s="1578"/>
      <c r="R24" s="1579"/>
      <c r="S24" s="1580"/>
      <c r="T24" s="1579"/>
      <c r="U24" s="1580"/>
      <c r="V24" s="1579"/>
      <c r="W24" s="1580"/>
      <c r="X24" s="1573"/>
      <c r="Y24" s="3351"/>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51"/>
      <c r="Q25" s="1154" t="str">
        <f t="shared" si="8"/>
        <v>公共配套设施</v>
      </c>
      <c r="R25" s="1574" t="s">
        <v>8</v>
      </c>
      <c r="S25" s="1575">
        <f>F25</f>
        <v>100</v>
      </c>
      <c r="T25" s="1574" t="s">
        <v>8</v>
      </c>
      <c r="U25" s="1575">
        <f>H25</f>
        <v>100</v>
      </c>
      <c r="V25" s="1574" t="s">
        <v>8</v>
      </c>
      <c r="W25" s="1575">
        <f>J25</f>
        <v>100</v>
      </c>
      <c r="X25" s="1576"/>
      <c r="Y25" s="3351"/>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51"/>
      <c r="Q26" s="1154"/>
      <c r="R26" s="1574"/>
      <c r="S26" s="1575"/>
      <c r="T26" s="1574"/>
      <c r="U26" s="1575"/>
      <c r="V26" s="1574"/>
      <c r="W26" s="1575"/>
      <c r="X26" s="1576"/>
      <c r="Y26" s="3351"/>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51"/>
      <c r="Q27" s="2614" t="str">
        <f t="shared" ref="Q27" si="9">B27</f>
        <v>基础设施水平</v>
      </c>
      <c r="R27" s="1574" t="s">
        <v>8</v>
      </c>
      <c r="S27" s="1575">
        <f>F27</f>
        <v>100</v>
      </c>
      <c r="T27" s="1574" t="s">
        <v>8</v>
      </c>
      <c r="U27" s="1575">
        <f>H27</f>
        <v>100</v>
      </c>
      <c r="V27" s="1574" t="s">
        <v>8</v>
      </c>
      <c r="W27" s="1575">
        <f>J27</f>
        <v>100</v>
      </c>
      <c r="X27" s="1576"/>
      <c r="Y27" s="3351"/>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51"/>
      <c r="Q28" s="2614"/>
      <c r="R28" s="1574"/>
      <c r="S28" s="1575"/>
      <c r="T28" s="1574"/>
      <c r="U28" s="1575"/>
      <c r="V28" s="1574"/>
      <c r="W28" s="1575"/>
      <c r="X28" s="1576"/>
      <c r="Y28" s="3351"/>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51"/>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51"/>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51"/>
      <c r="Q30" s="1578" t="str">
        <f t="shared" si="8"/>
        <v>毗邻道路的类型与等级</v>
      </c>
      <c r="R30" s="1579" t="s">
        <v>8</v>
      </c>
      <c r="S30" s="1580">
        <f t="shared" si="10"/>
        <v>100</v>
      </c>
      <c r="T30" s="1579" t="s">
        <v>8</v>
      </c>
      <c r="U30" s="1580">
        <f t="shared" si="11"/>
        <v>100</v>
      </c>
      <c r="V30" s="1579" t="s">
        <v>8</v>
      </c>
      <c r="W30" s="1580">
        <f t="shared" si="12"/>
        <v>100</v>
      </c>
      <c r="X30" s="1573"/>
      <c r="Y30" s="3351"/>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51"/>
      <c r="Q31" s="1578"/>
      <c r="R31" s="1579"/>
      <c r="S31" s="1580"/>
      <c r="T31" s="1579"/>
      <c r="U31" s="1580"/>
      <c r="V31" s="1579"/>
      <c r="W31" s="1580"/>
      <c r="X31" s="1573"/>
      <c r="Y31" s="3351"/>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51"/>
      <c r="Q32" s="1578" t="str">
        <f t="shared" si="8"/>
        <v>土地级别</v>
      </c>
      <c r="R32" s="1579" t="s">
        <v>8</v>
      </c>
      <c r="S32" s="1580">
        <f t="shared" si="10"/>
        <v>100</v>
      </c>
      <c r="T32" s="1579" t="s">
        <v>8</v>
      </c>
      <c r="U32" s="1580">
        <f t="shared" si="11"/>
        <v>100</v>
      </c>
      <c r="V32" s="1579" t="s">
        <v>8</v>
      </c>
      <c r="W32" s="1580">
        <f t="shared" si="12"/>
        <v>100</v>
      </c>
      <c r="X32" s="1573"/>
      <c r="Y32" s="3351"/>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51"/>
      <c r="Q33" s="1578">
        <f t="shared" si="8"/>
        <v>111</v>
      </c>
      <c r="R33" s="1579" t="s">
        <v>8</v>
      </c>
      <c r="S33" s="1580">
        <f t="shared" si="10"/>
        <v>100</v>
      </c>
      <c r="T33" s="1579" t="s">
        <v>8</v>
      </c>
      <c r="U33" s="1580">
        <f t="shared" si="11"/>
        <v>100</v>
      </c>
      <c r="V33" s="1579" t="s">
        <v>8</v>
      </c>
      <c r="W33" s="1580">
        <f t="shared" si="12"/>
        <v>100</v>
      </c>
      <c r="X33" s="1573"/>
      <c r="Y33" s="3351"/>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52" t="s">
        <v>551</v>
      </c>
      <c r="Q34" s="1578">
        <f t="shared" si="8"/>
        <v>111</v>
      </c>
      <c r="R34" s="1579" t="s">
        <v>8</v>
      </c>
      <c r="S34" s="1580">
        <f t="shared" si="10"/>
        <v>100</v>
      </c>
      <c r="T34" s="1579" t="s">
        <v>8</v>
      </c>
      <c r="U34" s="1580">
        <f t="shared" si="11"/>
        <v>100</v>
      </c>
      <c r="V34" s="1579" t="s">
        <v>8</v>
      </c>
      <c r="W34" s="1580">
        <f t="shared" si="12"/>
        <v>100</v>
      </c>
      <c r="X34" s="1573"/>
      <c r="Y34" s="3353"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53"/>
      <c r="Q35" s="1578">
        <f t="shared" si="8"/>
        <v>111</v>
      </c>
      <c r="R35" s="1583" t="s">
        <v>8</v>
      </c>
      <c r="S35" s="1584">
        <f t="shared" si="10"/>
        <v>100</v>
      </c>
      <c r="T35" s="1583" t="s">
        <v>8</v>
      </c>
      <c r="U35" s="1584">
        <f t="shared" si="11"/>
        <v>100</v>
      </c>
      <c r="V35" s="1583" t="s">
        <v>8</v>
      </c>
      <c r="W35" s="1584">
        <f t="shared" si="12"/>
        <v>100</v>
      </c>
      <c r="X35" s="1585"/>
      <c r="Y35" s="3353"/>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53"/>
      <c r="Q36" s="1578" t="str">
        <f>B36</f>
        <v>宗地面积</v>
      </c>
      <c r="R36" s="1579" t="s">
        <v>8</v>
      </c>
      <c r="S36" s="1580" t="e">
        <f t="shared" si="10"/>
        <v>#N/A</v>
      </c>
      <c r="T36" s="1579" t="s">
        <v>8</v>
      </c>
      <c r="U36" s="1580" t="e">
        <f t="shared" si="11"/>
        <v>#N/A</v>
      </c>
      <c r="V36" s="1579" t="s">
        <v>8</v>
      </c>
      <c r="W36" s="1580" t="e">
        <f t="shared" si="12"/>
        <v>#N/A</v>
      </c>
      <c r="X36" s="1573"/>
      <c r="Y36" s="3353"/>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53"/>
      <c r="Q37" s="1578" t="str">
        <f t="shared" ref="Q37:Q42" si="14">B37</f>
        <v>宗地形状</v>
      </c>
      <c r="R37" s="1579" t="s">
        <v>8</v>
      </c>
      <c r="S37" s="1580">
        <f t="shared" si="10"/>
        <v>100</v>
      </c>
      <c r="T37" s="1579" t="s">
        <v>8</v>
      </c>
      <c r="U37" s="1580">
        <f t="shared" si="11"/>
        <v>100</v>
      </c>
      <c r="V37" s="1579" t="s">
        <v>8</v>
      </c>
      <c r="W37" s="1580">
        <f t="shared" si="12"/>
        <v>100</v>
      </c>
      <c r="X37" s="1573"/>
      <c r="Y37" s="3353"/>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53"/>
      <c r="Q38" s="1578" t="str">
        <f t="shared" si="14"/>
        <v>宗地开发程度</v>
      </c>
      <c r="R38" s="1574" t="s">
        <v>8</v>
      </c>
      <c r="S38" s="1575">
        <f t="shared" si="10"/>
        <v>100</v>
      </c>
      <c r="T38" s="1574" t="s">
        <v>8</v>
      </c>
      <c r="U38" s="1575">
        <f t="shared" si="11"/>
        <v>100</v>
      </c>
      <c r="V38" s="1574" t="s">
        <v>8</v>
      </c>
      <c r="W38" s="1575">
        <f t="shared" si="12"/>
        <v>100</v>
      </c>
      <c r="X38" s="1576"/>
      <c r="Y38" s="3353"/>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3" t="s">
        <v>602</v>
      </c>
      <c r="Q39" s="1578" t="str">
        <f t="shared" si="14"/>
        <v>工程地质条件</v>
      </c>
      <c r="R39" s="1579" t="s">
        <v>8</v>
      </c>
      <c r="S39" s="1580">
        <f t="shared" si="10"/>
        <v>100</v>
      </c>
      <c r="T39" s="1579" t="s">
        <v>8</v>
      </c>
      <c r="U39" s="1580">
        <f t="shared" si="11"/>
        <v>100</v>
      </c>
      <c r="V39" s="1579" t="s">
        <v>8</v>
      </c>
      <c r="W39" s="1580">
        <f t="shared" si="12"/>
        <v>100</v>
      </c>
      <c r="X39" s="1573"/>
      <c r="Y39" s="3353"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53"/>
      <c r="Q40" s="1578">
        <f t="shared" si="14"/>
        <v>111</v>
      </c>
      <c r="R40" s="1579" t="s">
        <v>8</v>
      </c>
      <c r="S40" s="1580">
        <f t="shared" si="10"/>
        <v>100</v>
      </c>
      <c r="T40" s="1579" t="s">
        <v>8</v>
      </c>
      <c r="U40" s="1580">
        <f t="shared" si="11"/>
        <v>100</v>
      </c>
      <c r="V40" s="1579" t="s">
        <v>8</v>
      </c>
      <c r="W40" s="1580">
        <f t="shared" si="12"/>
        <v>100</v>
      </c>
      <c r="X40" s="1573"/>
      <c r="Y40" s="3353"/>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53"/>
      <c r="Q41" s="1578">
        <f t="shared" si="14"/>
        <v>111</v>
      </c>
      <c r="R41" s="1579" t="s">
        <v>8</v>
      </c>
      <c r="S41" s="1580">
        <f t="shared" si="10"/>
        <v>100</v>
      </c>
      <c r="T41" s="1579" t="s">
        <v>8</v>
      </c>
      <c r="U41" s="1580">
        <f t="shared" si="11"/>
        <v>100</v>
      </c>
      <c r="V41" s="1579" t="s">
        <v>8</v>
      </c>
      <c r="W41" s="1580">
        <f t="shared" si="12"/>
        <v>100</v>
      </c>
      <c r="X41" s="1573"/>
      <c r="Y41" s="3353"/>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53"/>
      <c r="Q42" s="1578">
        <f t="shared" si="14"/>
        <v>111</v>
      </c>
      <c r="R42" s="1583" t="s">
        <v>8</v>
      </c>
      <c r="S42" s="1584">
        <f t="shared" si="10"/>
        <v>100</v>
      </c>
      <c r="T42" s="1583" t="s">
        <v>8</v>
      </c>
      <c r="U42" s="1584">
        <f t="shared" si="11"/>
        <v>100</v>
      </c>
      <c r="V42" s="1583" t="s">
        <v>8</v>
      </c>
      <c r="W42" s="1584">
        <f t="shared" si="12"/>
        <v>100</v>
      </c>
      <c r="X42" s="1585"/>
      <c r="Y42" s="3353"/>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316" t="str">
        <f>A43</f>
        <v>成交单价</v>
      </c>
      <c r="Q43" s="3316"/>
      <c r="R43" s="3317">
        <f>E43</f>
        <v>0</v>
      </c>
      <c r="S43" s="3317"/>
      <c r="T43" s="3317">
        <f>G43</f>
        <v>0</v>
      </c>
      <c r="U43" s="3317"/>
      <c r="V43" s="3317">
        <f>I43</f>
        <v>0</v>
      </c>
      <c r="W43" s="3317"/>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16" t="str">
        <f>A44</f>
        <v>比较价格（元/平方米）</v>
      </c>
      <c r="Q44" s="3316"/>
      <c r="R44" s="3318" t="e">
        <f>ROUND(PRODUCT(R43,AA9:AA42),0)</f>
        <v>#DIV/0!</v>
      </c>
      <c r="S44" s="3318"/>
      <c r="T44" s="3318" t="e">
        <f>ROUND(PRODUCT(T43,AB9:AB42),0)</f>
        <v>#DIV/0!</v>
      </c>
      <c r="U44" s="3318"/>
      <c r="V44" s="3318" t="e">
        <f>ROUND(PRODUCT(V43,AC9:AC42),0)</f>
        <v>#DIV/0!</v>
      </c>
      <c r="W44" s="3318"/>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313" t="str">
        <f>A45</f>
        <v>估价对象XX用房的比较价格（楼面单价，元/平方米）</v>
      </c>
      <c r="Q45" s="3314"/>
      <c r="R45" s="3315" t="e">
        <f>ROUND(AVERAGE(R44:V44),0)</f>
        <v>#DIV/0!</v>
      </c>
      <c r="S45" s="3315"/>
      <c r="T45" s="3315"/>
      <c r="U45" s="3315"/>
      <c r="V45" s="3315"/>
      <c r="W45" s="3315"/>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60" t="s">
        <v>2295</v>
      </c>
      <c r="H52" s="3361"/>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99836.688000000009</v>
      </c>
      <c r="F53" s="1957" t="e">
        <f t="shared" ref="F53:F62" si="15">ROUND(B53*E53/10000,0)</f>
        <v>#DIV/0!</v>
      </c>
      <c r="G53" s="3362"/>
      <c r="H53" s="3363"/>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64"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64"/>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64"/>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64"/>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41598.620000000003</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2.4</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4"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2.4</v>
      </c>
      <c r="AA7" s="2203"/>
      <c r="AB7" s="2203"/>
      <c r="AC7" s="2204"/>
      <c r="AD7" s="2969"/>
      <c r="AE7" s="2969"/>
      <c r="AF7" s="2969"/>
      <c r="AG7" s="2969"/>
      <c r="AH7" s="2969"/>
      <c r="AI7" s="2969"/>
      <c r="AJ7" s="2970"/>
    </row>
    <row r="8" spans="1:39" ht="15">
      <c r="A8" s="3375"/>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66" t="s">
        <v>2801</v>
      </c>
      <c r="X8" s="3367"/>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75"/>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65" t="s">
        <v>2797</v>
      </c>
      <c r="X9" s="2971" t="s">
        <v>2798</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5"/>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65"/>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5"/>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65" t="s">
        <v>2799</v>
      </c>
      <c r="X11" s="1051" t="s">
        <v>2784</v>
      </c>
      <c r="Y11" s="1659">
        <f>$G$3</f>
        <v>2.4</v>
      </c>
      <c r="Z11" s="1659">
        <f t="shared" ref="Z11:AJ11" si="3">$G$3</f>
        <v>2.4</v>
      </c>
      <c r="AA11" s="1659">
        <f t="shared" si="3"/>
        <v>2.4</v>
      </c>
      <c r="AB11" s="1659">
        <f t="shared" si="3"/>
        <v>2.4</v>
      </c>
      <c r="AC11" s="1659">
        <f t="shared" si="3"/>
        <v>2.4</v>
      </c>
      <c r="AD11" s="1659">
        <f t="shared" si="3"/>
        <v>2.4</v>
      </c>
      <c r="AE11" s="1659">
        <f t="shared" si="3"/>
        <v>2.4</v>
      </c>
      <c r="AF11" s="1659">
        <f t="shared" si="3"/>
        <v>2.4</v>
      </c>
      <c r="AG11" s="1659">
        <f t="shared" si="3"/>
        <v>2.4</v>
      </c>
      <c r="AH11" s="1659">
        <f t="shared" si="3"/>
        <v>2.4</v>
      </c>
      <c r="AI11" s="1659">
        <f t="shared" si="3"/>
        <v>2.4</v>
      </c>
      <c r="AJ11" s="1659">
        <f t="shared" si="3"/>
        <v>2.4</v>
      </c>
    </row>
    <row r="12" spans="1:39" ht="25.5" thickBot="1">
      <c r="A12" s="3374"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65"/>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6"/>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65"/>
      <c r="X13" s="2974"/>
      <c r="Y13" s="2973">
        <f>(-0.163*(Y12^2)-0.59*Y12+7617)*(10^(-4))/Y11</f>
        <v>0.31737500000000002</v>
      </c>
      <c r="Z13" s="2973">
        <f t="shared" ref="Z13:AJ13" si="5">(-0.163*(Z12^2)-0.59*Z12+7617)*(10^(-4))/Z11</f>
        <v>0.31737500000000002</v>
      </c>
      <c r="AA13" s="2973">
        <f t="shared" si="5"/>
        <v>0.31737500000000002</v>
      </c>
      <c r="AB13" s="2973">
        <f t="shared" si="5"/>
        <v>0.31737500000000002</v>
      </c>
      <c r="AC13" s="2973">
        <f t="shared" si="5"/>
        <v>0.31737500000000002</v>
      </c>
      <c r="AD13" s="2973">
        <f t="shared" si="5"/>
        <v>0.31737500000000002</v>
      </c>
      <c r="AE13" s="2973">
        <f t="shared" si="5"/>
        <v>0.31737500000000002</v>
      </c>
      <c r="AF13" s="2973">
        <f t="shared" si="5"/>
        <v>0.31737500000000002</v>
      </c>
      <c r="AG13" s="2973">
        <f t="shared" si="5"/>
        <v>0.31737500000000002</v>
      </c>
      <c r="AH13" s="2973">
        <f t="shared" si="5"/>
        <v>0.31737500000000002</v>
      </c>
      <c r="AI13" s="2973">
        <f t="shared" si="5"/>
        <v>0.31737500000000002</v>
      </c>
      <c r="AJ13" s="2973">
        <f t="shared" si="5"/>
        <v>0.31737500000000002</v>
      </c>
    </row>
    <row r="14" spans="1:39" ht="12.75" customHeight="1" thickBot="1">
      <c r="A14" s="3376"/>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7"/>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4"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5"/>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42920</v>
      </c>
      <c r="H19" s="1481" t="s">
        <v>2957</v>
      </c>
      <c r="I19" s="2824" t="str">
        <f>IF(H19="季度增幅（自定义）",SUMIF(N21:N24,E2,O21:O24),"")</f>
        <v/>
      </c>
      <c r="J19" s="1477"/>
      <c r="K19" s="1487"/>
      <c r="L19" s="3080" t="s">
        <v>2859</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6">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2860</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2959</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2958</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2960</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2958</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2958</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2958</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8" t="s">
        <v>1637</v>
      </c>
      <c r="B90" s="3378"/>
      <c r="C90" s="3378"/>
      <c r="D90" s="3378"/>
      <c r="E90" s="3378"/>
      <c r="F90" s="3378"/>
      <c r="G90" s="3378"/>
      <c r="H90" s="3378"/>
      <c r="I90" s="3378"/>
      <c r="J90" s="3378"/>
      <c r="K90" s="2486"/>
      <c r="L90" s="2486"/>
      <c r="M90" s="2486"/>
      <c r="N90" s="2486"/>
    </row>
    <row r="91" spans="1:40">
      <c r="A91" s="3379" t="s">
        <v>1447</v>
      </c>
      <c r="B91" s="3379" t="s">
        <v>1638</v>
      </c>
      <c r="C91" s="1143" t="s">
        <v>1639</v>
      </c>
      <c r="D91" s="1144"/>
      <c r="E91" s="1144"/>
      <c r="F91" s="1144"/>
      <c r="G91" s="1144"/>
      <c r="H91" s="1144"/>
      <c r="I91" s="1144"/>
      <c r="J91" s="1145"/>
      <c r="K91" s="1137"/>
      <c r="L91" s="1137"/>
      <c r="M91" s="1137"/>
      <c r="N91" s="1137"/>
    </row>
    <row r="92" spans="1:40">
      <c r="A92" s="3379"/>
      <c r="B92" s="3379"/>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68"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6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6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6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6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6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69"/>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68" t="s">
        <v>1641</v>
      </c>
      <c r="B101" s="1150" t="s">
        <v>909</v>
      </c>
      <c r="C101" s="1151">
        <f>$G$3</f>
        <v>2.4</v>
      </c>
      <c r="D101" s="1151">
        <f t="shared" ref="D101:N101" si="31">$G$3</f>
        <v>2.4</v>
      </c>
      <c r="E101" s="1151">
        <f t="shared" si="31"/>
        <v>2.4</v>
      </c>
      <c r="F101" s="1151">
        <f t="shared" si="31"/>
        <v>2.4</v>
      </c>
      <c r="G101" s="1151">
        <f t="shared" si="31"/>
        <v>2.4</v>
      </c>
      <c r="H101" s="1151">
        <f t="shared" si="31"/>
        <v>2.4</v>
      </c>
      <c r="I101" s="1151">
        <f t="shared" si="31"/>
        <v>2.4</v>
      </c>
      <c r="J101" s="1151">
        <f t="shared" si="31"/>
        <v>2.4</v>
      </c>
      <c r="K101" s="1151">
        <f t="shared" si="31"/>
        <v>2.4</v>
      </c>
      <c r="L101" s="1151">
        <f t="shared" si="31"/>
        <v>2.4</v>
      </c>
      <c r="M101" s="1151">
        <f t="shared" si="31"/>
        <v>2.4</v>
      </c>
      <c r="N101" s="1151">
        <f t="shared" si="31"/>
        <v>2.4</v>
      </c>
    </row>
    <row r="102" spans="1:14">
      <c r="A102" s="3369"/>
      <c r="B102" s="1146">
        <v>1</v>
      </c>
      <c r="C102" s="1147">
        <f>1.9362/C101</f>
        <v>0.80674999999999997</v>
      </c>
      <c r="D102" s="1147">
        <f>1.9362/D101</f>
        <v>0.80674999999999997</v>
      </c>
      <c r="E102" s="1147">
        <f>1.8629/E101</f>
        <v>0.77620833333333339</v>
      </c>
      <c r="F102" s="1147">
        <f>1.8629/F101</f>
        <v>0.77620833333333339</v>
      </c>
      <c r="G102" s="1147">
        <f>1.8629/G101</f>
        <v>0.77620833333333339</v>
      </c>
      <c r="H102" s="1147">
        <f>1.8629/H101</f>
        <v>0.77620833333333339</v>
      </c>
      <c r="I102" s="1147">
        <f>1.8629/I101</f>
        <v>0.77620833333333339</v>
      </c>
      <c r="J102" s="1147">
        <f>1.942/J101</f>
        <v>0.8091666666666667</v>
      </c>
      <c r="K102" s="1147">
        <f>1.942/K101</f>
        <v>0.8091666666666667</v>
      </c>
      <c r="L102" s="1147">
        <f>1.942/L101</f>
        <v>0.8091666666666667</v>
      </c>
      <c r="M102" s="1147">
        <f>1.942/M101</f>
        <v>0.8091666666666667</v>
      </c>
      <c r="N102" s="1147">
        <f>1.942/N101</f>
        <v>0.8091666666666667</v>
      </c>
    </row>
    <row r="103" spans="1:14">
      <c r="A103" s="3369"/>
      <c r="B103" s="1146">
        <v>2</v>
      </c>
      <c r="C103" s="1147">
        <f>1.4198/C101</f>
        <v>0.59158333333333335</v>
      </c>
      <c r="D103" s="1147">
        <f>1.4198/D101</f>
        <v>0.59158333333333335</v>
      </c>
      <c r="E103" s="1147">
        <f>1.3372/E101</f>
        <v>0.5571666666666667</v>
      </c>
      <c r="F103" s="1147">
        <f>1.3372/F101</f>
        <v>0.5571666666666667</v>
      </c>
      <c r="G103" s="1147">
        <f>1.3372/G101</f>
        <v>0.5571666666666667</v>
      </c>
      <c r="H103" s="1147">
        <f>1.3372/H101</f>
        <v>0.5571666666666667</v>
      </c>
      <c r="I103" s="1147">
        <f>1.3372/I101</f>
        <v>0.5571666666666667</v>
      </c>
      <c r="J103" s="1147">
        <f>1.2799/J101</f>
        <v>0.53329166666666672</v>
      </c>
      <c r="K103" s="1147">
        <f>1.2799/K101</f>
        <v>0.53329166666666672</v>
      </c>
      <c r="L103" s="1147">
        <f>1.2799/L101</f>
        <v>0.53329166666666672</v>
      </c>
      <c r="M103" s="1147">
        <f>1.2799/M101</f>
        <v>0.53329166666666672</v>
      </c>
      <c r="N103" s="1147">
        <f>1.2799/N101</f>
        <v>0.53329166666666672</v>
      </c>
    </row>
    <row r="104" spans="1:14">
      <c r="A104" s="3369"/>
      <c r="B104" s="1146">
        <v>3</v>
      </c>
      <c r="C104" s="1147">
        <f>1.1594/C101</f>
        <v>0.48308333333333336</v>
      </c>
      <c r="D104" s="1147">
        <f>1.1594/D101</f>
        <v>0.48308333333333336</v>
      </c>
      <c r="E104" s="1147">
        <f>1.0788/E101</f>
        <v>0.44950000000000001</v>
      </c>
      <c r="F104" s="1147">
        <f>1.0788/F101</f>
        <v>0.44950000000000001</v>
      </c>
      <c r="G104" s="1147">
        <f>1.0788/G101</f>
        <v>0.44950000000000001</v>
      </c>
      <c r="H104" s="1147">
        <f>1.0788/H101</f>
        <v>0.44950000000000001</v>
      </c>
      <c r="I104" s="1147">
        <f>1.0788/I101</f>
        <v>0.44950000000000001</v>
      </c>
      <c r="J104" s="1147">
        <f>1.0072/J101</f>
        <v>0.41966666666666674</v>
      </c>
      <c r="K104" s="1147">
        <f>1.0072/K101</f>
        <v>0.41966666666666674</v>
      </c>
      <c r="L104" s="1147">
        <f>1.0072/L101</f>
        <v>0.41966666666666674</v>
      </c>
      <c r="M104" s="1147">
        <f>1.0072/M101</f>
        <v>0.41966666666666674</v>
      </c>
      <c r="N104" s="1147">
        <f>1.0072/N101</f>
        <v>0.41966666666666674</v>
      </c>
    </row>
    <row r="105" spans="1:14">
      <c r="A105" s="3369"/>
      <c r="B105" s="1146">
        <v>4</v>
      </c>
      <c r="C105" s="1147">
        <f>0.9622/C101</f>
        <v>0.4009166666666667</v>
      </c>
      <c r="D105" s="1147">
        <f>0.9622/D101</f>
        <v>0.4009166666666667</v>
      </c>
      <c r="E105" s="1147">
        <f>0.8656/E101</f>
        <v>0.36066666666666669</v>
      </c>
      <c r="F105" s="1147">
        <f>0.8656/F101</f>
        <v>0.36066666666666669</v>
      </c>
      <c r="G105" s="1147">
        <f>0.8656/G101</f>
        <v>0.36066666666666669</v>
      </c>
      <c r="H105" s="1147">
        <f>0.8656/H101</f>
        <v>0.36066666666666669</v>
      </c>
      <c r="I105" s="1147">
        <f>0.8656/I101</f>
        <v>0.36066666666666669</v>
      </c>
      <c r="J105" s="1147">
        <f>0.7525/J101</f>
        <v>0.31354166666666666</v>
      </c>
      <c r="K105" s="1147">
        <f>0.7525/K101</f>
        <v>0.31354166666666666</v>
      </c>
      <c r="L105" s="1147">
        <f>0.7525/L101</f>
        <v>0.31354166666666666</v>
      </c>
      <c r="M105" s="1147">
        <f>0.7525/M101</f>
        <v>0.31354166666666666</v>
      </c>
      <c r="N105" s="1147">
        <f>0.7525/N101</f>
        <v>0.31354166666666666</v>
      </c>
    </row>
    <row r="106" spans="1:14">
      <c r="A106" s="3369"/>
      <c r="B106" s="1146">
        <v>5</v>
      </c>
      <c r="C106" s="1147">
        <f>0.8417/C101</f>
        <v>0.35070833333333334</v>
      </c>
      <c r="D106" s="1147">
        <f>0.8417/D101</f>
        <v>0.35070833333333334</v>
      </c>
      <c r="E106" s="1147">
        <f>0.7371/E101</f>
        <v>0.30712499999999998</v>
      </c>
      <c r="F106" s="1147">
        <f>0.7371/F101</f>
        <v>0.30712499999999998</v>
      </c>
      <c r="G106" s="1147">
        <f>0.7371/G101</f>
        <v>0.30712499999999998</v>
      </c>
      <c r="H106" s="1147">
        <f>0.7371/H101</f>
        <v>0.30712499999999998</v>
      </c>
      <c r="I106" s="1147">
        <f>0.7371/I101</f>
        <v>0.30712499999999998</v>
      </c>
      <c r="J106" s="1147">
        <f>0.5659/J101</f>
        <v>0.23579166666666665</v>
      </c>
      <c r="K106" s="1147">
        <f>0.5659/K101</f>
        <v>0.23579166666666665</v>
      </c>
      <c r="L106" s="1147">
        <f>0.5659/L101</f>
        <v>0.23579166666666665</v>
      </c>
      <c r="M106" s="1147">
        <f>0.5659/M101</f>
        <v>0.23579166666666665</v>
      </c>
      <c r="N106" s="1147">
        <f>0.5659/N101</f>
        <v>0.23579166666666665</v>
      </c>
    </row>
    <row r="107" spans="1:14">
      <c r="A107" s="3369"/>
      <c r="B107" s="1146">
        <v>6</v>
      </c>
      <c r="C107" s="1147">
        <f>0.7608/C101</f>
        <v>0.317</v>
      </c>
      <c r="D107" s="1147">
        <f>0.7608/D101</f>
        <v>0.317</v>
      </c>
      <c r="E107" s="1147">
        <f>0.6482/E101</f>
        <v>0.27008333333333334</v>
      </c>
      <c r="F107" s="1147">
        <f>0.6482/F101</f>
        <v>0.27008333333333334</v>
      </c>
      <c r="G107" s="1147">
        <f>0.6482/G101</f>
        <v>0.27008333333333334</v>
      </c>
      <c r="H107" s="1147">
        <f>0.6482/H101</f>
        <v>0.27008333333333334</v>
      </c>
      <c r="I107" s="1147">
        <f>0.6482/I101</f>
        <v>0.27008333333333334</v>
      </c>
      <c r="J107" s="1147">
        <f>0.4525/J101</f>
        <v>0.18854166666666669</v>
      </c>
      <c r="K107" s="1147">
        <f>0.4525/K101</f>
        <v>0.18854166666666669</v>
      </c>
      <c r="L107" s="1147">
        <f>0.4525/L101</f>
        <v>0.18854166666666669</v>
      </c>
      <c r="M107" s="1147">
        <f>0.4525/M101</f>
        <v>0.18854166666666669</v>
      </c>
      <c r="N107" s="1147">
        <f>0.4525/N101</f>
        <v>0.18854166666666669</v>
      </c>
    </row>
    <row r="108" spans="1:14">
      <c r="A108" s="3369"/>
      <c r="B108" s="3371"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0"/>
      <c r="B109" s="3372"/>
      <c r="C109" s="1149">
        <f>(-0.163*(C108^2)-0.59*C108+7617)*(10^(-4))/C101</f>
        <v>0.3167436666666667</v>
      </c>
      <c r="D109" s="1149">
        <f>(-0.163*(D108^2)-0.59*D108+7617)*(10^(-4))/D101</f>
        <v>0.3167436666666667</v>
      </c>
      <c r="E109" s="1149">
        <f>(-0.161*(E108^2)-7.509*E108+6533)*(10^(-4))/E101</f>
        <v>0.26927600000000002</v>
      </c>
      <c r="F109" s="1149">
        <f>(-0.161*(F108^2)-7.509*F108+6533)*(10^(-4))/F101</f>
        <v>0.26927600000000002</v>
      </c>
      <c r="G109" s="1149">
        <f>(-0.161*(G108^2)-7.509*G108+6533)*(10^(-4))/G101</f>
        <v>0.26927600000000002</v>
      </c>
      <c r="H109" s="1149">
        <f>(-0.161*(H108^2)-7.509*H108+6533)*(10^(-4))/H101</f>
        <v>0.26927600000000002</v>
      </c>
      <c r="I109" s="1149">
        <f>(-0.161*(I108^2)-7.509*I108+6533)*(10^(-4))/I101</f>
        <v>0.26927600000000002</v>
      </c>
      <c r="J109" s="1149">
        <f>(-0.214*(J108^2)-21.991*J108+4665)*(10^(-4))/J101</f>
        <v>0.18647400000000003</v>
      </c>
      <c r="K109" s="1149">
        <f>(-0.214*(K108^2)-21.991*K108+4665)*(10^(-4))/K101</f>
        <v>0.18647400000000003</v>
      </c>
      <c r="L109" s="1149">
        <f>(-0.214*(L108^2)-21.991*L108+4665)*(10^(-4))/L101</f>
        <v>0.18647400000000003</v>
      </c>
      <c r="M109" s="1149">
        <f>(-0.214*(M108^2)-21.991*M108+4665)*(10^(-4))/M101</f>
        <v>0.18647400000000003</v>
      </c>
      <c r="N109" s="1149">
        <f>(-0.214*(N108^2)-21.991*N108+4665)*(10^(-4))/N101</f>
        <v>0.18647400000000003</v>
      </c>
    </row>
    <row r="110" spans="1:14">
      <c r="A110" s="3373" t="s">
        <v>1643</v>
      </c>
      <c r="B110" s="3373"/>
      <c r="C110" s="3373"/>
      <c r="D110" s="3373"/>
      <c r="E110" s="3373"/>
      <c r="F110" s="3373"/>
      <c r="G110" s="3373"/>
      <c r="H110" s="3373"/>
      <c r="I110" s="3373"/>
      <c r="J110" s="3373"/>
      <c r="K110" s="2484"/>
      <c r="L110" s="2484"/>
      <c r="M110" s="2484"/>
      <c r="N110" s="2484"/>
    </row>
    <row r="112" spans="1:14" ht="12.75" thickBot="1"/>
    <row r="113" spans="1:13" ht="25.5" thickBot="1">
      <c r="A113" s="1019" t="s">
        <v>899</v>
      </c>
      <c r="B113" s="2487">
        <f>G3</f>
        <v>2.4</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0.91090000000000004</v>
      </c>
      <c r="C115" s="1033">
        <f>B115</f>
        <v>0.91090000000000004</v>
      </c>
      <c r="D115" s="1033">
        <f>ROUND(0.8331-0.0109*B113,4)</f>
        <v>0.80689999999999995</v>
      </c>
      <c r="E115" s="1033">
        <f>D115</f>
        <v>0.80689999999999995</v>
      </c>
      <c r="F115" s="1033">
        <f>E115</f>
        <v>0.80689999999999995</v>
      </c>
      <c r="G115" s="1033">
        <f>F115</f>
        <v>0.80689999999999995</v>
      </c>
      <c r="H115" s="1033">
        <f>G115</f>
        <v>0.80689999999999995</v>
      </c>
      <c r="I115" s="1033">
        <f>ROUND(0.689-0.0155*B113,4)</f>
        <v>0.65180000000000005</v>
      </c>
      <c r="J115" s="1033">
        <f t="shared" ref="J115:M118" si="33">I115</f>
        <v>0.65180000000000005</v>
      </c>
      <c r="K115" s="1033">
        <f t="shared" si="33"/>
        <v>0.65180000000000005</v>
      </c>
      <c r="L115" s="1033">
        <f t="shared" si="33"/>
        <v>0.65180000000000005</v>
      </c>
      <c r="M115" s="1034">
        <f t="shared" si="33"/>
        <v>0.65180000000000005</v>
      </c>
    </row>
    <row r="116" spans="1:13" ht="12.75">
      <c r="A116" s="1032" t="s">
        <v>904</v>
      </c>
      <c r="B116" s="1033">
        <f>ROUND(0.949-0.012*B113,4)</f>
        <v>0.92020000000000002</v>
      </c>
      <c r="C116" s="1033">
        <f>B116</f>
        <v>0.92020000000000002</v>
      </c>
      <c r="D116" s="1033">
        <f>ROUND(0.8567-0.013*B113,4)</f>
        <v>0.82550000000000001</v>
      </c>
      <c r="E116" s="1033">
        <f t="shared" ref="E116:H117" si="34">D116</f>
        <v>0.82550000000000001</v>
      </c>
      <c r="F116" s="1033">
        <f t="shared" si="34"/>
        <v>0.82550000000000001</v>
      </c>
      <c r="G116" s="1033">
        <f t="shared" si="34"/>
        <v>0.82550000000000001</v>
      </c>
      <c r="H116" s="1033">
        <f t="shared" si="34"/>
        <v>0.82550000000000001</v>
      </c>
      <c r="I116" s="1033">
        <f>ROUND(0.7694-0.014*B113,4)</f>
        <v>0.73580000000000001</v>
      </c>
      <c r="J116" s="1033">
        <f t="shared" si="33"/>
        <v>0.73580000000000001</v>
      </c>
      <c r="K116" s="1033">
        <f t="shared" si="33"/>
        <v>0.73580000000000001</v>
      </c>
      <c r="L116" s="1033">
        <f t="shared" si="33"/>
        <v>0.73580000000000001</v>
      </c>
      <c r="M116" s="1034">
        <f t="shared" si="33"/>
        <v>0.73580000000000001</v>
      </c>
    </row>
    <row r="117" spans="1:13" ht="12.75">
      <c r="A117" s="1035" t="s">
        <v>905</v>
      </c>
      <c r="B117" s="1033">
        <f>ROUND(0.8808-0.006*B113,4)</f>
        <v>0.86639999999999995</v>
      </c>
      <c r="C117" s="1033">
        <f>B117</f>
        <v>0.86639999999999995</v>
      </c>
      <c r="D117" s="1033">
        <f>ROUND(0.8748-0.008*B113,4)</f>
        <v>0.85560000000000003</v>
      </c>
      <c r="E117" s="1033">
        <f t="shared" si="34"/>
        <v>0.85560000000000003</v>
      </c>
      <c r="F117" s="1033">
        <f t="shared" si="34"/>
        <v>0.85560000000000003</v>
      </c>
      <c r="G117" s="1033">
        <f t="shared" si="34"/>
        <v>0.85560000000000003</v>
      </c>
      <c r="H117" s="1033">
        <f t="shared" si="34"/>
        <v>0.85560000000000003</v>
      </c>
      <c r="I117" s="1033">
        <f>ROUND(0.7412-0.0095*B113,4)</f>
        <v>0.71840000000000004</v>
      </c>
      <c r="J117" s="1033">
        <f t="shared" si="33"/>
        <v>0.71840000000000004</v>
      </c>
      <c r="K117" s="1033">
        <f t="shared" si="33"/>
        <v>0.71840000000000004</v>
      </c>
      <c r="L117" s="1033">
        <f t="shared" si="33"/>
        <v>0.71840000000000004</v>
      </c>
      <c r="M117" s="1034">
        <f t="shared" si="33"/>
        <v>0.71840000000000004</v>
      </c>
    </row>
    <row r="118" spans="1:13" ht="13.5" thickBot="1">
      <c r="A118" s="1036" t="s">
        <v>906</v>
      </c>
      <c r="B118" s="1037">
        <f>ROUND(0.7275-0.01*B113,4)</f>
        <v>0.70350000000000001</v>
      </c>
      <c r="C118" s="1037">
        <f>B118</f>
        <v>0.70350000000000001</v>
      </c>
      <c r="D118" s="1037">
        <f>ROUND(0.7043-0.012*B113,4)</f>
        <v>0.67549999999999999</v>
      </c>
      <c r="E118" s="1037">
        <f>D118</f>
        <v>0.67549999999999999</v>
      </c>
      <c r="F118" s="1037">
        <f>E118</f>
        <v>0.67549999999999999</v>
      </c>
      <c r="G118" s="1037">
        <f>ROUND(0.6299-0.0122*B113,4)</f>
        <v>0.60060000000000002</v>
      </c>
      <c r="H118" s="1037">
        <f>G118</f>
        <v>0.60060000000000002</v>
      </c>
      <c r="I118" s="1037">
        <f>ROUND(0.5667-0.0136*B113,4)</f>
        <v>0.53410000000000002</v>
      </c>
      <c r="J118" s="1037">
        <f t="shared" si="33"/>
        <v>0.53410000000000002</v>
      </c>
      <c r="K118" s="1037">
        <f t="shared" si="33"/>
        <v>0.53410000000000002</v>
      </c>
      <c r="L118" s="1037">
        <f t="shared" si="33"/>
        <v>0.53410000000000002</v>
      </c>
      <c r="M118" s="1038">
        <f t="shared" si="33"/>
        <v>0.53410000000000002</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9" t="s">
        <v>1011</v>
      </c>
      <c r="B18" s="1157" t="s">
        <v>1450</v>
      </c>
      <c r="C18" s="1134" t="s">
        <v>1451</v>
      </c>
      <c r="D18" s="1135"/>
      <c r="E18" s="1157">
        <v>1</v>
      </c>
      <c r="F18" s="1136" t="s">
        <v>1452</v>
      </c>
      <c r="G18" s="1137"/>
      <c r="H18" s="1108"/>
      <c r="I18" s="1108"/>
    </row>
    <row r="19" spans="1:9" s="1605" customFormat="1" ht="19.5" customHeight="1">
      <c r="A19" s="3379"/>
      <c r="B19" s="3379" t="s">
        <v>1453</v>
      </c>
      <c r="C19" s="1134" t="s">
        <v>1454</v>
      </c>
      <c r="D19" s="1135"/>
      <c r="E19" s="1157">
        <v>0.9</v>
      </c>
      <c r="F19" s="1136" t="s">
        <v>1455</v>
      </c>
      <c r="G19" s="1137"/>
      <c r="H19" s="1108"/>
      <c r="I19" s="1108"/>
    </row>
    <row r="20" spans="1:9" s="1605" customFormat="1" ht="19.5" customHeight="1">
      <c r="A20" s="3379"/>
      <c r="B20" s="3379"/>
      <c r="C20" s="1134" t="s">
        <v>1456</v>
      </c>
      <c r="D20" s="1135"/>
      <c r="E20" s="1157">
        <v>1.1000000000000001</v>
      </c>
      <c r="F20" s="1136" t="s">
        <v>1457</v>
      </c>
      <c r="G20" s="1137"/>
      <c r="H20" s="1108"/>
      <c r="I20" s="1108"/>
    </row>
    <row r="21" spans="1:9" s="1605" customFormat="1" ht="19.5" customHeight="1">
      <c r="A21" s="3379"/>
      <c r="B21" s="3379"/>
      <c r="C21" s="1134" t="s">
        <v>1458</v>
      </c>
      <c r="D21" s="1135"/>
      <c r="E21" s="1157">
        <v>0.8</v>
      </c>
      <c r="F21" s="1136" t="s">
        <v>1459</v>
      </c>
      <c r="G21" s="1137"/>
      <c r="H21" s="1108"/>
      <c r="I21" s="1108"/>
    </row>
    <row r="22" spans="1:9" s="1605" customFormat="1" ht="19.5" customHeight="1">
      <c r="A22" s="3379"/>
      <c r="B22" s="3379"/>
      <c r="C22" s="1134" t="s">
        <v>1460</v>
      </c>
      <c r="D22" s="1135"/>
      <c r="E22" s="1157">
        <v>0.5</v>
      </c>
      <c r="F22" s="1136"/>
      <c r="G22" s="1137"/>
      <c r="H22" s="1108"/>
      <c r="I22" s="1108"/>
    </row>
    <row r="23" spans="1:9" s="1605" customFormat="1" ht="19.5" customHeight="1">
      <c r="A23" s="3379" t="s">
        <v>1033</v>
      </c>
      <c r="B23" s="1157" t="s">
        <v>1450</v>
      </c>
      <c r="C23" s="1134" t="s">
        <v>1461</v>
      </c>
      <c r="D23" s="1135"/>
      <c r="E23" s="1157">
        <v>1</v>
      </c>
      <c r="F23" s="1136" t="s">
        <v>1462</v>
      </c>
      <c r="G23" s="1137"/>
      <c r="H23" s="1108"/>
      <c r="I23" s="1108"/>
    </row>
    <row r="24" spans="1:9" s="1605" customFormat="1" ht="19.5" customHeight="1">
      <c r="A24" s="3379"/>
      <c r="B24" s="3379" t="s">
        <v>1453</v>
      </c>
      <c r="C24" s="1134" t="s">
        <v>1463</v>
      </c>
      <c r="D24" s="1135"/>
      <c r="E24" s="1157">
        <v>0.5</v>
      </c>
      <c r="F24" s="1136"/>
      <c r="G24" s="1137"/>
      <c r="H24" s="1108"/>
      <c r="I24" s="1108"/>
    </row>
    <row r="25" spans="1:9" s="1605" customFormat="1" ht="19.5" customHeight="1">
      <c r="A25" s="3379"/>
      <c r="B25" s="3379"/>
      <c r="C25" s="1134" t="s">
        <v>1464</v>
      </c>
      <c r="D25" s="1135"/>
      <c r="E25" s="1157">
        <v>1.1000000000000001</v>
      </c>
      <c r="F25" s="1136"/>
      <c r="G25" s="1137"/>
      <c r="H25" s="1108"/>
      <c r="I25" s="1108"/>
    </row>
    <row r="26" spans="1:9" s="1605" customFormat="1" ht="19.5" customHeight="1">
      <c r="A26" s="3379"/>
      <c r="B26" s="3379"/>
      <c r="C26" s="1134" t="s">
        <v>1465</v>
      </c>
      <c r="D26" s="1135"/>
      <c r="E26" s="1157">
        <v>1.1000000000000001</v>
      </c>
      <c r="F26" s="1136"/>
      <c r="G26" s="1137"/>
      <c r="H26" s="1108"/>
      <c r="I26" s="1108"/>
    </row>
    <row r="27" spans="1:9" s="1605" customFormat="1" ht="19.5" customHeight="1">
      <c r="A27" s="3379"/>
      <c r="B27" s="3379"/>
      <c r="C27" s="1134" t="s">
        <v>1466</v>
      </c>
      <c r="D27" s="1135"/>
      <c r="E27" s="1157">
        <v>0.9</v>
      </c>
      <c r="F27" s="1136" t="s">
        <v>1467</v>
      </c>
      <c r="G27" s="1137"/>
      <c r="H27" s="1108"/>
      <c r="I27" s="1108"/>
    </row>
    <row r="28" spans="1:9" s="1605" customFormat="1" ht="19.5" customHeight="1">
      <c r="A28" s="3379"/>
      <c r="B28" s="3379"/>
      <c r="C28" s="1134" t="s">
        <v>1468</v>
      </c>
      <c r="D28" s="1135"/>
      <c r="E28" s="1157">
        <v>0.9</v>
      </c>
      <c r="F28" s="1136" t="s">
        <v>1469</v>
      </c>
      <c r="G28" s="1137"/>
      <c r="H28" s="1108"/>
      <c r="I28" s="1108"/>
    </row>
    <row r="29" spans="1:9" s="1605" customFormat="1" ht="19.5" customHeight="1">
      <c r="A29" s="3379"/>
      <c r="B29" s="3379"/>
      <c r="C29" s="1134" t="s">
        <v>1470</v>
      </c>
      <c r="D29" s="1135"/>
      <c r="E29" s="1157">
        <v>0.9</v>
      </c>
      <c r="F29" s="1136" t="s">
        <v>1471</v>
      </c>
      <c r="G29" s="1137"/>
      <c r="H29" s="1108"/>
      <c r="I29" s="1108"/>
    </row>
    <row r="30" spans="1:9" s="1605" customFormat="1" ht="19.5" customHeight="1">
      <c r="A30" s="3379"/>
      <c r="B30" s="3379"/>
      <c r="C30" s="1134" t="s">
        <v>1472</v>
      </c>
      <c r="D30" s="1135"/>
      <c r="E30" s="1157">
        <v>0.9</v>
      </c>
      <c r="F30" s="1136" t="s">
        <v>1473</v>
      </c>
      <c r="G30" s="1137"/>
      <c r="H30" s="1108"/>
      <c r="I30" s="1108"/>
    </row>
    <row r="31" spans="1:9" s="1605" customFormat="1" ht="19.5" customHeight="1">
      <c r="A31" s="3379"/>
      <c r="B31" s="3379"/>
      <c r="C31" s="1134" t="s">
        <v>1474</v>
      </c>
      <c r="D31" s="1135"/>
      <c r="E31" s="1157">
        <v>0.8</v>
      </c>
      <c r="F31" s="1136" t="s">
        <v>1475</v>
      </c>
      <c r="G31" s="1137"/>
      <c r="H31" s="1108"/>
      <c r="I31" s="1108"/>
    </row>
    <row r="32" spans="1:9" s="1605" customFormat="1" ht="19.5" customHeight="1">
      <c r="A32" s="3379"/>
      <c r="B32" s="3379"/>
      <c r="C32" s="1134" t="s">
        <v>1476</v>
      </c>
      <c r="D32" s="1135"/>
      <c r="E32" s="1157">
        <v>0.8</v>
      </c>
      <c r="F32" s="1136" t="s">
        <v>1477</v>
      </c>
      <c r="G32" s="1137"/>
      <c r="H32" s="1108"/>
      <c r="I32" s="1108"/>
    </row>
    <row r="33" spans="1:9" s="1605" customFormat="1" ht="19.5" customHeight="1">
      <c r="A33" s="3379" t="s">
        <v>1478</v>
      </c>
      <c r="B33" s="1157" t="s">
        <v>1450</v>
      </c>
      <c r="C33" s="1134" t="s">
        <v>1479</v>
      </c>
      <c r="D33" s="1135"/>
      <c r="E33" s="1157">
        <v>1</v>
      </c>
      <c r="F33" s="1136" t="s">
        <v>1480</v>
      </c>
      <c r="G33" s="1137"/>
      <c r="H33" s="1108"/>
      <c r="I33" s="1108"/>
    </row>
    <row r="34" spans="1:9" s="1605" customFormat="1" ht="19.5" customHeight="1">
      <c r="A34" s="3379"/>
      <c r="B34" s="1157" t="s">
        <v>1453</v>
      </c>
      <c r="C34" s="1134" t="s">
        <v>1481</v>
      </c>
      <c r="D34" s="1135"/>
      <c r="E34" s="1157">
        <v>1.5</v>
      </c>
      <c r="F34" s="1136" t="s">
        <v>1482</v>
      </c>
      <c r="G34" s="1137"/>
      <c r="H34" s="1108"/>
      <c r="I34" s="1108"/>
    </row>
    <row r="35" spans="1:9" s="1605" customFormat="1" ht="19.5" customHeight="1">
      <c r="A35" s="3379" t="s">
        <v>1436</v>
      </c>
      <c r="B35" s="1157" t="s">
        <v>1450</v>
      </c>
      <c r="C35" s="1134" t="s">
        <v>1483</v>
      </c>
      <c r="D35" s="1135"/>
      <c r="E35" s="1157">
        <v>1</v>
      </c>
      <c r="F35" s="1136" t="s">
        <v>1484</v>
      </c>
      <c r="G35" s="1137"/>
      <c r="H35" s="1108"/>
      <c r="I35" s="1108"/>
    </row>
    <row r="36" spans="1:9" s="1605" customFormat="1" ht="19.5" customHeight="1">
      <c r="A36" s="3379"/>
      <c r="B36" s="3379" t="s">
        <v>1453</v>
      </c>
      <c r="C36" s="1134" t="s">
        <v>1485</v>
      </c>
      <c r="D36" s="1135"/>
      <c r="E36" s="1157">
        <v>1</v>
      </c>
      <c r="F36" s="1136" t="s">
        <v>1486</v>
      </c>
      <c r="G36" s="1137"/>
      <c r="H36" s="1108"/>
      <c r="I36" s="1108"/>
    </row>
    <row r="37" spans="1:9" s="1605" customFormat="1" ht="19.5" customHeight="1">
      <c r="A37" s="3379"/>
      <c r="B37" s="3379"/>
      <c r="C37" s="1134" t="s">
        <v>1487</v>
      </c>
      <c r="D37" s="1135"/>
      <c r="E37" s="1157">
        <v>1.5</v>
      </c>
      <c r="F37" s="1136" t="s">
        <v>1488</v>
      </c>
      <c r="G37" s="1137"/>
      <c r="H37" s="1108"/>
      <c r="I37" s="1108"/>
    </row>
    <row r="38" spans="1:9" s="1605" customFormat="1" ht="19.5" customHeight="1">
      <c r="A38" s="3379"/>
      <c r="B38" s="3379"/>
      <c r="C38" s="1134" t="s">
        <v>1489</v>
      </c>
      <c r="D38" s="1135"/>
      <c r="E38" s="1157">
        <v>1</v>
      </c>
      <c r="F38" s="1136" t="s">
        <v>1490</v>
      </c>
      <c r="G38" s="1137"/>
      <c r="H38" s="1108"/>
      <c r="I38" s="1108"/>
    </row>
    <row r="39" spans="1:9" s="1605" customFormat="1" ht="19.5" customHeight="1">
      <c r="A39" s="3379"/>
      <c r="B39" s="3379"/>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9" t="s">
        <v>1505</v>
      </c>
      <c r="C61" s="1071" t="s">
        <v>1506</v>
      </c>
      <c r="D61" s="1071" t="s">
        <v>1507</v>
      </c>
      <c r="E61" s="1142">
        <v>0.5</v>
      </c>
      <c r="F61" s="1157">
        <v>80</v>
      </c>
      <c r="H61" s="1108">
        <f>SUMIF(C59:C119,基准地价!C8,E59:E119)</f>
        <v>0</v>
      </c>
    </row>
    <row r="62" spans="1:8" s="1108" customFormat="1" ht="24">
      <c r="A62" s="1157">
        <v>2</v>
      </c>
      <c r="B62" s="3379"/>
      <c r="C62" s="1071" t="s">
        <v>1508</v>
      </c>
      <c r="D62" s="1071" t="s">
        <v>1509</v>
      </c>
      <c r="E62" s="1142">
        <v>0.5</v>
      </c>
      <c r="F62" s="1157">
        <v>80</v>
      </c>
    </row>
    <row r="63" spans="1:8" s="1108" customFormat="1" ht="36">
      <c r="A63" s="1157">
        <v>3</v>
      </c>
      <c r="B63" s="3379"/>
      <c r="C63" s="1071" t="s">
        <v>1510</v>
      </c>
      <c r="D63" s="1071" t="s">
        <v>1511</v>
      </c>
      <c r="E63" s="1142">
        <v>0.5</v>
      </c>
      <c r="F63" s="1157">
        <v>80</v>
      </c>
    </row>
    <row r="64" spans="1:8" s="1108" customFormat="1" ht="36">
      <c r="A64" s="1157">
        <v>4</v>
      </c>
      <c r="B64" s="3379"/>
      <c r="C64" s="1071" t="s">
        <v>1512</v>
      </c>
      <c r="D64" s="1071" t="s">
        <v>1513</v>
      </c>
      <c r="E64" s="1142">
        <v>0.4</v>
      </c>
      <c r="F64" s="1157">
        <v>60</v>
      </c>
    </row>
    <row r="65" spans="1:6" s="1108" customFormat="1" ht="36">
      <c r="A65" s="1157">
        <v>5</v>
      </c>
      <c r="B65" s="3379"/>
      <c r="C65" s="1071" t="s">
        <v>1514</v>
      </c>
      <c r="D65" s="1071" t="s">
        <v>1515</v>
      </c>
      <c r="E65" s="1142">
        <v>0.2</v>
      </c>
      <c r="F65" s="1157">
        <v>30</v>
      </c>
    </row>
    <row r="66" spans="1:6" s="1108" customFormat="1" ht="36">
      <c r="A66" s="1157">
        <v>6</v>
      </c>
      <c r="B66" s="3379"/>
      <c r="C66" s="1071" t="s">
        <v>1516</v>
      </c>
      <c r="D66" s="1071" t="s">
        <v>1517</v>
      </c>
      <c r="E66" s="1142">
        <v>0.3</v>
      </c>
      <c r="F66" s="1157">
        <v>50</v>
      </c>
    </row>
    <row r="67" spans="1:6" s="1108" customFormat="1" ht="36">
      <c r="A67" s="1157">
        <v>7</v>
      </c>
      <c r="B67" s="3379"/>
      <c r="C67" s="1071" t="s">
        <v>1518</v>
      </c>
      <c r="D67" s="1071" t="s">
        <v>1519</v>
      </c>
      <c r="E67" s="1142">
        <v>0.2</v>
      </c>
      <c r="F67" s="1157">
        <v>30</v>
      </c>
    </row>
    <row r="68" spans="1:6" s="1108" customFormat="1" ht="36">
      <c r="A68" s="1157">
        <v>8</v>
      </c>
      <c r="B68" s="3379"/>
      <c r="C68" s="1071" t="s">
        <v>1520</v>
      </c>
      <c r="D68" s="1071" t="s">
        <v>1521</v>
      </c>
      <c r="E68" s="1142">
        <v>0.2</v>
      </c>
      <c r="F68" s="1157">
        <v>30</v>
      </c>
    </row>
    <row r="69" spans="1:6" s="1108" customFormat="1" ht="36">
      <c r="A69" s="1157">
        <v>9</v>
      </c>
      <c r="B69" s="3379"/>
      <c r="C69" s="1071" t="s">
        <v>1522</v>
      </c>
      <c r="D69" s="1071" t="s">
        <v>1523</v>
      </c>
      <c r="E69" s="1142">
        <v>0.2</v>
      </c>
      <c r="F69" s="1157">
        <v>30</v>
      </c>
    </row>
    <row r="70" spans="1:6" s="1108" customFormat="1" ht="48">
      <c r="A70" s="1157">
        <v>10</v>
      </c>
      <c r="B70" s="3379"/>
      <c r="C70" s="1071" t="s">
        <v>1524</v>
      </c>
      <c r="D70" s="1071" t="s">
        <v>1525</v>
      </c>
      <c r="E70" s="1142">
        <v>0.2</v>
      </c>
      <c r="F70" s="1157">
        <v>30</v>
      </c>
    </row>
    <row r="71" spans="1:6" s="1108" customFormat="1" ht="48">
      <c r="A71" s="1157">
        <v>11</v>
      </c>
      <c r="B71" s="3379"/>
      <c r="C71" s="1071" t="s">
        <v>1526</v>
      </c>
      <c r="D71" s="1071" t="s">
        <v>1527</v>
      </c>
      <c r="E71" s="1142">
        <v>0.2</v>
      </c>
      <c r="F71" s="1157">
        <v>30</v>
      </c>
    </row>
    <row r="72" spans="1:6" s="1108" customFormat="1" ht="36">
      <c r="A72" s="1157">
        <v>12</v>
      </c>
      <c r="B72" s="3379"/>
      <c r="C72" s="1071" t="s">
        <v>1528</v>
      </c>
      <c r="D72" s="1071" t="s">
        <v>1529</v>
      </c>
      <c r="E72" s="1142">
        <v>0.5</v>
      </c>
      <c r="F72" s="1157">
        <v>80</v>
      </c>
    </row>
    <row r="73" spans="1:6" s="1108" customFormat="1" ht="24">
      <c r="A73" s="1157">
        <v>13</v>
      </c>
      <c r="B73" s="3379"/>
      <c r="C73" s="1071" t="s">
        <v>1530</v>
      </c>
      <c r="D73" s="1071" t="s">
        <v>1531</v>
      </c>
      <c r="E73" s="1142">
        <v>0.4</v>
      </c>
      <c r="F73" s="1157">
        <v>60</v>
      </c>
    </row>
    <row r="74" spans="1:6" s="1108" customFormat="1" ht="24">
      <c r="A74" s="1157">
        <v>14</v>
      </c>
      <c r="B74" s="3379"/>
      <c r="C74" s="1071" t="s">
        <v>1532</v>
      </c>
      <c r="D74" s="1071" t="s">
        <v>1533</v>
      </c>
      <c r="E74" s="1142">
        <v>0.2</v>
      </c>
      <c r="F74" s="1157">
        <v>30</v>
      </c>
    </row>
    <row r="75" spans="1:6" s="1108" customFormat="1" ht="24">
      <c r="A75" s="1157">
        <v>15</v>
      </c>
      <c r="B75" s="3379"/>
      <c r="C75" s="1071" t="s">
        <v>1534</v>
      </c>
      <c r="D75" s="1071" t="s">
        <v>1535</v>
      </c>
      <c r="E75" s="1142">
        <v>0.2</v>
      </c>
      <c r="F75" s="1157">
        <v>30</v>
      </c>
    </row>
    <row r="76" spans="1:6" s="1108" customFormat="1" ht="24">
      <c r="A76" s="1157">
        <v>16</v>
      </c>
      <c r="B76" s="3379" t="s">
        <v>1536</v>
      </c>
      <c r="C76" s="1071" t="s">
        <v>1537</v>
      </c>
      <c r="D76" s="1071" t="s">
        <v>1538</v>
      </c>
      <c r="E76" s="1142">
        <v>0.5</v>
      </c>
      <c r="F76" s="1157">
        <v>80</v>
      </c>
    </row>
    <row r="77" spans="1:6" s="1108" customFormat="1" ht="24">
      <c r="A77" s="1157">
        <v>17</v>
      </c>
      <c r="B77" s="3379"/>
      <c r="C77" s="1071" t="s">
        <v>1539</v>
      </c>
      <c r="D77" s="1071" t="s">
        <v>1540</v>
      </c>
      <c r="E77" s="1142">
        <v>0.5</v>
      </c>
      <c r="F77" s="1157">
        <v>80</v>
      </c>
    </row>
    <row r="78" spans="1:6" s="1108" customFormat="1" ht="24">
      <c r="A78" s="1157">
        <v>18</v>
      </c>
      <c r="B78" s="3379"/>
      <c r="C78" s="1071" t="s">
        <v>1541</v>
      </c>
      <c r="D78" s="1071" t="s">
        <v>1542</v>
      </c>
      <c r="E78" s="1142">
        <v>0.2</v>
      </c>
      <c r="F78" s="1157">
        <v>30</v>
      </c>
    </row>
    <row r="79" spans="1:6" s="1108" customFormat="1" ht="24">
      <c r="A79" s="1157">
        <v>19</v>
      </c>
      <c r="B79" s="3379"/>
      <c r="C79" s="1071" t="s">
        <v>1543</v>
      </c>
      <c r="D79" s="1071" t="s">
        <v>1544</v>
      </c>
      <c r="E79" s="1142">
        <v>0.5</v>
      </c>
      <c r="F79" s="1157">
        <v>80</v>
      </c>
    </row>
    <row r="80" spans="1:6" s="1108" customFormat="1" ht="36">
      <c r="A80" s="1157">
        <v>20</v>
      </c>
      <c r="B80" s="3379"/>
      <c r="C80" s="1071" t="s">
        <v>1545</v>
      </c>
      <c r="D80" s="1071" t="s">
        <v>1546</v>
      </c>
      <c r="E80" s="1142">
        <v>0.2</v>
      </c>
      <c r="F80" s="1157">
        <v>30</v>
      </c>
    </row>
    <row r="81" spans="1:6" s="1108" customFormat="1" ht="36">
      <c r="A81" s="1157">
        <v>21</v>
      </c>
      <c r="B81" s="3379"/>
      <c r="C81" s="1071" t="s">
        <v>1547</v>
      </c>
      <c r="D81" s="1071" t="s">
        <v>1548</v>
      </c>
      <c r="E81" s="1142">
        <v>0.2</v>
      </c>
      <c r="F81" s="1157">
        <v>30</v>
      </c>
    </row>
    <row r="82" spans="1:6" s="1108" customFormat="1" ht="48">
      <c r="A82" s="1157">
        <v>22</v>
      </c>
      <c r="B82" s="3379"/>
      <c r="C82" s="1071" t="s">
        <v>1549</v>
      </c>
      <c r="D82" s="1071" t="s">
        <v>1550</v>
      </c>
      <c r="E82" s="1142">
        <v>0.2</v>
      </c>
      <c r="F82" s="1157">
        <v>30</v>
      </c>
    </row>
    <row r="83" spans="1:6" s="1108" customFormat="1" ht="48">
      <c r="A83" s="1157">
        <v>23</v>
      </c>
      <c r="B83" s="3379"/>
      <c r="C83" s="1071" t="s">
        <v>1551</v>
      </c>
      <c r="D83" s="1071" t="s">
        <v>1552</v>
      </c>
      <c r="E83" s="1142">
        <v>0.2</v>
      </c>
      <c r="F83" s="1157">
        <v>30</v>
      </c>
    </row>
    <row r="84" spans="1:6" s="1108" customFormat="1" ht="36">
      <c r="A84" s="1157">
        <v>24</v>
      </c>
      <c r="B84" s="3379"/>
      <c r="C84" s="1071" t="s">
        <v>1553</v>
      </c>
      <c r="D84" s="1071" t="s">
        <v>1554</v>
      </c>
      <c r="E84" s="1142">
        <v>0.2</v>
      </c>
      <c r="F84" s="1157">
        <v>30</v>
      </c>
    </row>
    <row r="85" spans="1:6" s="1108" customFormat="1" ht="36">
      <c r="A85" s="1157">
        <v>25</v>
      </c>
      <c r="B85" s="3379"/>
      <c r="C85" s="1071" t="s">
        <v>1555</v>
      </c>
      <c r="D85" s="1071" t="s">
        <v>1556</v>
      </c>
      <c r="E85" s="1142">
        <v>0.5</v>
      </c>
      <c r="F85" s="1157">
        <v>80</v>
      </c>
    </row>
    <row r="86" spans="1:6" s="1108" customFormat="1" ht="36">
      <c r="A86" s="1157">
        <v>26</v>
      </c>
      <c r="B86" s="3379"/>
      <c r="C86" s="1071" t="s">
        <v>1557</v>
      </c>
      <c r="D86" s="1071" t="s">
        <v>1558</v>
      </c>
      <c r="E86" s="1142">
        <v>0.2</v>
      </c>
      <c r="F86" s="1157">
        <v>30</v>
      </c>
    </row>
    <row r="87" spans="1:6" s="1108" customFormat="1" ht="36">
      <c r="A87" s="1157">
        <v>27</v>
      </c>
      <c r="B87" s="3379"/>
      <c r="C87" s="1071" t="s">
        <v>1559</v>
      </c>
      <c r="D87" s="1071" t="s">
        <v>1560</v>
      </c>
      <c r="E87" s="1142">
        <v>0.2</v>
      </c>
      <c r="F87" s="1157">
        <v>30</v>
      </c>
    </row>
    <row r="88" spans="1:6" s="1108" customFormat="1" ht="36">
      <c r="A88" s="1157">
        <v>28</v>
      </c>
      <c r="B88" s="3379"/>
      <c r="C88" s="1071" t="s">
        <v>1561</v>
      </c>
      <c r="D88" s="1071" t="s">
        <v>1562</v>
      </c>
      <c r="E88" s="1142">
        <v>0.2</v>
      </c>
      <c r="F88" s="1157">
        <v>30</v>
      </c>
    </row>
    <row r="89" spans="1:6" s="1108" customFormat="1" ht="24">
      <c r="A89" s="1157">
        <v>29</v>
      </c>
      <c r="B89" s="3379"/>
      <c r="C89" s="1071" t="s">
        <v>1563</v>
      </c>
      <c r="D89" s="1071" t="s">
        <v>1564</v>
      </c>
      <c r="E89" s="1142">
        <v>0.2</v>
      </c>
      <c r="F89" s="1157">
        <v>30</v>
      </c>
    </row>
    <row r="90" spans="1:6" s="1108" customFormat="1" ht="24">
      <c r="A90" s="1157">
        <v>30</v>
      </c>
      <c r="B90" s="3379"/>
      <c r="C90" s="1071" t="s">
        <v>1565</v>
      </c>
      <c r="D90" s="1071" t="s">
        <v>1566</v>
      </c>
      <c r="E90" s="1142">
        <v>0.2</v>
      </c>
      <c r="F90" s="1157">
        <v>30</v>
      </c>
    </row>
    <row r="91" spans="1:6" s="1108" customFormat="1" ht="36">
      <c r="A91" s="1157">
        <v>31</v>
      </c>
      <c r="B91" s="3379"/>
      <c r="C91" s="1071" t="s">
        <v>1567</v>
      </c>
      <c r="D91" s="1071" t="s">
        <v>1568</v>
      </c>
      <c r="E91" s="1142">
        <v>0.2</v>
      </c>
      <c r="F91" s="1157">
        <v>30</v>
      </c>
    </row>
    <row r="92" spans="1:6" s="1108" customFormat="1" ht="24">
      <c r="A92" s="1157">
        <v>32</v>
      </c>
      <c r="B92" s="3379" t="s">
        <v>1569</v>
      </c>
      <c r="C92" s="1157" t="s">
        <v>1570</v>
      </c>
      <c r="D92" s="1071" t="s">
        <v>1571</v>
      </c>
      <c r="E92" s="1142">
        <v>0.2</v>
      </c>
      <c r="F92" s="1157">
        <v>30</v>
      </c>
    </row>
    <row r="93" spans="1:6" s="1108" customFormat="1" ht="36">
      <c r="A93" s="1157">
        <v>33</v>
      </c>
      <c r="B93" s="3379"/>
      <c r="C93" s="1157" t="s">
        <v>1572</v>
      </c>
      <c r="D93" s="1071" t="s">
        <v>1573</v>
      </c>
      <c r="E93" s="1142">
        <v>0.2</v>
      </c>
      <c r="F93" s="1157">
        <v>30</v>
      </c>
    </row>
    <row r="94" spans="1:6" s="1108" customFormat="1" ht="48">
      <c r="A94" s="1157">
        <v>34</v>
      </c>
      <c r="B94" s="3379"/>
      <c r="C94" s="1157" t="s">
        <v>1574</v>
      </c>
      <c r="D94" s="1071" t="s">
        <v>1575</v>
      </c>
      <c r="E94" s="1142">
        <v>0.2</v>
      </c>
      <c r="F94" s="1157">
        <v>30</v>
      </c>
    </row>
    <row r="95" spans="1:6" s="1108" customFormat="1" ht="36">
      <c r="A95" s="1157">
        <v>35</v>
      </c>
      <c r="B95" s="3379"/>
      <c r="C95" s="1157" t="s">
        <v>1576</v>
      </c>
      <c r="D95" s="1071" t="s">
        <v>1577</v>
      </c>
      <c r="E95" s="1142">
        <v>0.2</v>
      </c>
      <c r="F95" s="1157">
        <v>30</v>
      </c>
    </row>
    <row r="96" spans="1:6" s="1108" customFormat="1" ht="48">
      <c r="A96" s="1157">
        <v>36</v>
      </c>
      <c r="B96" s="3379"/>
      <c r="C96" s="1071" t="s">
        <v>1578</v>
      </c>
      <c r="D96" s="1071" t="s">
        <v>1579</v>
      </c>
      <c r="E96" s="1142">
        <v>0.2</v>
      </c>
      <c r="F96" s="1157">
        <v>30</v>
      </c>
    </row>
    <row r="97" spans="1:6" s="1108" customFormat="1" ht="36">
      <c r="A97" s="1157">
        <v>37</v>
      </c>
      <c r="B97" s="3379"/>
      <c r="C97" s="1157" t="s">
        <v>1580</v>
      </c>
      <c r="D97" s="1071" t="s">
        <v>1581</v>
      </c>
      <c r="E97" s="1142">
        <v>0.2</v>
      </c>
      <c r="F97" s="1157">
        <v>30</v>
      </c>
    </row>
    <row r="98" spans="1:6" s="1108" customFormat="1" ht="36">
      <c r="A98" s="1157">
        <v>38</v>
      </c>
      <c r="B98" s="3379"/>
      <c r="C98" s="1157" t="s">
        <v>1582</v>
      </c>
      <c r="D98" s="1071" t="s">
        <v>1583</v>
      </c>
      <c r="E98" s="1142">
        <v>0.2</v>
      </c>
      <c r="F98" s="1157">
        <v>30</v>
      </c>
    </row>
    <row r="99" spans="1:6" s="1108" customFormat="1" ht="36">
      <c r="A99" s="1157">
        <v>39</v>
      </c>
      <c r="B99" s="3379" t="s">
        <v>1584</v>
      </c>
      <c r="C99" s="1157" t="s">
        <v>1585</v>
      </c>
      <c r="D99" s="1071" t="s">
        <v>1586</v>
      </c>
      <c r="E99" s="1142">
        <v>0.3</v>
      </c>
      <c r="F99" s="1157">
        <v>50</v>
      </c>
    </row>
    <row r="100" spans="1:6" s="1108" customFormat="1" ht="24">
      <c r="A100" s="1157">
        <v>40</v>
      </c>
      <c r="B100" s="3379"/>
      <c r="C100" s="1157" t="s">
        <v>1587</v>
      </c>
      <c r="D100" s="1071" t="s">
        <v>1588</v>
      </c>
      <c r="E100" s="1142">
        <v>0.2</v>
      </c>
      <c r="F100" s="1157">
        <v>30</v>
      </c>
    </row>
    <row r="101" spans="1:6" s="1108" customFormat="1" ht="36">
      <c r="A101" s="1157">
        <v>41</v>
      </c>
      <c r="B101" s="3379"/>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9" t="s">
        <v>1599</v>
      </c>
      <c r="C105" s="1157" t="s">
        <v>1600</v>
      </c>
      <c r="D105" s="1071" t="s">
        <v>1601</v>
      </c>
      <c r="E105" s="1142">
        <v>0.2</v>
      </c>
      <c r="F105" s="1157">
        <v>30</v>
      </c>
    </row>
    <row r="106" spans="1:6" s="1108" customFormat="1" ht="36">
      <c r="A106" s="1157">
        <v>46</v>
      </c>
      <c r="B106" s="3379"/>
      <c r="C106" s="1157" t="s">
        <v>1602</v>
      </c>
      <c r="D106" s="1071" t="s">
        <v>1603</v>
      </c>
      <c r="E106" s="1142">
        <v>0.2</v>
      </c>
      <c r="F106" s="1157">
        <v>30</v>
      </c>
    </row>
    <row r="107" spans="1:6" s="1108" customFormat="1" ht="36">
      <c r="A107" s="1157">
        <v>47</v>
      </c>
      <c r="B107" s="3379" t="s">
        <v>1604</v>
      </c>
      <c r="C107" s="1157" t="s">
        <v>1605</v>
      </c>
      <c r="D107" s="1071" t="s">
        <v>1606</v>
      </c>
      <c r="E107" s="1142">
        <v>0.3</v>
      </c>
      <c r="F107" s="1157">
        <v>50</v>
      </c>
    </row>
    <row r="108" spans="1:6" s="1108" customFormat="1" ht="36">
      <c r="A108" s="1157">
        <v>48</v>
      </c>
      <c r="B108" s="3379"/>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9" t="s">
        <v>1615</v>
      </c>
      <c r="C111" s="1157" t="s">
        <v>1616</v>
      </c>
      <c r="D111" s="1071" t="s">
        <v>1617</v>
      </c>
      <c r="E111" s="1142">
        <v>0.2</v>
      </c>
      <c r="F111" s="1157">
        <v>30</v>
      </c>
    </row>
    <row r="112" spans="1:6" s="1108" customFormat="1" ht="24">
      <c r="A112" s="1157">
        <v>52</v>
      </c>
      <c r="B112" s="3379"/>
      <c r="C112" s="1157" t="s">
        <v>1618</v>
      </c>
      <c r="D112" s="1071" t="s">
        <v>1619</v>
      </c>
      <c r="E112" s="1142">
        <v>0.2</v>
      </c>
      <c r="F112" s="1157">
        <v>30</v>
      </c>
    </row>
    <row r="113" spans="1:14" s="1108" customFormat="1" ht="24">
      <c r="A113" s="1157">
        <v>53</v>
      </c>
      <c r="B113" s="3379"/>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9" t="s">
        <v>1628</v>
      </c>
      <c r="C116" s="1157" t="s">
        <v>1629</v>
      </c>
      <c r="D116" s="1071" t="s">
        <v>1630</v>
      </c>
      <c r="E116" s="1142">
        <v>0.2</v>
      </c>
      <c r="F116" s="1157">
        <v>30</v>
      </c>
    </row>
    <row r="117" spans="1:14" ht="36">
      <c r="A117" s="1157">
        <v>57</v>
      </c>
      <c r="B117" s="3379"/>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8" t="s">
        <v>1637</v>
      </c>
      <c r="B121" s="3378"/>
      <c r="C121" s="3378"/>
      <c r="D121" s="3378"/>
      <c r="E121" s="3378"/>
      <c r="F121" s="3378"/>
      <c r="G121" s="3378"/>
      <c r="H121" s="3378"/>
      <c r="I121" s="3378"/>
      <c r="J121" s="337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0" t="s">
        <v>1043</v>
      </c>
      <c r="B1" s="3380"/>
      <c r="C1" s="3380"/>
      <c r="D1" s="3380"/>
      <c r="E1" s="3380"/>
      <c r="F1" s="338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1" t="s">
        <v>1056</v>
      </c>
      <c r="B2" s="3381"/>
      <c r="C2" s="3381"/>
      <c r="D2" s="3381"/>
      <c r="E2" s="3381"/>
      <c r="F2" s="338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84" t="s">
        <v>2090</v>
      </c>
      <c r="B1" s="3384"/>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1" t="s">
        <v>2591</v>
      </c>
      <c r="C1" s="3391"/>
      <c r="D1" s="3391"/>
      <c r="E1" s="3391"/>
      <c r="F1" s="3391"/>
      <c r="G1" s="3390" t="s">
        <v>2592</v>
      </c>
      <c r="H1" s="3390"/>
      <c r="I1" s="3390"/>
      <c r="J1" s="3390"/>
      <c r="K1" s="3390"/>
      <c r="L1" s="3390"/>
      <c r="N1" s="3390" t="s">
        <v>2593</v>
      </c>
      <c r="O1" s="3390"/>
      <c r="P1" s="3390"/>
      <c r="Q1" s="3390"/>
      <c r="R1" s="2691"/>
      <c r="S1" s="3390" t="s">
        <v>2594</v>
      </c>
      <c r="T1" s="3390"/>
      <c r="U1" s="3390"/>
      <c r="V1" s="3390"/>
      <c r="X1" s="3389" t="s">
        <v>2656</v>
      </c>
      <c r="Y1" s="3390"/>
      <c r="Z1" s="3390"/>
      <c r="AA1" s="3390"/>
      <c r="AB1" s="3390"/>
      <c r="AD1" s="3389" t="s">
        <v>2661</v>
      </c>
      <c r="AE1" s="3390"/>
      <c r="AF1" s="3390"/>
      <c r="AG1" s="3390"/>
      <c r="AH1" s="3390"/>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388">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386"/>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386"/>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387"/>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88">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86"/>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86"/>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87"/>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85">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86"/>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86"/>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87"/>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85">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86"/>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86"/>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87"/>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392">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393"/>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393"/>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394"/>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385">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386"/>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386"/>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387"/>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385">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86">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386">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387">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385">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86">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386">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387">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385">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86">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386">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387">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385">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86">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386">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387">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385">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86">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386">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387">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385">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86">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386">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387">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385">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86">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386">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387">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385">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86">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386">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387">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385">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386">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386">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387">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385">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386">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386">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387">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396" t="s">
        <v>2477</v>
      </c>
      <c r="C8" s="1832">
        <f ca="1">ROUND(F8*F10*F9*(1-F11)/10000,0)</f>
        <v>0</v>
      </c>
      <c r="D8" s="1829" t="s">
        <v>2549</v>
      </c>
      <c r="E8" s="61" t="s">
        <v>638</v>
      </c>
      <c r="F8" s="788">
        <f ca="1">INDIRECT("'数据-取费表'!u"&amp;$G$1)</f>
        <v>0</v>
      </c>
      <c r="G8" s="1598"/>
      <c r="H8" s="2540" t="s">
        <v>1829</v>
      </c>
      <c r="I8" s="3396" t="s">
        <v>2477</v>
      </c>
      <c r="J8" s="786">
        <f ca="1">ROUND(M8*M10*M9*(1-M11)/10000,0)</f>
        <v>0</v>
      </c>
      <c r="K8" s="344" t="s">
        <v>2549</v>
      </c>
      <c r="L8" s="787" t="s">
        <v>1742</v>
      </c>
      <c r="M8" s="788">
        <f ca="1">INDIRECT("'数据-取费表'!z"&amp;$G$1)</f>
        <v>0</v>
      </c>
    </row>
    <row r="9" spans="1:25" ht="18" customHeight="1">
      <c r="A9" s="2536"/>
      <c r="B9" s="3397"/>
      <c r="C9" s="1833"/>
      <c r="D9" s="1830"/>
      <c r="E9" s="61" t="s">
        <v>639</v>
      </c>
      <c r="F9" s="788">
        <f ca="1">IF(INDIRECT("'数据-取费表'!ah"&amp;$G$1)="",INDIRECT("'数据-取费表'!k"&amp;$G$1),INDIRECT("'数据-取费表'!ah"&amp;$G$1))</f>
        <v>0</v>
      </c>
      <c r="G9" s="1598"/>
      <c r="H9" s="2525"/>
      <c r="I9" s="3397"/>
      <c r="J9" s="791"/>
      <c r="K9" s="792"/>
      <c r="L9" s="787" t="s">
        <v>1743</v>
      </c>
      <c r="M9" s="788">
        <f ca="1">F9</f>
        <v>0</v>
      </c>
    </row>
    <row r="10" spans="1:25" ht="18" customHeight="1">
      <c r="A10" s="2529"/>
      <c r="B10" s="3398"/>
      <c r="C10" s="1833"/>
      <c r="D10" s="1830"/>
      <c r="E10" s="61" t="s">
        <v>640</v>
      </c>
      <c r="F10" s="788">
        <f ca="1">INDIRECT("'数据-取费表'!ai"&amp;$G$1)</f>
        <v>0</v>
      </c>
      <c r="G10" s="1598"/>
      <c r="H10" s="2525"/>
      <c r="I10" s="3398"/>
      <c r="J10" s="791"/>
      <c r="K10" s="792"/>
      <c r="L10" s="787" t="s">
        <v>1744</v>
      </c>
      <c r="M10" s="788">
        <f ca="1">INDIRECT("'数据-取费表'!ai"&amp;$G$1)</f>
        <v>0</v>
      </c>
    </row>
    <row r="11" spans="1:25" ht="18" customHeight="1">
      <c r="A11" s="789"/>
      <c r="B11" s="3399"/>
      <c r="C11" s="1833"/>
      <c r="D11" s="1830"/>
      <c r="E11" s="61" t="s">
        <v>641</v>
      </c>
      <c r="F11" s="797">
        <f ca="1">INDIRECT("'数据-取费表'!w"&amp;$G$1)</f>
        <v>0</v>
      </c>
      <c r="G11" s="1598"/>
      <c r="H11" s="2541"/>
      <c r="I11" s="3398"/>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0</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0</v>
      </c>
      <c r="G36" s="2070"/>
      <c r="H36" s="2073"/>
      <c r="I36" s="3395"/>
      <c r="J36" s="2087"/>
      <c r="K36" s="2088"/>
      <c r="L36" s="2087"/>
      <c r="M36" s="2087"/>
    </row>
    <row r="37" spans="1:13" ht="18" customHeight="1">
      <c r="A37" s="818"/>
      <c r="B37" s="796"/>
      <c r="C37" s="69"/>
      <c r="D37" s="819"/>
      <c r="E37" s="787" t="s">
        <v>675</v>
      </c>
      <c r="F37" s="788">
        <f ca="1">INDIRECT("'数据-取费表'!r"&amp;$G$1)</f>
        <v>0</v>
      </c>
      <c r="G37" s="2070"/>
      <c r="H37" s="2073"/>
      <c r="I37" s="3395"/>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2387</v>
      </c>
      <c r="F1" s="2424">
        <f ca="1">J53</f>
        <v>0</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396" t="s">
        <v>2477</v>
      </c>
      <c r="C6" s="786">
        <f ca="1">ROUND(F6*F8*F7*(1-F9)/10000,0)</f>
        <v>0</v>
      </c>
      <c r="D6" s="2533" t="s">
        <v>2476</v>
      </c>
      <c r="E6" s="787" t="s">
        <v>1742</v>
      </c>
      <c r="F6" s="788">
        <f ca="1">INDIRECT("'数据-取费表'!u"&amp;$G$1)</f>
        <v>0</v>
      </c>
      <c r="G6" s="1598"/>
      <c r="H6" s="2540" t="s">
        <v>2483</v>
      </c>
      <c r="I6" s="3396" t="s">
        <v>2477</v>
      </c>
      <c r="J6" s="786">
        <f ca="1">ROUND(M6*M8*M7*(1-M9)/10000,0)</f>
        <v>0</v>
      </c>
      <c r="K6" s="344" t="s">
        <v>1741</v>
      </c>
      <c r="L6" s="787" t="s">
        <v>1742</v>
      </c>
      <c r="M6" s="788">
        <f ca="1">INDIRECT("'数据-取费表'!z"&amp;$G$1)</f>
        <v>0</v>
      </c>
    </row>
    <row r="7" spans="1:33" ht="18" customHeight="1">
      <c r="A7" s="2536"/>
      <c r="B7" s="3397"/>
      <c r="C7" s="791"/>
      <c r="D7" s="792"/>
      <c r="E7" s="787" t="s">
        <v>1743</v>
      </c>
      <c r="F7" s="788">
        <f ca="1">IF(INDIRECT("'数据-取费表'!ah"&amp;$G$1)="",INDIRECT("'数据-取费表'!k"&amp;$G$1),INDIRECT("'数据-取费表'!ah"&amp;$G$1))</f>
        <v>0</v>
      </c>
      <c r="G7" s="1598"/>
      <c r="H7" s="2525"/>
      <c r="I7" s="3397"/>
      <c r="J7" s="791"/>
      <c r="K7" s="792"/>
      <c r="L7" s="787" t="s">
        <v>1743</v>
      </c>
      <c r="M7" s="788">
        <f ca="1">F7</f>
        <v>0</v>
      </c>
    </row>
    <row r="8" spans="1:33" ht="18" customHeight="1">
      <c r="A8" s="2529"/>
      <c r="B8" s="3398"/>
      <c r="C8" s="791"/>
      <c r="D8" s="792"/>
      <c r="E8" s="787" t="s">
        <v>1744</v>
      </c>
      <c r="F8" s="788">
        <f ca="1">INDIRECT("'数据-取费表'!ai"&amp;$G$1)</f>
        <v>0</v>
      </c>
      <c r="G8" s="1598"/>
      <c r="H8" s="2525"/>
      <c r="I8" s="3398"/>
      <c r="J8" s="791"/>
      <c r="K8" s="792"/>
      <c r="L8" s="787" t="s">
        <v>1744</v>
      </c>
      <c r="M8" s="788">
        <f ca="1">INDIRECT("'数据-取费表'!ai"&amp;$G$1)</f>
        <v>0</v>
      </c>
    </row>
    <row r="9" spans="1:33" ht="18" customHeight="1">
      <c r="A9" s="789"/>
      <c r="B9" s="3399"/>
      <c r="C9" s="791"/>
      <c r="D9" s="792"/>
      <c r="E9" s="787" t="s">
        <v>1745</v>
      </c>
      <c r="F9" s="797">
        <f ca="1">INDIRECT("'数据-取费表'!w"&amp;$G$1)</f>
        <v>0</v>
      </c>
      <c r="G9" s="1598"/>
      <c r="H9" s="2541"/>
      <c r="I9" s="3398"/>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0</v>
      </c>
      <c r="D13" s="1841" t="s">
        <v>2308</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200</v>
      </c>
      <c r="G17" s="1599"/>
      <c r="H17" s="1655" t="s">
        <v>1835</v>
      </c>
      <c r="I17" s="787" t="s">
        <v>657</v>
      </c>
      <c r="J17" s="53">
        <f ca="1">ROUND(IF(项目基本情况!B11="自然人",J5*M17,J18+J19+J20),0)</f>
        <v>0</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0</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0</v>
      </c>
      <c r="K25" s="2584" t="s">
        <v>1781</v>
      </c>
      <c r="L25" s="2585"/>
      <c r="M25" s="2586"/>
    </row>
    <row r="26" spans="1:33" ht="18" customHeight="1">
      <c r="A26" s="1654" t="s">
        <v>1836</v>
      </c>
      <c r="B26" s="787" t="s">
        <v>2451</v>
      </c>
      <c r="C26" s="53">
        <f ca="1">ROUND((C19+C20)*F26,0)</f>
        <v>0</v>
      </c>
      <c r="D26" s="815" t="s">
        <v>1782</v>
      </c>
      <c r="E26" s="798" t="s">
        <v>1783</v>
      </c>
      <c r="F26" s="797">
        <f ca="1">INDIRECT("'数据-取费表'!q"&amp;$G$1)</f>
        <v>0</v>
      </c>
      <c r="G26" s="1598"/>
      <c r="H26" s="2538"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0</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2840</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t="e">
        <f ca="1">C67-C40</f>
        <v>#DIV/0!</v>
      </c>
      <c r="D46" s="2093"/>
      <c r="E46" s="2093"/>
      <c r="F46" s="2093"/>
      <c r="I46" s="2389" t="s">
        <v>2355</v>
      </c>
      <c r="J46" s="2390"/>
      <c r="K46" s="2391"/>
      <c r="L46" s="2392" t="e">
        <f ca="1">IF(M47="住宅",0,IF(L48&gt;J51,L60,J60))</f>
        <v>#DIV/0!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c r="K47" s="2399" t="s">
        <v>2362</v>
      </c>
      <c r="L47" s="2400">
        <f ca="1">INDIRECT("'数据-取费表'!d"&amp;$G$1)</f>
        <v>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c r="K48" s="2402" t="s">
        <v>2364</v>
      </c>
      <c r="L48" s="2403">
        <f ca="1">INDIRECT("'数据-取费表'!f"&amp;$G$1)</f>
        <v>0</v>
      </c>
      <c r="O48" s="2434" t="s">
        <v>2392</v>
      </c>
      <c r="P48" s="2435" t="s">
        <v>2418</v>
      </c>
      <c r="Q48" s="2436" t="e">
        <f ca="1">C40+J29</f>
        <v>#DIV/0!</v>
      </c>
      <c r="R48" s="2435"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4" t="s">
        <v>2394</v>
      </c>
      <c r="P49" s="2435" t="s">
        <v>2419</v>
      </c>
      <c r="Q49" s="2436" t="e">
        <f ca="1">J60</f>
        <v>#DIV/0!</v>
      </c>
      <c r="R49" s="2435"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37" t="s">
        <v>2397</v>
      </c>
      <c r="P51" s="2435" t="s">
        <v>2398</v>
      </c>
      <c r="Q51" s="2438" t="e">
        <f ca="1">J58</f>
        <v>#DIV/0!</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0</v>
      </c>
      <c r="K53"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1"/>
      <c r="O53" s="2437" t="s">
        <v>2401</v>
      </c>
      <c r="P53" s="2435" t="s">
        <v>2402</v>
      </c>
      <c r="Q53" s="2436">
        <f ca="1">J53</f>
        <v>0</v>
      </c>
      <c r="R53" s="2435" t="s">
        <v>2403</v>
      </c>
    </row>
    <row r="54" spans="1:18" s="2067" customFormat="1" ht="18" customHeight="1" thickBot="1">
      <c r="A54" s="2573" t="s">
        <v>2482</v>
      </c>
      <c r="B54" s="2574" t="s">
        <v>2474</v>
      </c>
      <c r="C54" s="2575"/>
      <c r="D54" s="2537"/>
      <c r="E54" s="2534"/>
      <c r="F54" s="803"/>
      <c r="K54" s="2094"/>
      <c r="O54" s="2434" t="s">
        <v>2404</v>
      </c>
      <c r="P54" s="2435" t="s">
        <v>2421</v>
      </c>
      <c r="Q54" s="2436" t="e">
        <f ca="1">Q48+Q49</f>
        <v>#DIV/0!</v>
      </c>
      <c r="R54" s="2439" t="s">
        <v>2405</v>
      </c>
    </row>
    <row r="55" spans="1:18" s="2067" customFormat="1" ht="18" customHeight="1" thickTop="1" thickBot="1">
      <c r="A55" s="800">
        <v>2</v>
      </c>
      <c r="B55" s="801" t="s">
        <v>645</v>
      </c>
      <c r="C55" s="802">
        <f ca="1">C13</f>
        <v>0</v>
      </c>
      <c r="D55" s="798"/>
      <c r="E55" s="798"/>
      <c r="F55" s="803"/>
      <c r="I55" s="3143" t="s">
        <v>2368</v>
      </c>
      <c r="J55" s="3142" t="e">
        <f ca="1">ROUND(IF(J47="钢混",J57/J50,1-(1-2%)*(J50-J57)/J50),3)</f>
        <v>#DIV/0!</v>
      </c>
      <c r="K55" s="2412" t="s">
        <v>2369</v>
      </c>
      <c r="L55" s="2413"/>
      <c r="O55" s="2440" t="s">
        <v>2424</v>
      </c>
      <c r="P55" s="1598"/>
      <c r="Q55" s="1610"/>
      <c r="R55" s="1598"/>
    </row>
    <row r="56" spans="1:18" s="2067" customFormat="1" ht="42.75" customHeight="1" thickBot="1">
      <c r="A56" s="1656"/>
      <c r="B56" s="2242" t="s">
        <v>2313</v>
      </c>
      <c r="C56" s="53">
        <f ca="1">C29</f>
        <v>0</v>
      </c>
      <c r="D56" s="2676"/>
      <c r="E56" s="787"/>
      <c r="F56" s="812"/>
      <c r="I56" s="2414" t="s">
        <v>2370</v>
      </c>
      <c r="J56" s="2422"/>
      <c r="K56" s="2394" t="s">
        <v>2375</v>
      </c>
      <c r="L56" s="2403">
        <f ca="1">IF(L48&lt;J51,"——",L48-J51)</f>
        <v>0</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1754</v>
      </c>
      <c r="E57" s="2677"/>
      <c r="F57" s="56"/>
      <c r="I57" s="2415" t="s">
        <v>2371</v>
      </c>
      <c r="J57" s="2417">
        <f ca="1">IF(OR(M47="住宅",J51&lt;L48,J56="是"),"——",J51-L48)</f>
        <v>0</v>
      </c>
      <c r="K57" s="2394" t="s">
        <v>2376</v>
      </c>
      <c r="L57" s="2403">
        <f ca="1">IF(L48&lt;J51,"——",IF(L55="比较法",L49,IF(L55="基准地价",L50,L51)))</f>
        <v>0</v>
      </c>
      <c r="O57" s="2434" t="s">
        <v>2392</v>
      </c>
      <c r="P57" s="2435" t="s">
        <v>2422</v>
      </c>
      <c r="Q57" s="2436" t="e">
        <f ca="1">C40+J29</f>
        <v>#DIV/0!</v>
      </c>
      <c r="R57" s="2435" t="s">
        <v>2393</v>
      </c>
    </row>
    <row r="58" spans="1:18" s="2067" customFormat="1" ht="28.5" customHeight="1" thickBot="1">
      <c r="A58" s="1655" t="s">
        <v>1829</v>
      </c>
      <c r="B58" s="787" t="s">
        <v>657</v>
      </c>
      <c r="C58" s="53">
        <f ca="1">ROUND(IF(项目基本情况!B11="自然人",C47*F58,C59+C60+C61),1)</f>
        <v>0</v>
      </c>
      <c r="D58" s="2675" t="s">
        <v>658</v>
      </c>
      <c r="E58" s="2676" t="s">
        <v>691</v>
      </c>
      <c r="F58" s="813">
        <f ca="1">IF(项目基本情况!B11="企业","",IF(INDIRECT("'数据-取费表'!c"&amp;$G$1)="住宅",5%,IF(F48*F49*F50/12/(1+'数据-取费表'!C42)&gt;20000,12%,7%)))</f>
        <v>7.0000000000000007E-2</v>
      </c>
      <c r="I58" s="2415" t="s">
        <v>2372</v>
      </c>
      <c r="J58" s="3144" t="e">
        <f ca="1">IF(J55&lt;0.4,0.4,J55)</f>
        <v>#DIV/0!</v>
      </c>
      <c r="K58" s="2394" t="s">
        <v>2377</v>
      </c>
      <c r="L58" s="2403">
        <f ca="1">IF(ISERROR(POWER(1+L52,L47-L48)*(POWER(1+L52,L48)-1)/(POWER(1+L52,L47)-1)),0,POWER(1+L52,L47-L48)*(POWER(1+L52,L48)-1)/(POWER(1+L52,L47)-1))</f>
        <v>0</v>
      </c>
      <c r="O58" s="2434" t="s">
        <v>2394</v>
      </c>
      <c r="P58" s="2435" t="s">
        <v>2425</v>
      </c>
      <c r="Q58" s="2436" t="e">
        <f ca="1">L60</f>
        <v>#DIV/0!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e">
        <f ca="1">IF(OR(M47="住宅",J51&lt;L48,J56="是"),"——",ROUND(C29*J58,0))</f>
        <v>#DIV/0!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2374</v>
      </c>
      <c r="J60" s="2418" t="e">
        <f ca="1">IF(OR(M47="住宅",J51&lt;L48,J56="是"),"0",ROUND(J59/(1+J52)^J53,0))</f>
        <v>#DIV/0!</v>
      </c>
      <c r="K60" s="2419" t="s">
        <v>2379</v>
      </c>
      <c r="L60" s="2418" t="e">
        <f ca="1">IF(OR(M47="住宅",L48&lt;J51),0,ROUND(L57*(L58/L59-1),0))</f>
        <v>#DIV/0!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0</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0</v>
      </c>
      <c r="D63" s="2676" t="s">
        <v>1807</v>
      </c>
      <c r="E63" s="787" t="s">
        <v>1751</v>
      </c>
      <c r="F63" s="820">
        <f t="shared" ca="1" si="0"/>
        <v>0</v>
      </c>
      <c r="I63" s="2420" t="s">
        <v>2383</v>
      </c>
      <c r="J63" s="2421">
        <v>70</v>
      </c>
      <c r="K63" s="2421">
        <v>50</v>
      </c>
      <c r="L63" s="2421">
        <v>80</v>
      </c>
      <c r="M63" s="3146">
        <v>0.02</v>
      </c>
      <c r="O63" s="2434" t="s">
        <v>2404</v>
      </c>
      <c r="P63" s="2435" t="s">
        <v>2421</v>
      </c>
      <c r="Q63" s="2436" t="e">
        <f ca="1">Q57+Q58</f>
        <v>#DIV/0!</v>
      </c>
      <c r="R63" s="2439" t="s">
        <v>2405</v>
      </c>
    </row>
    <row r="64" spans="1:18" s="2067" customFormat="1" ht="16.5" thickBot="1">
      <c r="A64" s="1655" t="s">
        <v>1895</v>
      </c>
      <c r="B64" s="787" t="s">
        <v>680</v>
      </c>
      <c r="C64" s="53">
        <f ca="1">ROUND(C55*F64,1)</f>
        <v>0</v>
      </c>
      <c r="D64" s="2676" t="s">
        <v>681</v>
      </c>
      <c r="E64" s="787" t="s">
        <v>1751</v>
      </c>
      <c r="F64" s="821">
        <f t="shared" ca="1" si="0"/>
        <v>0</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0</v>
      </c>
      <c r="D66" s="2675" t="s">
        <v>702</v>
      </c>
      <c r="E66" s="2674"/>
      <c r="F66" s="823"/>
      <c r="K66" s="2094"/>
      <c r="O66" s="2434" t="s">
        <v>2392</v>
      </c>
      <c r="P66" s="2435" t="s">
        <v>2422</v>
      </c>
      <c r="Q66" s="2436" t="e">
        <f ca="1">C40+J29</f>
        <v>#DIV/0!</v>
      </c>
      <c r="R66" s="2435" t="s">
        <v>2393</v>
      </c>
    </row>
    <row r="67" spans="1:18" s="2067" customFormat="1" ht="20.25" thickBot="1">
      <c r="A67" s="784" t="s">
        <v>1784</v>
      </c>
      <c r="B67" s="2243" t="s">
        <v>2312</v>
      </c>
      <c r="C67" s="786" t="e">
        <f ca="1">ROUND(C66*(1-((1+F69)/(1+F67))^F68)/(F67-F69),0)</f>
        <v>#DIV/0!</v>
      </c>
      <c r="D67" s="817" t="s">
        <v>706</v>
      </c>
      <c r="E67" s="787" t="s">
        <v>707</v>
      </c>
      <c r="F67" s="797">
        <f ca="1">F40</f>
        <v>0</v>
      </c>
      <c r="K67" s="2094"/>
      <c r="O67" s="2434" t="s">
        <v>2394</v>
      </c>
      <c r="P67" s="2435" t="s">
        <v>2425</v>
      </c>
      <c r="Q67" s="2436" t="e">
        <f ca="1">L60</f>
        <v>#DIV/0!</v>
      </c>
      <c r="R67" s="2439" t="s">
        <v>2427</v>
      </c>
    </row>
    <row r="68" spans="1:18" ht="21.75" thickBot="1">
      <c r="A68" s="789"/>
      <c r="B68" s="790"/>
      <c r="C68" s="791"/>
      <c r="D68" s="824" t="s">
        <v>1812</v>
      </c>
      <c r="E68" s="787" t="s">
        <v>1788</v>
      </c>
      <c r="F68" s="825">
        <f ca="1">F41</f>
        <v>0</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0</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t="e">
        <f ca="1">Q66+Q67</f>
        <v>#DIV/0!</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受贵公司委托，我公司对国有建设用地使用权进行了预评估。</v>
      </c>
    </row>
    <row r="5" spans="1:4" ht="18.75">
      <c r="A5" s="1801" t="s">
        <v>1910</v>
      </c>
    </row>
    <row r="6" spans="1:4" ht="18.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国有建设用地使用权。根据《国有土地使用证》[]，估价对象（分摊）国有建设用地使用权面积为41598.62平方米。根据《建设工程规划许可证》[]、《出让合同》[]，估价对象规划建筑面积为99836.688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本次评估为委托估价方了解标的物之市场价格提供参考依据而评估国有建设用地使用权市场价格。</v>
      </c>
    </row>
    <row r="10" spans="1:4" ht="18.75">
      <c r="A10" s="1804" t="s">
        <v>2037</v>
      </c>
    </row>
    <row r="11" spans="1:4" ht="18.75">
      <c r="A11" s="1787" t="str">
        <f>TEXT(项目基本情况!D3,"yyyy年m月d日;;")&amp;IF(项目基本情况!B3=项目基本情况!D3,"（评估专业人员勘察现场之日）","")</f>
        <v>2017年7月4日（评估专业人员勘察现场之日）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18.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根据《国有土地使用证》[]，估价对象（分摊）出让国有建设用地使用权面积为41598.62平方米。根据《建设工程规划许可证》[]、《出让合同》[]，估价对象规划建筑面积为99836.688平方米。</v>
      </c>
    </row>
    <row r="21" spans="1:1" ht="18.75">
      <c r="A21" s="1798" t="s">
        <v>2085</v>
      </c>
    </row>
    <row r="22" spans="1:1" ht="18.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8" t="str">
        <f>IF(项目基本情况!B16="出让","本次评估设定估价对象剩余土地使用年限为"&amp;项目基本情况!D20&amp;"。","")</f>
        <v/>
      </c>
    </row>
    <row r="24" spans="1:1" ht="18.75">
      <c r="A24" s="1798" t="s">
        <v>2086</v>
      </c>
    </row>
    <row r="25" spans="1:1" ht="150">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2" t="s">
        <v>2486</v>
      </c>
      <c r="B1" s="3403"/>
      <c r="C1" s="3404"/>
      <c r="D1" s="3405">
        <f>SUM(I10,I15,I20,I21,I23)</f>
        <v>0</v>
      </c>
      <c r="E1" s="3405"/>
      <c r="F1" s="3405"/>
      <c r="G1" s="3405"/>
      <c r="H1" s="3405"/>
      <c r="I1" s="3406"/>
    </row>
    <row r="2" spans="1:9">
      <c r="A2" s="3407" t="s">
        <v>2487</v>
      </c>
      <c r="B2" s="3408" t="s">
        <v>2488</v>
      </c>
      <c r="C2" s="3408"/>
      <c r="D2" s="2543" t="s">
        <v>2489</v>
      </c>
      <c r="E2" s="2543" t="s">
        <v>2490</v>
      </c>
      <c r="F2" s="2543" t="s">
        <v>2491</v>
      </c>
      <c r="G2" s="2543" t="s">
        <v>2492</v>
      </c>
      <c r="H2" s="2543" t="s">
        <v>2493</v>
      </c>
      <c r="I2" s="2544" t="s">
        <v>2494</v>
      </c>
    </row>
    <row r="3" spans="1:9">
      <c r="A3" s="3407"/>
      <c r="B3" s="3408" t="s">
        <v>2495</v>
      </c>
      <c r="C3" s="3408"/>
      <c r="D3" s="2545"/>
      <c r="E3" s="2543"/>
      <c r="F3" s="2546"/>
      <c r="G3" s="2546"/>
      <c r="H3" s="2547"/>
      <c r="I3" s="2548">
        <f>ROUND(D3*E3*F3*G3*H3/10000,0)</f>
        <v>0</v>
      </c>
    </row>
    <row r="4" spans="1:9">
      <c r="A4" s="3407"/>
      <c r="B4" s="3408" t="s">
        <v>2496</v>
      </c>
      <c r="C4" s="3408"/>
      <c r="D4" s="2545"/>
      <c r="E4" s="2543"/>
      <c r="F4" s="2546"/>
      <c r="G4" s="2546"/>
      <c r="H4" s="2547"/>
      <c r="I4" s="2548">
        <f t="shared" ref="I4:I9" si="0">ROUND(D4*E4*F4*G4*H4/10000,0)</f>
        <v>0</v>
      </c>
    </row>
    <row r="5" spans="1:9">
      <c r="A5" s="3407"/>
      <c r="B5" s="3408" t="s">
        <v>2497</v>
      </c>
      <c r="C5" s="3408"/>
      <c r="D5" s="2545"/>
      <c r="E5" s="2543"/>
      <c r="F5" s="2546"/>
      <c r="G5" s="2546"/>
      <c r="H5" s="2547"/>
      <c r="I5" s="2548">
        <f t="shared" si="0"/>
        <v>0</v>
      </c>
    </row>
    <row r="6" spans="1:9">
      <c r="A6" s="3407"/>
      <c r="B6" s="3408" t="s">
        <v>2498</v>
      </c>
      <c r="C6" s="3408"/>
      <c r="D6" s="2545"/>
      <c r="E6" s="2543"/>
      <c r="F6" s="2546"/>
      <c r="G6" s="2546"/>
      <c r="H6" s="2547"/>
      <c r="I6" s="2548">
        <f t="shared" si="0"/>
        <v>0</v>
      </c>
    </row>
    <row r="7" spans="1:9">
      <c r="A7" s="3407"/>
      <c r="B7" s="3408" t="s">
        <v>2499</v>
      </c>
      <c r="C7" s="3408"/>
      <c r="D7" s="2545"/>
      <c r="E7" s="2543"/>
      <c r="F7" s="2546"/>
      <c r="G7" s="2546"/>
      <c r="H7" s="2547"/>
      <c r="I7" s="2548">
        <f t="shared" si="0"/>
        <v>0</v>
      </c>
    </row>
    <row r="8" spans="1:9">
      <c r="A8" s="3407"/>
      <c r="B8" s="3408" t="s">
        <v>2500</v>
      </c>
      <c r="C8" s="3408"/>
      <c r="D8" s="2545"/>
      <c r="E8" s="2543"/>
      <c r="F8" s="2546"/>
      <c r="G8" s="2546"/>
      <c r="H8" s="2547"/>
      <c r="I8" s="2548">
        <f t="shared" si="0"/>
        <v>0</v>
      </c>
    </row>
    <row r="9" spans="1:9">
      <c r="A9" s="3407"/>
      <c r="B9" s="3408" t="s">
        <v>2501</v>
      </c>
      <c r="C9" s="3408"/>
      <c r="D9" s="2545"/>
      <c r="E9" s="2543"/>
      <c r="F9" s="2546"/>
      <c r="G9" s="2546"/>
      <c r="H9" s="2547"/>
      <c r="I9" s="2548">
        <f t="shared" si="0"/>
        <v>0</v>
      </c>
    </row>
    <row r="10" spans="1:9">
      <c r="A10" s="3407"/>
      <c r="B10" s="3409" t="s">
        <v>2502</v>
      </c>
      <c r="C10" s="3409"/>
      <c r="D10" s="2549">
        <v>527</v>
      </c>
      <c r="E10" s="2549" t="e">
        <f>ROUND(D1*10000/D10/H9,0)</f>
        <v>#DIV/0!</v>
      </c>
      <c r="F10" s="2550"/>
      <c r="G10" s="2550"/>
      <c r="H10" s="2551"/>
      <c r="I10" s="2552">
        <f>SUM(I3:I9)</f>
        <v>0</v>
      </c>
    </row>
    <row r="11" spans="1:9" ht="14.25">
      <c r="A11" s="3407" t="s">
        <v>2503</v>
      </c>
      <c r="B11" s="3408" t="s">
        <v>2504</v>
      </c>
      <c r="C11" s="3408"/>
      <c r="D11" s="2545" t="s">
        <v>2505</v>
      </c>
      <c r="E11" s="2545" t="s">
        <v>2506</v>
      </c>
      <c r="F11" s="2546" t="s">
        <v>2507</v>
      </c>
      <c r="G11" s="2546" t="s">
        <v>2508</v>
      </c>
      <c r="H11" s="2553" t="s">
        <v>2509</v>
      </c>
      <c r="I11" s="2544" t="s">
        <v>2510</v>
      </c>
    </row>
    <row r="12" spans="1:9">
      <c r="A12" s="3407"/>
      <c r="B12" s="3408" t="s">
        <v>2511</v>
      </c>
      <c r="C12" s="3408"/>
      <c r="D12" s="2545"/>
      <c r="E12" s="2545"/>
      <c r="F12" s="2546"/>
      <c r="G12" s="2547"/>
      <c r="H12" s="2554"/>
      <c r="I12" s="2544">
        <f>ROUND(D12*E12*F12*G12/10000,0)</f>
        <v>0</v>
      </c>
    </row>
    <row r="13" spans="1:9">
      <c r="A13" s="3407"/>
      <c r="B13" s="3408" t="s">
        <v>2512</v>
      </c>
      <c r="C13" s="3408"/>
      <c r="D13" s="2545"/>
      <c r="E13" s="2545"/>
      <c r="F13" s="2546"/>
      <c r="G13" s="2547"/>
      <c r="H13" s="2554"/>
      <c r="I13" s="2544">
        <f>ROUND(D13*E13*F13*G13/10000,0)</f>
        <v>0</v>
      </c>
    </row>
    <row r="14" spans="1:9">
      <c r="A14" s="3407"/>
      <c r="B14" s="3408" t="s">
        <v>2513</v>
      </c>
      <c r="C14" s="3408"/>
      <c r="D14" s="2545"/>
      <c r="E14" s="2545"/>
      <c r="F14" s="2546"/>
      <c r="G14" s="2547"/>
      <c r="H14" s="2554"/>
      <c r="I14" s="2544">
        <f>ROUND(D14*E14*F14*G14/10000,0)</f>
        <v>0</v>
      </c>
    </row>
    <row r="15" spans="1:9">
      <c r="A15" s="3407"/>
      <c r="B15" s="3409" t="s">
        <v>2502</v>
      </c>
      <c r="C15" s="3409"/>
      <c r="D15" s="2549"/>
      <c r="E15" s="2549">
        <f>SUM(E12:E14)</f>
        <v>0</v>
      </c>
      <c r="F15" s="2550"/>
      <c r="G15" s="2547"/>
      <c r="H15" s="2554"/>
      <c r="I15" s="2555">
        <f>SUM(I12:I14)</f>
        <v>0</v>
      </c>
    </row>
    <row r="16" spans="1:9" ht="24">
      <c r="A16" s="3407" t="s">
        <v>2514</v>
      </c>
      <c r="B16" s="3408" t="s">
        <v>2515</v>
      </c>
      <c r="C16" s="3408"/>
      <c r="D16" s="2545" t="s">
        <v>2516</v>
      </c>
      <c r="E16" s="2556" t="s">
        <v>2517</v>
      </c>
      <c r="F16" s="2546" t="s">
        <v>2518</v>
      </c>
      <c r="G16" s="2547" t="s">
        <v>2508</v>
      </c>
      <c r="H16" s="2553" t="s">
        <v>2509</v>
      </c>
      <c r="I16" s="2544" t="s">
        <v>2510</v>
      </c>
    </row>
    <row r="17" spans="1:9" ht="14.25">
      <c r="A17" s="3407"/>
      <c r="B17" s="3408" t="s">
        <v>2519</v>
      </c>
      <c r="C17" s="3408"/>
      <c r="D17" s="2545"/>
      <c r="E17" s="2545"/>
      <c r="F17" s="2546"/>
      <c r="G17" s="2547"/>
      <c r="H17" s="2557"/>
      <c r="I17" s="2558">
        <f>ROUND(D17*E17*F17*G17/10000,0)</f>
        <v>0</v>
      </c>
    </row>
    <row r="18" spans="1:9" ht="14.25">
      <c r="A18" s="3407"/>
      <c r="B18" s="3408" t="s">
        <v>2520</v>
      </c>
      <c r="C18" s="3408"/>
      <c r="D18" s="2545"/>
      <c r="E18" s="2545"/>
      <c r="F18" s="2546"/>
      <c r="G18" s="2547"/>
      <c r="H18" s="2557"/>
      <c r="I18" s="2558">
        <f>ROUND(D18*E18*F18*G18/10000,0)</f>
        <v>0</v>
      </c>
    </row>
    <row r="19" spans="1:9" ht="14.25">
      <c r="A19" s="3407"/>
      <c r="B19" s="3408" t="s">
        <v>2521</v>
      </c>
      <c r="C19" s="3408"/>
      <c r="D19" s="2545"/>
      <c r="E19" s="2545"/>
      <c r="F19" s="2546"/>
      <c r="G19" s="2547"/>
      <c r="H19" s="2557"/>
      <c r="I19" s="2558">
        <f>ROUND(D19*E19*F19*G19/10000,0)</f>
        <v>0</v>
      </c>
    </row>
    <row r="20" spans="1:9">
      <c r="A20" s="3407"/>
      <c r="B20" s="3409" t="s">
        <v>2502</v>
      </c>
      <c r="C20" s="3409"/>
      <c r="D20" s="2549">
        <f>SUM(D17:D19)</f>
        <v>0</v>
      </c>
      <c r="E20" s="2549"/>
      <c r="F20" s="2550"/>
      <c r="G20" s="2547"/>
      <c r="H20" s="2554"/>
      <c r="I20" s="2555">
        <f>SUM(I17:I19)</f>
        <v>0</v>
      </c>
    </row>
    <row r="21" spans="1:9">
      <c r="A21" s="3407" t="s">
        <v>2522</v>
      </c>
      <c r="B21" s="3411"/>
      <c r="C21" s="3411"/>
      <c r="D21" s="3411"/>
      <c r="E21" s="3411"/>
      <c r="F21" s="3411"/>
      <c r="G21" s="3411"/>
      <c r="H21" s="2559">
        <v>0.1</v>
      </c>
      <c r="I21" s="2552">
        <f>ROUND(I10*H21,0)</f>
        <v>0</v>
      </c>
    </row>
    <row r="22" spans="1:9" ht="14.25">
      <c r="A22" s="3412" t="s">
        <v>2523</v>
      </c>
      <c r="B22" s="3413"/>
      <c r="C22" s="3414"/>
      <c r="D22" s="2560" t="s">
        <v>2524</v>
      </c>
      <c r="E22" s="2560" t="s">
        <v>2525</v>
      </c>
      <c r="F22" s="2561" t="s">
        <v>2526</v>
      </c>
      <c r="G22" s="2561" t="s">
        <v>2527</v>
      </c>
      <c r="H22" s="2553" t="s">
        <v>2528</v>
      </c>
      <c r="I22" s="2544" t="s">
        <v>2529</v>
      </c>
    </row>
    <row r="23" spans="1:9" ht="14.25" thickBot="1">
      <c r="A23" s="3415"/>
      <c r="B23" s="3416"/>
      <c r="C23" s="3417"/>
      <c r="D23" s="2562"/>
      <c r="E23" s="2562"/>
      <c r="F23" s="2562"/>
      <c r="G23" s="2563"/>
      <c r="H23" s="2564"/>
      <c r="I23" s="2565">
        <f>ROUND(E23*D23*F23*(1-G23)/10000,0)</f>
        <v>0</v>
      </c>
    </row>
    <row r="26" spans="1:9">
      <c r="A26" s="2566" t="s">
        <v>2530</v>
      </c>
      <c r="B26" s="2566"/>
      <c r="C26" s="2566"/>
      <c r="D26" s="2566"/>
      <c r="E26" s="3418">
        <f>C27-C30-C31-C32</f>
        <v>0</v>
      </c>
      <c r="F26" s="3418"/>
      <c r="G26" s="3418"/>
      <c r="H26" s="3084" t="s">
        <v>2861</v>
      </c>
    </row>
    <row r="27" spans="1:9">
      <c r="A27" s="2567">
        <v>1</v>
      </c>
      <c r="B27" s="2568" t="s">
        <v>2531</v>
      </c>
      <c r="C27" s="2568"/>
      <c r="D27" s="2568"/>
      <c r="E27" s="3419"/>
      <c r="F27" s="3419"/>
      <c r="G27" s="3419"/>
    </row>
    <row r="28" spans="1:9">
      <c r="A28" s="2569" t="s">
        <v>2532</v>
      </c>
      <c r="B28" s="2568" t="s">
        <v>2533</v>
      </c>
      <c r="C28" s="2568"/>
      <c r="D28" s="2568"/>
      <c r="E28" s="3419"/>
      <c r="F28" s="3419"/>
      <c r="G28" s="3419"/>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10"/>
      <c r="F32" s="3410"/>
      <c r="G32" s="3410"/>
    </row>
    <row r="33" spans="1:7" hidden="1">
      <c r="A33" s="3420" t="s">
        <v>2541</v>
      </c>
      <c r="B33" s="3421"/>
      <c r="C33" s="3421"/>
      <c r="D33" s="3422"/>
      <c r="E33" s="3418"/>
      <c r="F33" s="3418"/>
      <c r="G33" s="3418"/>
    </row>
    <row r="34" spans="1:7" hidden="1">
      <c r="A34" s="2571">
        <v>1</v>
      </c>
      <c r="B34" s="2568" t="s">
        <v>2542</v>
      </c>
      <c r="C34" s="2568"/>
      <c r="D34" s="2568"/>
      <c r="E34" s="3419"/>
      <c r="F34" s="3419"/>
      <c r="G34" s="3419"/>
    </row>
    <row r="35" spans="1:7" hidden="1">
      <c r="A35" s="2571">
        <v>2</v>
      </c>
      <c r="B35" s="2568" t="s">
        <v>2543</v>
      </c>
      <c r="C35" s="2568"/>
      <c r="D35" s="2568"/>
      <c r="E35" s="3419"/>
      <c r="F35" s="3419"/>
      <c r="G35" s="3419"/>
    </row>
    <row r="36" spans="1:7" hidden="1">
      <c r="A36" s="2571">
        <v>3</v>
      </c>
      <c r="B36" s="2568" t="s">
        <v>2544</v>
      </c>
      <c r="C36" s="2568"/>
      <c r="D36" s="2568"/>
      <c r="E36" s="3419"/>
      <c r="F36" s="3419"/>
      <c r="G36" s="3419"/>
    </row>
    <row r="37" spans="1:7" hidden="1">
      <c r="A37" s="2571">
        <v>4</v>
      </c>
      <c r="B37" s="2568" t="s">
        <v>2545</v>
      </c>
      <c r="C37" s="2568"/>
      <c r="D37" s="2568"/>
      <c r="E37" s="3419"/>
      <c r="F37" s="3419"/>
      <c r="G37" s="3419"/>
    </row>
    <row r="38" spans="1:7" hidden="1">
      <c r="A38" s="3420" t="s">
        <v>2546</v>
      </c>
      <c r="B38" s="3421"/>
      <c r="C38" s="3421"/>
      <c r="D38" s="3422"/>
      <c r="E38" s="3418"/>
      <c r="F38" s="3418"/>
      <c r="G38" s="34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99836.688000000009</v>
      </c>
      <c r="E10" s="752">
        <f>'数据-取费表'!B31</f>
        <v>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1997</v>
      </c>
      <c r="D12" s="761">
        <f>'数据-汇总表'!E5</f>
        <v>99836.688000000009</v>
      </c>
      <c r="E12" s="760">
        <f>'数据-取费表'!B27</f>
        <v>200</v>
      </c>
      <c r="F12" s="758"/>
      <c r="G12" s="762"/>
    </row>
    <row r="13" spans="1:25" s="2194" customFormat="1" ht="13.5" customHeight="1">
      <c r="A13" s="2512" t="s">
        <v>2460</v>
      </c>
      <c r="B13" s="759" t="s">
        <v>613</v>
      </c>
      <c r="C13" s="760">
        <f>ROUND(D13*E13/10000,0)</f>
        <v>0</v>
      </c>
      <c r="D13" s="761">
        <f>'数据-汇总表'!E6</f>
        <v>0</v>
      </c>
      <c r="E13" s="760">
        <f>'数据-取费表'!B28</f>
        <v>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0.93600000000000005</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22" t="s">
        <v>523</v>
      </c>
      <c r="D4" s="3323"/>
      <c r="E4" s="3356" t="s">
        <v>524</v>
      </c>
      <c r="F4" s="3357"/>
      <c r="G4" s="3322" t="s">
        <v>525</v>
      </c>
      <c r="H4" s="3323"/>
      <c r="I4" s="3322" t="s">
        <v>526</v>
      </c>
      <c r="J4" s="3323"/>
      <c r="K4" s="856"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19" t="s">
        <v>525</v>
      </c>
      <c r="AC4" s="3319" t="s">
        <v>526</v>
      </c>
    </row>
    <row r="5" spans="1:29" ht="15">
      <c r="A5" s="518"/>
      <c r="B5" s="519"/>
      <c r="C5" s="3338" t="s">
        <v>2949</v>
      </c>
      <c r="D5" s="3339"/>
      <c r="E5" s="3358" t="s">
        <v>2950</v>
      </c>
      <c r="F5" s="3359"/>
      <c r="G5" s="3338" t="s">
        <v>2951</v>
      </c>
      <c r="H5" s="3339"/>
      <c r="I5" s="3338" t="s">
        <v>2952</v>
      </c>
      <c r="J5" s="3339"/>
      <c r="K5" s="85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85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42920</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47" t="s">
        <v>531</v>
      </c>
      <c r="Q7" s="3349"/>
      <c r="R7" s="1574" t="s">
        <v>13</v>
      </c>
      <c r="S7" s="1575">
        <f t="shared" ref="S7:S15" si="0">F7</f>
        <v>0</v>
      </c>
      <c r="T7" s="1574" t="s">
        <v>13</v>
      </c>
      <c r="U7" s="1575">
        <f t="shared" ref="U7:U15" si="1">H7</f>
        <v>0</v>
      </c>
      <c r="V7" s="1574" t="s">
        <v>13</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47" t="s">
        <v>534</v>
      </c>
      <c r="Q8" s="3348"/>
      <c r="R8" s="1574" t="s">
        <v>13</v>
      </c>
      <c r="S8" s="1575">
        <f t="shared" si="0"/>
        <v>0</v>
      </c>
      <c r="T8" s="1574" t="s">
        <v>13</v>
      </c>
      <c r="U8" s="1575">
        <f t="shared" si="1"/>
        <v>0</v>
      </c>
      <c r="V8" s="1574" t="s">
        <v>13</v>
      </c>
      <c r="W8" s="1575">
        <f t="shared" si="2"/>
        <v>0</v>
      </c>
      <c r="X8" s="1576"/>
      <c r="Y8" s="3347" t="s">
        <v>534</v>
      </c>
      <c r="Z8" s="334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16"/>
      <c r="Q11" s="1154" t="str">
        <f t="shared" si="6"/>
        <v>容积率</v>
      </c>
      <c r="R11" s="1574" t="s">
        <v>11</v>
      </c>
      <c r="S11" s="1575" t="e">
        <f t="shared" si="0"/>
        <v>#N/A</v>
      </c>
      <c r="T11" s="1574" t="s">
        <v>11</v>
      </c>
      <c r="U11" s="1575" t="e">
        <f t="shared" si="1"/>
        <v>#N/A</v>
      </c>
      <c r="V11" s="1574" t="s">
        <v>11</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16"/>
      <c r="Q12" s="1154">
        <f t="shared" si="6"/>
        <v>111</v>
      </c>
      <c r="R12" s="1574" t="s">
        <v>11</v>
      </c>
      <c r="S12" s="1575">
        <f t="shared" si="0"/>
        <v>100</v>
      </c>
      <c r="T12" s="1574" t="s">
        <v>11</v>
      </c>
      <c r="U12" s="1575">
        <f t="shared" si="1"/>
        <v>100</v>
      </c>
      <c r="V12" s="1574" t="s">
        <v>11</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16"/>
      <c r="Q13" s="1154">
        <f t="shared" si="6"/>
        <v>111</v>
      </c>
      <c r="R13" s="1574" t="s">
        <v>11</v>
      </c>
      <c r="S13" s="1575">
        <f t="shared" si="0"/>
        <v>100</v>
      </c>
      <c r="T13" s="1574" t="s">
        <v>11</v>
      </c>
      <c r="U13" s="1575">
        <f t="shared" si="1"/>
        <v>100</v>
      </c>
      <c r="V13" s="1574" t="s">
        <v>11</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16"/>
      <c r="Q14" s="1154">
        <f t="shared" si="6"/>
        <v>111</v>
      </c>
      <c r="R14" s="1574" t="s">
        <v>11</v>
      </c>
      <c r="S14" s="1575">
        <f t="shared" si="0"/>
        <v>100</v>
      </c>
      <c r="T14" s="1574" t="s">
        <v>11</v>
      </c>
      <c r="U14" s="1575">
        <f t="shared" si="1"/>
        <v>100</v>
      </c>
      <c r="V14" s="1574" t="s">
        <v>11</v>
      </c>
      <c r="W14" s="1575">
        <f t="shared" si="2"/>
        <v>100</v>
      </c>
      <c r="X14" s="1576"/>
      <c r="Y14" s="3262"/>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50" t="s">
        <v>541</v>
      </c>
      <c r="Q15" s="1578" t="str">
        <f t="shared" si="6"/>
        <v>居住社区成熟度</v>
      </c>
      <c r="R15" s="1579" t="s">
        <v>11</v>
      </c>
      <c r="S15" s="1580">
        <f t="shared" si="0"/>
        <v>100</v>
      </c>
      <c r="T15" s="1579" t="s">
        <v>11</v>
      </c>
      <c r="U15" s="1580">
        <f t="shared" si="1"/>
        <v>100</v>
      </c>
      <c r="V15" s="1579" t="s">
        <v>11</v>
      </c>
      <c r="W15" s="1580">
        <f t="shared" si="2"/>
        <v>100</v>
      </c>
      <c r="X15" s="1573"/>
      <c r="Y15" s="3350"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51"/>
      <c r="Q17" s="1578" t="str">
        <f>B17</f>
        <v>交通便捷度</v>
      </c>
      <c r="R17" s="1579" t="s">
        <v>11</v>
      </c>
      <c r="S17" s="1580">
        <f>F17</f>
        <v>100</v>
      </c>
      <c r="T17" s="1579" t="s">
        <v>11</v>
      </c>
      <c r="U17" s="1580">
        <f>H17</f>
        <v>100</v>
      </c>
      <c r="V17" s="1579" t="s">
        <v>11</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51"/>
      <c r="Q19" s="1578" t="str">
        <f>B19</f>
        <v>公共配套设施</v>
      </c>
      <c r="R19" s="1579" t="s">
        <v>11</v>
      </c>
      <c r="S19" s="1580">
        <f>F19</f>
        <v>100</v>
      </c>
      <c r="T19" s="1579" t="s">
        <v>11</v>
      </c>
      <c r="U19" s="1580">
        <f>H19</f>
        <v>100</v>
      </c>
      <c r="V19" s="1579" t="s">
        <v>11</v>
      </c>
      <c r="W19" s="1580">
        <f>J19</f>
        <v>100</v>
      </c>
      <c r="X19" s="1573"/>
      <c r="Y19" s="335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51"/>
      <c r="Q21" s="2615" t="str">
        <f>B21</f>
        <v>基础设施水平</v>
      </c>
      <c r="R21" s="1579" t="s">
        <v>11</v>
      </c>
      <c r="S21" s="1580">
        <f>F21</f>
        <v>100</v>
      </c>
      <c r="T21" s="1579" t="s">
        <v>11</v>
      </c>
      <c r="U21" s="1580">
        <f>H21</f>
        <v>100</v>
      </c>
      <c r="V21" s="1579" t="s">
        <v>11</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51"/>
      <c r="Q22" s="2615"/>
      <c r="R22" s="1579"/>
      <c r="S22" s="1580"/>
      <c r="T22" s="1579"/>
      <c r="U22" s="1580"/>
      <c r="V22" s="1579"/>
      <c r="W22" s="1580"/>
      <c r="X22" s="2617"/>
      <c r="Y22" s="3351"/>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51"/>
      <c r="Q23" s="1578" t="str">
        <f>B23</f>
        <v>自然及人文环境</v>
      </c>
      <c r="R23" s="1579" t="s">
        <v>11</v>
      </c>
      <c r="S23" s="1580">
        <f>F23</f>
        <v>100</v>
      </c>
      <c r="T23" s="1579" t="s">
        <v>11</v>
      </c>
      <c r="U23" s="1580">
        <f>H23</f>
        <v>100</v>
      </c>
      <c r="V23" s="1579" t="s">
        <v>11</v>
      </c>
      <c r="W23" s="1580">
        <f>J23</f>
        <v>100</v>
      </c>
      <c r="X23" s="1573"/>
      <c r="Y23" s="335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51"/>
      <c r="Q25" s="1578" t="str">
        <f t="shared" ref="Q25:Q46" si="11">B25</f>
        <v>楼层-1</v>
      </c>
      <c r="R25" s="1579" t="s">
        <v>11</v>
      </c>
      <c r="S25" s="1580">
        <f>F25</f>
        <v>100</v>
      </c>
      <c r="T25" s="1579" t="s">
        <v>11</v>
      </c>
      <c r="U25" s="1580">
        <f>H25</f>
        <v>100</v>
      </c>
      <c r="V25" s="1579" t="s">
        <v>11</v>
      </c>
      <c r="W25" s="1580">
        <f>J25</f>
        <v>100</v>
      </c>
      <c r="X25" s="1573"/>
      <c r="Y25" s="3351"/>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51"/>
      <c r="Q26" s="1578" t="str">
        <f t="shared" si="11"/>
        <v>朝向</v>
      </c>
      <c r="R26" s="1579" t="s">
        <v>11</v>
      </c>
      <c r="S26" s="1580">
        <f>F26</f>
        <v>100</v>
      </c>
      <c r="T26" s="1579" t="s">
        <v>11</v>
      </c>
      <c r="U26" s="1580">
        <f>H26</f>
        <v>100</v>
      </c>
      <c r="V26" s="1579" t="s">
        <v>11</v>
      </c>
      <c r="W26" s="1580">
        <f>J26</f>
        <v>100</v>
      </c>
      <c r="X26" s="1573"/>
      <c r="Y26" s="3351"/>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51"/>
      <c r="Q27" s="1154" t="str">
        <f t="shared" si="11"/>
        <v>道路级别</v>
      </c>
      <c r="R27" s="1574" t="s">
        <v>11</v>
      </c>
      <c r="S27" s="1575">
        <f>F27</f>
        <v>100</v>
      </c>
      <c r="T27" s="1574" t="s">
        <v>11</v>
      </c>
      <c r="U27" s="1575">
        <f>H27</f>
        <v>100</v>
      </c>
      <c r="V27" s="1574" t="s">
        <v>11</v>
      </c>
      <c r="W27" s="1575">
        <f>J27</f>
        <v>100</v>
      </c>
      <c r="X27" s="1576"/>
      <c r="Y27" s="3351"/>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51"/>
      <c r="Q28" s="1578">
        <f t="shared" si="11"/>
        <v>111</v>
      </c>
      <c r="R28" s="1579" t="s">
        <v>11</v>
      </c>
      <c r="S28" s="1580">
        <f t="shared" ref="S28:S46" si="12">F28</f>
        <v>100</v>
      </c>
      <c r="T28" s="1579" t="s">
        <v>11</v>
      </c>
      <c r="U28" s="1580">
        <f t="shared" ref="U28:U46" si="13">H28</f>
        <v>100</v>
      </c>
      <c r="V28" s="1579" t="s">
        <v>11</v>
      </c>
      <c r="W28" s="1580">
        <f t="shared" ref="W28:W46" si="14">J28</f>
        <v>100</v>
      </c>
      <c r="X28" s="1573"/>
      <c r="Y28" s="3351"/>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51"/>
      <c r="Q29" s="1578">
        <f t="shared" si="11"/>
        <v>111</v>
      </c>
      <c r="R29" s="1579" t="s">
        <v>11</v>
      </c>
      <c r="S29" s="1580">
        <f t="shared" si="12"/>
        <v>100</v>
      </c>
      <c r="T29" s="1579" t="s">
        <v>11</v>
      </c>
      <c r="U29" s="1580">
        <f t="shared" si="13"/>
        <v>100</v>
      </c>
      <c r="V29" s="1579" t="s">
        <v>11</v>
      </c>
      <c r="W29" s="1580">
        <f t="shared" si="14"/>
        <v>100</v>
      </c>
      <c r="X29" s="1573"/>
      <c r="Y29" s="335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51"/>
      <c r="Q30" s="1578">
        <f t="shared" si="11"/>
        <v>111</v>
      </c>
      <c r="R30" s="1579" t="s">
        <v>11</v>
      </c>
      <c r="S30" s="1580">
        <f t="shared" si="12"/>
        <v>100</v>
      </c>
      <c r="T30" s="1579" t="s">
        <v>11</v>
      </c>
      <c r="U30" s="1580">
        <f t="shared" si="13"/>
        <v>100</v>
      </c>
      <c r="V30" s="1579" t="s">
        <v>11</v>
      </c>
      <c r="W30" s="1580">
        <f t="shared" si="14"/>
        <v>100</v>
      </c>
      <c r="X30" s="1573"/>
      <c r="Y30" s="3351"/>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51"/>
      <c r="Q31" s="1578">
        <f t="shared" si="11"/>
        <v>111</v>
      </c>
      <c r="R31" s="1579" t="s">
        <v>11</v>
      </c>
      <c r="S31" s="1580">
        <f t="shared" si="12"/>
        <v>100</v>
      </c>
      <c r="T31" s="1579" t="s">
        <v>11</v>
      </c>
      <c r="U31" s="1580">
        <f t="shared" si="13"/>
        <v>100</v>
      </c>
      <c r="V31" s="1579" t="s">
        <v>11</v>
      </c>
      <c r="W31" s="1580">
        <f t="shared" si="14"/>
        <v>100</v>
      </c>
      <c r="X31" s="1573"/>
      <c r="Y31" s="3351"/>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52" t="s">
        <v>551</v>
      </c>
      <c r="Q32" s="1578" t="str">
        <f t="shared" si="11"/>
        <v>建筑类型</v>
      </c>
      <c r="R32" s="1579" t="s">
        <v>11</v>
      </c>
      <c r="S32" s="1580">
        <f t="shared" si="12"/>
        <v>100</v>
      </c>
      <c r="T32" s="1579" t="s">
        <v>11</v>
      </c>
      <c r="U32" s="1580">
        <f t="shared" si="13"/>
        <v>100</v>
      </c>
      <c r="V32" s="1579" t="s">
        <v>11</v>
      </c>
      <c r="W32" s="1580">
        <f t="shared" si="14"/>
        <v>100</v>
      </c>
      <c r="X32" s="1573"/>
      <c r="Y32" s="3353"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53"/>
      <c r="Q33" s="1611" t="str">
        <f t="shared" si="11"/>
        <v>项目建筑规模</v>
      </c>
      <c r="R33" s="1583" t="s">
        <v>11</v>
      </c>
      <c r="S33" s="1584" t="e">
        <f t="shared" si="12"/>
        <v>#N/A</v>
      </c>
      <c r="T33" s="1583" t="s">
        <v>11</v>
      </c>
      <c r="U33" s="1584" t="e">
        <f t="shared" si="13"/>
        <v>#N/A</v>
      </c>
      <c r="V33" s="1583" t="s">
        <v>11</v>
      </c>
      <c r="W33" s="1584" t="e">
        <f t="shared" si="14"/>
        <v>#N/A</v>
      </c>
      <c r="X33" s="1585"/>
      <c r="Y33" s="335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53"/>
      <c r="Q34" s="1578" t="str">
        <f t="shared" si="11"/>
        <v>建筑结构</v>
      </c>
      <c r="R34" s="1579" t="s">
        <v>11</v>
      </c>
      <c r="S34" s="1580">
        <f t="shared" si="12"/>
        <v>100</v>
      </c>
      <c r="T34" s="1579" t="s">
        <v>11</v>
      </c>
      <c r="U34" s="1580">
        <f t="shared" si="13"/>
        <v>100</v>
      </c>
      <c r="V34" s="1579" t="s">
        <v>11</v>
      </c>
      <c r="W34" s="1580">
        <f t="shared" si="14"/>
        <v>100</v>
      </c>
      <c r="X34" s="1573"/>
      <c r="Y34" s="3353"/>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53"/>
      <c r="Q35" s="1578" t="str">
        <f t="shared" si="11"/>
        <v>建筑品质</v>
      </c>
      <c r="R35" s="1579" t="s">
        <v>11</v>
      </c>
      <c r="S35" s="1580">
        <f t="shared" si="12"/>
        <v>100</v>
      </c>
      <c r="T35" s="1579" t="s">
        <v>11</v>
      </c>
      <c r="U35" s="1580">
        <f t="shared" si="13"/>
        <v>100</v>
      </c>
      <c r="V35" s="1579" t="s">
        <v>11</v>
      </c>
      <c r="W35" s="1580">
        <f t="shared" si="14"/>
        <v>100</v>
      </c>
      <c r="X35" s="1573"/>
      <c r="Y35" s="3353"/>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53"/>
      <c r="Q36" s="1578" t="str">
        <f t="shared" si="11"/>
        <v>公共部分装修</v>
      </c>
      <c r="R36" s="1579" t="s">
        <v>11</v>
      </c>
      <c r="S36" s="1580">
        <f t="shared" si="12"/>
        <v>100</v>
      </c>
      <c r="T36" s="1579" t="s">
        <v>11</v>
      </c>
      <c r="U36" s="1580">
        <f t="shared" si="13"/>
        <v>100</v>
      </c>
      <c r="V36" s="1579" t="s">
        <v>11</v>
      </c>
      <c r="W36" s="1580">
        <f t="shared" si="14"/>
        <v>100</v>
      </c>
      <c r="X36" s="1573"/>
      <c r="Y36" s="3353"/>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53"/>
      <c r="Q37" s="1154" t="str">
        <f t="shared" si="11"/>
        <v>成新度</v>
      </c>
      <c r="R37" s="1574" t="s">
        <v>11</v>
      </c>
      <c r="S37" s="1575" t="e">
        <f t="shared" si="12"/>
        <v>#N/A</v>
      </c>
      <c r="T37" s="1574" t="s">
        <v>11</v>
      </c>
      <c r="U37" s="1575" t="e">
        <f t="shared" si="13"/>
        <v>#N/A</v>
      </c>
      <c r="V37" s="1574" t="s">
        <v>11</v>
      </c>
      <c r="W37" s="1575" t="e">
        <f t="shared" si="14"/>
        <v>#N/A</v>
      </c>
      <c r="X37" s="1576"/>
      <c r="Y37" s="3353"/>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53" t="s">
        <v>551</v>
      </c>
      <c r="Q38" s="1578" t="str">
        <f t="shared" si="11"/>
        <v>物业管理</v>
      </c>
      <c r="R38" s="1579" t="s">
        <v>11</v>
      </c>
      <c r="S38" s="1580">
        <f t="shared" si="12"/>
        <v>100</v>
      </c>
      <c r="T38" s="1579" t="s">
        <v>11</v>
      </c>
      <c r="U38" s="1580">
        <f t="shared" si="13"/>
        <v>100</v>
      </c>
      <c r="V38" s="1579" t="s">
        <v>11</v>
      </c>
      <c r="W38" s="1580">
        <f t="shared" si="14"/>
        <v>100</v>
      </c>
      <c r="X38" s="1573"/>
      <c r="Y38" s="3353"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53"/>
      <c r="Q39" s="1578" t="str">
        <f t="shared" si="11"/>
        <v>市政基础设施</v>
      </c>
      <c r="R39" s="1579" t="s">
        <v>11</v>
      </c>
      <c r="S39" s="1580">
        <f t="shared" si="12"/>
        <v>100</v>
      </c>
      <c r="T39" s="1579" t="s">
        <v>11</v>
      </c>
      <c r="U39" s="1580">
        <f t="shared" si="13"/>
        <v>100</v>
      </c>
      <c r="V39" s="1579" t="s">
        <v>11</v>
      </c>
      <c r="W39" s="1580">
        <f t="shared" si="14"/>
        <v>100</v>
      </c>
      <c r="X39" s="1573"/>
      <c r="Y39" s="3353"/>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53"/>
      <c r="Q40" s="1578" t="str">
        <f t="shared" si="11"/>
        <v>房型</v>
      </c>
      <c r="R40" s="1579" t="s">
        <v>11</v>
      </c>
      <c r="S40" s="1580">
        <f t="shared" si="12"/>
        <v>100</v>
      </c>
      <c r="T40" s="1579" t="s">
        <v>11</v>
      </c>
      <c r="U40" s="1580">
        <f t="shared" si="13"/>
        <v>100</v>
      </c>
      <c r="V40" s="1579" t="s">
        <v>11</v>
      </c>
      <c r="W40" s="1580">
        <f t="shared" si="14"/>
        <v>100</v>
      </c>
      <c r="X40" s="1573"/>
      <c r="Y40" s="3353"/>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53"/>
      <c r="Q41" s="1611" t="str">
        <f t="shared" si="11"/>
        <v>单套/主力户型建筑面积</v>
      </c>
      <c r="R41" s="1583" t="s">
        <v>11</v>
      </c>
      <c r="S41" s="1584">
        <f t="shared" si="12"/>
        <v>100</v>
      </c>
      <c r="T41" s="1583" t="s">
        <v>11</v>
      </c>
      <c r="U41" s="1584">
        <f t="shared" si="13"/>
        <v>100</v>
      </c>
      <c r="V41" s="1583" t="s">
        <v>11</v>
      </c>
      <c r="W41" s="1584">
        <f t="shared" si="14"/>
        <v>100</v>
      </c>
      <c r="X41" s="1585"/>
      <c r="Y41" s="3353"/>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53"/>
      <c r="Q42" s="1578" t="str">
        <f t="shared" si="11"/>
        <v>内部装修</v>
      </c>
      <c r="R42" s="1579" t="s">
        <v>11</v>
      </c>
      <c r="S42" s="1580">
        <f t="shared" si="12"/>
        <v>100</v>
      </c>
      <c r="T42" s="1579" t="s">
        <v>11</v>
      </c>
      <c r="U42" s="1580">
        <f t="shared" si="13"/>
        <v>100</v>
      </c>
      <c r="V42" s="1579" t="s">
        <v>11</v>
      </c>
      <c r="W42" s="1580">
        <f t="shared" si="14"/>
        <v>100</v>
      </c>
      <c r="X42" s="1573"/>
      <c r="Y42" s="3353"/>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53"/>
      <c r="Q43" s="1578" t="str">
        <f t="shared" si="11"/>
        <v>内部装修维护情况</v>
      </c>
      <c r="R43" s="1579" t="s">
        <v>11</v>
      </c>
      <c r="S43" s="1580">
        <f t="shared" si="12"/>
        <v>100</v>
      </c>
      <c r="T43" s="1579" t="s">
        <v>11</v>
      </c>
      <c r="U43" s="1580">
        <f t="shared" si="13"/>
        <v>100</v>
      </c>
      <c r="V43" s="1579" t="s">
        <v>11</v>
      </c>
      <c r="W43" s="1580">
        <f t="shared" si="14"/>
        <v>100</v>
      </c>
      <c r="X43" s="1573"/>
      <c r="Y43" s="335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53"/>
      <c r="Q44" s="1154">
        <f t="shared" si="11"/>
        <v>111</v>
      </c>
      <c r="R44" s="1574" t="s">
        <v>11</v>
      </c>
      <c r="S44" s="1575">
        <f t="shared" si="12"/>
        <v>100</v>
      </c>
      <c r="T44" s="1574" t="s">
        <v>11</v>
      </c>
      <c r="U44" s="1575">
        <f t="shared" si="13"/>
        <v>100</v>
      </c>
      <c r="V44" s="1574" t="s">
        <v>11</v>
      </c>
      <c r="W44" s="1575">
        <f t="shared" si="14"/>
        <v>100</v>
      </c>
      <c r="X44" s="1576"/>
      <c r="Y44" s="335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53"/>
      <c r="Q45" s="1578">
        <f t="shared" si="11"/>
        <v>111</v>
      </c>
      <c r="R45" s="1579" t="s">
        <v>11</v>
      </c>
      <c r="S45" s="1580">
        <f t="shared" si="12"/>
        <v>100</v>
      </c>
      <c r="T45" s="1579" t="s">
        <v>11</v>
      </c>
      <c r="U45" s="1580">
        <f t="shared" si="13"/>
        <v>100</v>
      </c>
      <c r="V45" s="1579" t="s">
        <v>11</v>
      </c>
      <c r="W45" s="1580">
        <f t="shared" si="14"/>
        <v>100</v>
      </c>
      <c r="X45" s="1573"/>
      <c r="Y45" s="3353"/>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25"/>
      <c r="Q46" s="1578">
        <f t="shared" si="11"/>
        <v>111</v>
      </c>
      <c r="R46" s="1579" t="s">
        <v>10</v>
      </c>
      <c r="S46" s="1580">
        <f t="shared" si="12"/>
        <v>100</v>
      </c>
      <c r="T46" s="1579" t="s">
        <v>10</v>
      </c>
      <c r="U46" s="1580">
        <f t="shared" si="13"/>
        <v>100</v>
      </c>
      <c r="V46" s="1579" t="s">
        <v>10</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16" t="str">
        <f>A47</f>
        <v>成交单价（元/平方米）</v>
      </c>
      <c r="Q47" s="3316"/>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16" t="str">
        <f>A48</f>
        <v>比较价格（元/平方米）</v>
      </c>
      <c r="Q48" s="3316"/>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4"/>
      <c r="L49" s="2155"/>
      <c r="M49" s="2156"/>
      <c r="N49" s="2156"/>
      <c r="O49" s="2156"/>
      <c r="P49" s="3313" t="str">
        <f>A49</f>
        <v>估价对象XX用房的比较价格（楼面单价，元/平方米）</v>
      </c>
      <c r="Q49" s="3314"/>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22" t="s">
        <v>523</v>
      </c>
      <c r="D4" s="3323"/>
      <c r="E4" s="3356" t="s">
        <v>524</v>
      </c>
      <c r="F4" s="3357"/>
      <c r="G4" s="3322" t="s">
        <v>525</v>
      </c>
      <c r="H4" s="3323"/>
      <c r="I4" s="3322" t="s">
        <v>526</v>
      </c>
      <c r="J4" s="3323"/>
      <c r="K4" s="517"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17"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17"/>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17"/>
      <c r="AC6" s="3321"/>
    </row>
    <row r="7" spans="1:29" s="1223" customFormat="1" ht="15.75" thickBot="1">
      <c r="A7" s="2952"/>
      <c r="B7" s="2959" t="s">
        <v>530</v>
      </c>
      <c r="C7" s="522">
        <f>'数据-取费表'!B2</f>
        <v>42920</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47"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50" t="s">
        <v>541</v>
      </c>
      <c r="Q15" s="1578" t="str">
        <f t="shared" si="6"/>
        <v>商业繁华度</v>
      </c>
      <c r="R15" s="1579" t="s">
        <v>8</v>
      </c>
      <c r="S15" s="1580">
        <f t="shared" si="0"/>
        <v>100</v>
      </c>
      <c r="T15" s="1579" t="s">
        <v>8</v>
      </c>
      <c r="U15" s="1580">
        <f t="shared" si="1"/>
        <v>100</v>
      </c>
      <c r="V15" s="1579" t="s">
        <v>8</v>
      </c>
      <c r="W15" s="1580">
        <f t="shared" si="2"/>
        <v>100</v>
      </c>
      <c r="X15" s="1573"/>
      <c r="Y15" s="3350"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51"/>
      <c r="Q22" s="2615"/>
      <c r="R22" s="1579"/>
      <c r="S22" s="1580"/>
      <c r="T22" s="1579"/>
      <c r="U22" s="1580"/>
      <c r="V22" s="1579"/>
      <c r="W22" s="1580"/>
      <c r="X22" s="2617"/>
      <c r="Y22" s="3351"/>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51"/>
      <c r="Q23" s="1578" t="str">
        <f>B23</f>
        <v>自然及人文环境</v>
      </c>
      <c r="R23" s="1579" t="s">
        <v>8</v>
      </c>
      <c r="S23" s="1580">
        <f>F23</f>
        <v>100</v>
      </c>
      <c r="T23" s="1579" t="s">
        <v>8</v>
      </c>
      <c r="U23" s="1580">
        <f>H23</f>
        <v>100</v>
      </c>
      <c r="V23" s="1579" t="s">
        <v>8</v>
      </c>
      <c r="W23" s="1580">
        <f>J23</f>
        <v>100</v>
      </c>
      <c r="X23" s="1573"/>
      <c r="Y23" s="335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51"/>
      <c r="Q25" s="1578" t="str">
        <f t="shared" ref="Q25:Q46" si="11">B25</f>
        <v>临街状况</v>
      </c>
      <c r="R25" s="1579" t="s">
        <v>8</v>
      </c>
      <c r="S25" s="1580">
        <f>F25</f>
        <v>100</v>
      </c>
      <c r="T25" s="1579" t="s">
        <v>8</v>
      </c>
      <c r="U25" s="1580">
        <f>H25</f>
        <v>100</v>
      </c>
      <c r="V25" s="1579" t="s">
        <v>8</v>
      </c>
      <c r="W25" s="1580">
        <f>J25</f>
        <v>100</v>
      </c>
      <c r="X25" s="1573"/>
      <c r="Y25" s="3351"/>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51"/>
      <c r="Q26" s="1578" t="str">
        <f t="shared" si="11"/>
        <v>平面位置/可视性</v>
      </c>
      <c r="R26" s="1579" t="s">
        <v>8</v>
      </c>
      <c r="S26" s="1580">
        <f>F26</f>
        <v>100</v>
      </c>
      <c r="T26" s="1579" t="s">
        <v>8</v>
      </c>
      <c r="U26" s="1580">
        <f>H26</f>
        <v>100</v>
      </c>
      <c r="V26" s="1579" t="s">
        <v>8</v>
      </c>
      <c r="W26" s="1580">
        <f>J26</f>
        <v>100</v>
      </c>
      <c r="X26" s="1573"/>
      <c r="Y26" s="3351"/>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51"/>
      <c r="Q27" s="1154" t="str">
        <f t="shared" si="11"/>
        <v>人流量</v>
      </c>
      <c r="R27" s="1574" t="s">
        <v>8</v>
      </c>
      <c r="S27" s="1575">
        <f>F27</f>
        <v>100</v>
      </c>
      <c r="T27" s="1574" t="s">
        <v>8</v>
      </c>
      <c r="U27" s="1575">
        <f>H27</f>
        <v>100</v>
      </c>
      <c r="V27" s="1574" t="s">
        <v>8</v>
      </c>
      <c r="W27" s="1575">
        <f>J27</f>
        <v>100</v>
      </c>
      <c r="X27" s="1576"/>
      <c r="Y27" s="3351"/>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51"/>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51"/>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51"/>
      <c r="Q29" s="1578">
        <f t="shared" si="11"/>
        <v>111</v>
      </c>
      <c r="R29" s="1579" t="s">
        <v>8</v>
      </c>
      <c r="S29" s="1580">
        <f t="shared" si="12"/>
        <v>100</v>
      </c>
      <c r="T29" s="1579" t="s">
        <v>8</v>
      </c>
      <c r="U29" s="1580">
        <f t="shared" si="13"/>
        <v>100</v>
      </c>
      <c r="V29" s="1579" t="s">
        <v>8</v>
      </c>
      <c r="W29" s="1580">
        <f t="shared" si="14"/>
        <v>100</v>
      </c>
      <c r="X29" s="1573"/>
      <c r="Y29" s="335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51"/>
      <c r="Q30" s="1578">
        <f t="shared" si="11"/>
        <v>111</v>
      </c>
      <c r="R30" s="1579" t="s">
        <v>8</v>
      </c>
      <c r="S30" s="1580">
        <f t="shared" si="12"/>
        <v>100</v>
      </c>
      <c r="T30" s="1579" t="s">
        <v>8</v>
      </c>
      <c r="U30" s="1580">
        <f t="shared" si="13"/>
        <v>100</v>
      </c>
      <c r="V30" s="1579" t="s">
        <v>8</v>
      </c>
      <c r="W30" s="1580">
        <f t="shared" si="14"/>
        <v>100</v>
      </c>
      <c r="X30" s="1573"/>
      <c r="Y30" s="3351"/>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51"/>
      <c r="Q31" s="1578">
        <f t="shared" si="11"/>
        <v>111</v>
      </c>
      <c r="R31" s="1579" t="s">
        <v>8</v>
      </c>
      <c r="S31" s="1580">
        <f t="shared" si="12"/>
        <v>100</v>
      </c>
      <c r="T31" s="1579" t="s">
        <v>8</v>
      </c>
      <c r="U31" s="1580">
        <f t="shared" si="13"/>
        <v>100</v>
      </c>
      <c r="V31" s="1579" t="s">
        <v>8</v>
      </c>
      <c r="W31" s="1580">
        <f t="shared" si="14"/>
        <v>100</v>
      </c>
      <c r="X31" s="1573"/>
      <c r="Y31" s="3351"/>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52" t="s">
        <v>551</v>
      </c>
      <c r="Q32" s="1578" t="str">
        <f t="shared" si="11"/>
        <v>商业类型</v>
      </c>
      <c r="R32" s="1579" t="s">
        <v>8</v>
      </c>
      <c r="S32" s="1580">
        <f t="shared" si="12"/>
        <v>100</v>
      </c>
      <c r="T32" s="1579" t="s">
        <v>8</v>
      </c>
      <c r="U32" s="1580">
        <f t="shared" si="13"/>
        <v>100</v>
      </c>
      <c r="V32" s="1579" t="s">
        <v>8</v>
      </c>
      <c r="W32" s="1580">
        <f t="shared" si="14"/>
        <v>100</v>
      </c>
      <c r="X32" s="1573"/>
      <c r="Y32" s="3353"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53"/>
      <c r="Q33" s="1611" t="str">
        <f t="shared" si="11"/>
        <v>项目建筑规模</v>
      </c>
      <c r="R33" s="1583" t="s">
        <v>8</v>
      </c>
      <c r="S33" s="1584" t="e">
        <f t="shared" si="12"/>
        <v>#N/A</v>
      </c>
      <c r="T33" s="1583" t="s">
        <v>8</v>
      </c>
      <c r="U33" s="1584" t="e">
        <f t="shared" si="13"/>
        <v>#N/A</v>
      </c>
      <c r="V33" s="1583" t="s">
        <v>8</v>
      </c>
      <c r="W33" s="1584" t="e">
        <f t="shared" si="14"/>
        <v>#N/A</v>
      </c>
      <c r="X33" s="1585"/>
      <c r="Y33" s="335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53"/>
      <c r="Q34" s="1578" t="str">
        <f t="shared" si="11"/>
        <v>建筑结构</v>
      </c>
      <c r="R34" s="1579" t="s">
        <v>8</v>
      </c>
      <c r="S34" s="1580">
        <f t="shared" si="12"/>
        <v>100</v>
      </c>
      <c r="T34" s="1579" t="s">
        <v>8</v>
      </c>
      <c r="U34" s="1580">
        <f t="shared" si="13"/>
        <v>100</v>
      </c>
      <c r="V34" s="1579" t="s">
        <v>8</v>
      </c>
      <c r="W34" s="1580">
        <f t="shared" si="14"/>
        <v>100</v>
      </c>
      <c r="X34" s="1573"/>
      <c r="Y34" s="3353"/>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53"/>
      <c r="Q35" s="1578" t="str">
        <f t="shared" si="11"/>
        <v>公共部分装修</v>
      </c>
      <c r="R35" s="1579" t="s">
        <v>8</v>
      </c>
      <c r="S35" s="1580">
        <f t="shared" si="12"/>
        <v>100</v>
      </c>
      <c r="T35" s="1579" t="s">
        <v>8</v>
      </c>
      <c r="U35" s="1580">
        <f t="shared" si="13"/>
        <v>100</v>
      </c>
      <c r="V35" s="1579" t="s">
        <v>8</v>
      </c>
      <c r="W35" s="1580">
        <f t="shared" si="14"/>
        <v>100</v>
      </c>
      <c r="X35" s="1573"/>
      <c r="Y35" s="3353"/>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53"/>
      <c r="Q36" s="1578" t="str">
        <f t="shared" si="11"/>
        <v>成新度</v>
      </c>
      <c r="R36" s="1579" t="s">
        <v>8</v>
      </c>
      <c r="S36" s="1580" t="e">
        <f t="shared" si="12"/>
        <v>#N/A</v>
      </c>
      <c r="T36" s="1579" t="s">
        <v>8</v>
      </c>
      <c r="U36" s="1580" t="e">
        <f t="shared" si="13"/>
        <v>#N/A</v>
      </c>
      <c r="V36" s="1579" t="s">
        <v>8</v>
      </c>
      <c r="W36" s="1580" t="e">
        <f t="shared" si="14"/>
        <v>#N/A</v>
      </c>
      <c r="X36" s="1573"/>
      <c r="Y36" s="3353"/>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53"/>
      <c r="Q37" s="1154" t="str">
        <f t="shared" si="11"/>
        <v>市政基础设施</v>
      </c>
      <c r="R37" s="1574" t="s">
        <v>8</v>
      </c>
      <c r="S37" s="1575">
        <f t="shared" si="12"/>
        <v>100</v>
      </c>
      <c r="T37" s="1574" t="s">
        <v>8</v>
      </c>
      <c r="U37" s="1575">
        <f t="shared" si="13"/>
        <v>100</v>
      </c>
      <c r="V37" s="1574" t="s">
        <v>8</v>
      </c>
      <c r="W37" s="1575">
        <f t="shared" si="14"/>
        <v>100</v>
      </c>
      <c r="X37" s="1576"/>
      <c r="Y37" s="3353"/>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53" t="s">
        <v>769</v>
      </c>
      <c r="Q38" s="1578" t="str">
        <f t="shared" si="11"/>
        <v>业态</v>
      </c>
      <c r="R38" s="1579" t="s">
        <v>8</v>
      </c>
      <c r="S38" s="1580">
        <f t="shared" si="12"/>
        <v>100</v>
      </c>
      <c r="T38" s="1579" t="s">
        <v>8</v>
      </c>
      <c r="U38" s="1580">
        <f t="shared" si="13"/>
        <v>100</v>
      </c>
      <c r="V38" s="1579" t="s">
        <v>8</v>
      </c>
      <c r="W38" s="1580">
        <f t="shared" si="14"/>
        <v>100</v>
      </c>
      <c r="X38" s="1573"/>
      <c r="Y38" s="3353"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3"/>
      <c r="Q39" s="1578" t="str">
        <f t="shared" si="11"/>
        <v>层高</v>
      </c>
      <c r="R39" s="1579" t="s">
        <v>8</v>
      </c>
      <c r="S39" s="1580">
        <f t="shared" si="12"/>
        <v>100</v>
      </c>
      <c r="T39" s="1579" t="s">
        <v>8</v>
      </c>
      <c r="U39" s="1580">
        <f t="shared" si="13"/>
        <v>100</v>
      </c>
      <c r="V39" s="1579" t="s">
        <v>8</v>
      </c>
      <c r="W39" s="1580">
        <f t="shared" si="14"/>
        <v>100</v>
      </c>
      <c r="X39" s="1573"/>
      <c r="Y39" s="3353"/>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53"/>
      <c r="Q40" s="1578" t="str">
        <f t="shared" si="11"/>
        <v>单套建筑面积</v>
      </c>
      <c r="R40" s="1579" t="s">
        <v>8</v>
      </c>
      <c r="S40" s="1580">
        <f t="shared" si="12"/>
        <v>100</v>
      </c>
      <c r="T40" s="1579" t="s">
        <v>8</v>
      </c>
      <c r="U40" s="1580">
        <f t="shared" si="13"/>
        <v>100</v>
      </c>
      <c r="V40" s="1579" t="s">
        <v>8</v>
      </c>
      <c r="W40" s="1580">
        <f t="shared" si="14"/>
        <v>100</v>
      </c>
      <c r="X40" s="1573"/>
      <c r="Y40" s="3353"/>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53"/>
      <c r="Q41" s="1611" t="str">
        <f t="shared" si="11"/>
        <v>进深比</v>
      </c>
      <c r="R41" s="1583" t="s">
        <v>8</v>
      </c>
      <c r="S41" s="1584">
        <f t="shared" si="12"/>
        <v>100</v>
      </c>
      <c r="T41" s="1583" t="s">
        <v>8</v>
      </c>
      <c r="U41" s="1584">
        <f t="shared" si="13"/>
        <v>100</v>
      </c>
      <c r="V41" s="1583" t="s">
        <v>8</v>
      </c>
      <c r="W41" s="1584">
        <f t="shared" si="14"/>
        <v>100</v>
      </c>
      <c r="X41" s="1585"/>
      <c r="Y41" s="3353"/>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53"/>
      <c r="Q42" s="1578" t="str">
        <f t="shared" si="11"/>
        <v>内部装修</v>
      </c>
      <c r="R42" s="1579" t="s">
        <v>8</v>
      </c>
      <c r="S42" s="1580">
        <f t="shared" si="12"/>
        <v>100</v>
      </c>
      <c r="T42" s="1579" t="s">
        <v>8</v>
      </c>
      <c r="U42" s="1580">
        <f t="shared" si="13"/>
        <v>100</v>
      </c>
      <c r="V42" s="1579" t="s">
        <v>8</v>
      </c>
      <c r="W42" s="1580">
        <f t="shared" si="14"/>
        <v>100</v>
      </c>
      <c r="X42" s="1573"/>
      <c r="Y42" s="3353"/>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53"/>
      <c r="Q43" s="1578" t="str">
        <f t="shared" si="11"/>
        <v>内部装修维护情况</v>
      </c>
      <c r="R43" s="1579" t="s">
        <v>8</v>
      </c>
      <c r="S43" s="1580">
        <f t="shared" si="12"/>
        <v>100</v>
      </c>
      <c r="T43" s="1579" t="s">
        <v>8</v>
      </c>
      <c r="U43" s="1580">
        <f t="shared" si="13"/>
        <v>100</v>
      </c>
      <c r="V43" s="1579" t="s">
        <v>8</v>
      </c>
      <c r="W43" s="1580">
        <f t="shared" si="14"/>
        <v>100</v>
      </c>
      <c r="X43" s="1573"/>
      <c r="Y43" s="335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53"/>
      <c r="Q44" s="1154">
        <f t="shared" si="11"/>
        <v>111</v>
      </c>
      <c r="R44" s="1574" t="s">
        <v>8</v>
      </c>
      <c r="S44" s="1575">
        <f t="shared" si="12"/>
        <v>100</v>
      </c>
      <c r="T44" s="1574" t="s">
        <v>8</v>
      </c>
      <c r="U44" s="1575">
        <f t="shared" si="13"/>
        <v>100</v>
      </c>
      <c r="V44" s="1574" t="s">
        <v>8</v>
      </c>
      <c r="W44" s="1575">
        <f t="shared" si="14"/>
        <v>100</v>
      </c>
      <c r="X44" s="1576"/>
      <c r="Y44" s="335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53"/>
      <c r="Q45" s="1578">
        <f t="shared" si="11"/>
        <v>111</v>
      </c>
      <c r="R45" s="1579" t="s">
        <v>8</v>
      </c>
      <c r="S45" s="1580">
        <f t="shared" si="12"/>
        <v>100</v>
      </c>
      <c r="T45" s="1579" t="s">
        <v>8</v>
      </c>
      <c r="U45" s="1580">
        <f t="shared" si="13"/>
        <v>100</v>
      </c>
      <c r="V45" s="1579" t="s">
        <v>8</v>
      </c>
      <c r="W45" s="1580">
        <f t="shared" si="14"/>
        <v>100</v>
      </c>
      <c r="X45" s="1573"/>
      <c r="Y45" s="3353"/>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25"/>
      <c r="Q46" s="1578">
        <f t="shared" si="11"/>
        <v>111</v>
      </c>
      <c r="R46" s="1579" t="s">
        <v>8</v>
      </c>
      <c r="S46" s="1580">
        <f t="shared" si="12"/>
        <v>100</v>
      </c>
      <c r="T46" s="1579" t="s">
        <v>8</v>
      </c>
      <c r="U46" s="1580">
        <f t="shared" si="13"/>
        <v>100</v>
      </c>
      <c r="V46" s="1579" t="s">
        <v>8</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16" t="str">
        <f>A47</f>
        <v>成交单价（元/平方米）</v>
      </c>
      <c r="Q47" s="3316"/>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16" t="str">
        <f>A48</f>
        <v>比较价格（元/平方米）</v>
      </c>
      <c r="Q48" s="3316"/>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9"/>
      <c r="L49" s="2155"/>
      <c r="M49" s="2156"/>
      <c r="N49" s="2145"/>
      <c r="O49" s="2156"/>
      <c r="P49" s="3313" t="str">
        <f>A49</f>
        <v>估价对象XX用房的比较价格（楼面单价，元/平方米）</v>
      </c>
      <c r="Q49" s="3314"/>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22" t="s">
        <v>523</v>
      </c>
      <c r="D4" s="3323"/>
      <c r="E4" s="3356" t="s">
        <v>524</v>
      </c>
      <c r="F4" s="3357"/>
      <c r="G4" s="3322" t="s">
        <v>525</v>
      </c>
      <c r="H4" s="3323"/>
      <c r="I4" s="3322" t="s">
        <v>526</v>
      </c>
      <c r="J4" s="3323"/>
      <c r="K4" s="517" t="s">
        <v>527</v>
      </c>
      <c r="L4" s="2144"/>
      <c r="M4" s="2145"/>
      <c r="N4" s="2145"/>
      <c r="O4" s="2145"/>
      <c r="P4" s="3427" t="s">
        <v>528</v>
      </c>
      <c r="Q4" s="3325"/>
      <c r="R4" s="3330" t="s">
        <v>524</v>
      </c>
      <c r="S4" s="3331"/>
      <c r="T4" s="3330" t="s">
        <v>525</v>
      </c>
      <c r="U4" s="3331"/>
      <c r="V4" s="3317" t="s">
        <v>526</v>
      </c>
      <c r="W4" s="3317"/>
      <c r="X4" s="1573"/>
      <c r="Y4" s="3330" t="s">
        <v>528</v>
      </c>
      <c r="Z4" s="3331"/>
      <c r="AA4" s="3319" t="s">
        <v>524</v>
      </c>
      <c r="AB4" s="3319"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428"/>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429"/>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42920</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49"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49" t="s">
        <v>534</v>
      </c>
      <c r="Q8" s="3348"/>
      <c r="R8" s="1574" t="s">
        <v>8</v>
      </c>
      <c r="S8" s="1575">
        <f t="shared" si="0"/>
        <v>0</v>
      </c>
      <c r="T8" s="1574" t="s">
        <v>8</v>
      </c>
      <c r="U8" s="1575">
        <f t="shared" si="1"/>
        <v>0</v>
      </c>
      <c r="V8" s="1574" t="s">
        <v>8</v>
      </c>
      <c r="W8" s="1575">
        <f t="shared" si="2"/>
        <v>0</v>
      </c>
      <c r="X8" s="1576"/>
      <c r="Y8" s="3347" t="s">
        <v>534</v>
      </c>
      <c r="Z8" s="3348"/>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50" t="s">
        <v>541</v>
      </c>
      <c r="Q15" s="1578" t="str">
        <f t="shared" si="6"/>
        <v>办公集聚程度</v>
      </c>
      <c r="R15" s="1579" t="s">
        <v>8</v>
      </c>
      <c r="S15" s="1580">
        <f t="shared" si="0"/>
        <v>100</v>
      </c>
      <c r="T15" s="1579" t="s">
        <v>8</v>
      </c>
      <c r="U15" s="1580">
        <f t="shared" si="1"/>
        <v>100</v>
      </c>
      <c r="V15" s="1579" t="s">
        <v>8</v>
      </c>
      <c r="W15" s="1580">
        <f t="shared" si="2"/>
        <v>100</v>
      </c>
      <c r="X15" s="1573"/>
      <c r="Y15" s="3350"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51"/>
      <c r="Q16" s="1578"/>
      <c r="R16" s="1579"/>
      <c r="S16" s="1580"/>
      <c r="T16" s="1579"/>
      <c r="U16" s="1580"/>
      <c r="V16" s="1579"/>
      <c r="W16" s="1580"/>
      <c r="X16" s="1573"/>
      <c r="Y16" s="3351"/>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51"/>
      <c r="Q18" s="1578"/>
      <c r="R18" s="1579"/>
      <c r="S18" s="1580"/>
      <c r="T18" s="1579"/>
      <c r="U18" s="1580"/>
      <c r="V18" s="1579"/>
      <c r="W18" s="1580"/>
      <c r="X18" s="1573"/>
      <c r="Y18" s="3351"/>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51"/>
      <c r="Q20" s="1578"/>
      <c r="R20" s="1579"/>
      <c r="S20" s="1580"/>
      <c r="T20" s="1579"/>
      <c r="U20" s="1580"/>
      <c r="V20" s="1579"/>
      <c r="W20" s="1580"/>
      <c r="X20" s="1573"/>
      <c r="Y20" s="3351"/>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51"/>
      <c r="Q22" s="2615"/>
      <c r="R22" s="1579"/>
      <c r="S22" s="1580"/>
      <c r="T22" s="1579"/>
      <c r="U22" s="1580"/>
      <c r="V22" s="1579"/>
      <c r="W22" s="1580"/>
      <c r="X22" s="2617"/>
      <c r="Y22" s="3351"/>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51"/>
      <c r="Q23" s="1578" t="str">
        <f>B23</f>
        <v>环境质量</v>
      </c>
      <c r="R23" s="1579" t="s">
        <v>8</v>
      </c>
      <c r="S23" s="1580">
        <f>F23</f>
        <v>100</v>
      </c>
      <c r="T23" s="1579" t="s">
        <v>8</v>
      </c>
      <c r="U23" s="1580">
        <f>H23</f>
        <v>100</v>
      </c>
      <c r="V23" s="1579" t="s">
        <v>8</v>
      </c>
      <c r="W23" s="1580">
        <f>J23</f>
        <v>100</v>
      </c>
      <c r="X23" s="1573"/>
      <c r="Y23" s="3351"/>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51"/>
      <c r="Q24" s="1578"/>
      <c r="R24" s="1579"/>
      <c r="S24" s="1580"/>
      <c r="T24" s="1579"/>
      <c r="U24" s="1580"/>
      <c r="V24" s="1579"/>
      <c r="W24" s="1580"/>
      <c r="X24" s="1573"/>
      <c r="Y24" s="3351"/>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51"/>
      <c r="Q25" s="1578" t="str">
        <f>B25</f>
        <v>毗邻道路的类型与等级</v>
      </c>
      <c r="R25" s="1579" t="s">
        <v>8</v>
      </c>
      <c r="S25" s="1580">
        <f>F25</f>
        <v>100</v>
      </c>
      <c r="T25" s="1579" t="s">
        <v>8</v>
      </c>
      <c r="U25" s="1580">
        <f>H25</f>
        <v>100</v>
      </c>
      <c r="V25" s="1579" t="s">
        <v>8</v>
      </c>
      <c r="W25" s="1580">
        <f>J25</f>
        <v>100</v>
      </c>
      <c r="X25" s="1573"/>
      <c r="Y25" s="3351"/>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51"/>
      <c r="Q26" s="1578"/>
      <c r="R26" s="1579"/>
      <c r="S26" s="1580"/>
      <c r="T26" s="1579"/>
      <c r="U26" s="1580"/>
      <c r="V26" s="1579"/>
      <c r="W26" s="1580"/>
      <c r="X26" s="1573"/>
      <c r="Y26" s="3351"/>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51"/>
      <c r="Q27" s="1578" t="str">
        <f t="shared" ref="Q27:Q47" si="11">B27</f>
        <v>楼层</v>
      </c>
      <c r="R27" s="1579" t="s">
        <v>8</v>
      </c>
      <c r="S27" s="1580">
        <f>F27</f>
        <v>100</v>
      </c>
      <c r="T27" s="1579" t="s">
        <v>8</v>
      </c>
      <c r="U27" s="1580">
        <f>H27</f>
        <v>100</v>
      </c>
      <c r="V27" s="1579" t="s">
        <v>8</v>
      </c>
      <c r="W27" s="1580">
        <f>J27</f>
        <v>100</v>
      </c>
      <c r="X27" s="1573"/>
      <c r="Y27" s="3351"/>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51"/>
      <c r="Q28" s="1154" t="str">
        <f t="shared" si="11"/>
        <v>朝向</v>
      </c>
      <c r="R28" s="1574" t="s">
        <v>8</v>
      </c>
      <c r="S28" s="1575">
        <f>F28</f>
        <v>100</v>
      </c>
      <c r="T28" s="1574" t="s">
        <v>8</v>
      </c>
      <c r="U28" s="1575">
        <f>H28</f>
        <v>100</v>
      </c>
      <c r="V28" s="1574" t="s">
        <v>8</v>
      </c>
      <c r="W28" s="1575">
        <f>J28</f>
        <v>100</v>
      </c>
      <c r="X28" s="1576"/>
      <c r="Y28" s="3351"/>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51"/>
      <c r="Q29" s="1578">
        <f t="shared" si="11"/>
        <v>111</v>
      </c>
      <c r="R29" s="1579" t="s">
        <v>8</v>
      </c>
      <c r="S29" s="1580">
        <f t="shared" ref="S29:S47" si="12">F29</f>
        <v>100</v>
      </c>
      <c r="T29" s="1579" t="s">
        <v>8</v>
      </c>
      <c r="U29" s="1580">
        <f t="shared" ref="U29:U47" si="13">H29</f>
        <v>100</v>
      </c>
      <c r="V29" s="1579" t="s">
        <v>8</v>
      </c>
      <c r="W29" s="1580">
        <f t="shared" ref="W29:W47" si="14">J29</f>
        <v>100</v>
      </c>
      <c r="X29" s="1573"/>
      <c r="Y29" s="3351"/>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51"/>
      <c r="Q30" s="1578">
        <f t="shared" si="11"/>
        <v>111</v>
      </c>
      <c r="R30" s="1579" t="s">
        <v>8</v>
      </c>
      <c r="S30" s="1580">
        <f t="shared" si="12"/>
        <v>100</v>
      </c>
      <c r="T30" s="1579" t="s">
        <v>8</v>
      </c>
      <c r="U30" s="1580">
        <f t="shared" si="13"/>
        <v>100</v>
      </c>
      <c r="V30" s="1579" t="s">
        <v>8</v>
      </c>
      <c r="W30" s="1580">
        <f t="shared" si="14"/>
        <v>100</v>
      </c>
      <c r="X30" s="1573"/>
      <c r="Y30" s="3351"/>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51"/>
      <c r="Q31" s="1578">
        <f t="shared" si="11"/>
        <v>111</v>
      </c>
      <c r="R31" s="1579" t="s">
        <v>8</v>
      </c>
      <c r="S31" s="1580">
        <f t="shared" si="12"/>
        <v>100</v>
      </c>
      <c r="T31" s="1579" t="s">
        <v>8</v>
      </c>
      <c r="U31" s="1580">
        <f t="shared" si="13"/>
        <v>100</v>
      </c>
      <c r="V31" s="1579" t="s">
        <v>8</v>
      </c>
      <c r="W31" s="1580">
        <f t="shared" si="14"/>
        <v>100</v>
      </c>
      <c r="X31" s="1573"/>
      <c r="Y31" s="3351"/>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51"/>
      <c r="Q32" s="1578">
        <f t="shared" si="11"/>
        <v>111</v>
      </c>
      <c r="R32" s="1579" t="s">
        <v>8</v>
      </c>
      <c r="S32" s="1580">
        <f t="shared" si="12"/>
        <v>100</v>
      </c>
      <c r="T32" s="1579" t="s">
        <v>8</v>
      </c>
      <c r="U32" s="1580">
        <f t="shared" si="13"/>
        <v>100</v>
      </c>
      <c r="V32" s="1579" t="s">
        <v>8</v>
      </c>
      <c r="W32" s="1580">
        <f t="shared" si="14"/>
        <v>100</v>
      </c>
      <c r="X32" s="1573"/>
      <c r="Y32" s="3351"/>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52" t="s">
        <v>551</v>
      </c>
      <c r="Q33" s="1578" t="str">
        <f t="shared" si="11"/>
        <v>建筑类型</v>
      </c>
      <c r="R33" s="1579" t="s">
        <v>8</v>
      </c>
      <c r="S33" s="1580">
        <f t="shared" si="12"/>
        <v>100</v>
      </c>
      <c r="T33" s="1579" t="s">
        <v>8</v>
      </c>
      <c r="U33" s="1580">
        <f t="shared" si="13"/>
        <v>100</v>
      </c>
      <c r="V33" s="1579" t="s">
        <v>8</v>
      </c>
      <c r="W33" s="1580">
        <f t="shared" si="14"/>
        <v>100</v>
      </c>
      <c r="X33" s="1573"/>
      <c r="Y33" s="3353"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53"/>
      <c r="Q34" s="1611" t="str">
        <f t="shared" si="11"/>
        <v>项目建筑规模</v>
      </c>
      <c r="R34" s="1583" t="s">
        <v>8</v>
      </c>
      <c r="S34" s="1584" t="e">
        <f t="shared" si="12"/>
        <v>#N/A</v>
      </c>
      <c r="T34" s="1583" t="s">
        <v>8</v>
      </c>
      <c r="U34" s="1584" t="e">
        <f t="shared" si="13"/>
        <v>#N/A</v>
      </c>
      <c r="V34" s="1583" t="s">
        <v>8</v>
      </c>
      <c r="W34" s="1584" t="e">
        <f t="shared" si="14"/>
        <v>#N/A</v>
      </c>
      <c r="X34" s="1585"/>
      <c r="Y34" s="3353"/>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53"/>
      <c r="Q35" s="1578" t="str">
        <f t="shared" si="11"/>
        <v>建筑结构</v>
      </c>
      <c r="R35" s="1579" t="s">
        <v>8</v>
      </c>
      <c r="S35" s="1580">
        <f t="shared" si="12"/>
        <v>100</v>
      </c>
      <c r="T35" s="1579" t="s">
        <v>8</v>
      </c>
      <c r="U35" s="1580">
        <f t="shared" si="13"/>
        <v>100</v>
      </c>
      <c r="V35" s="1579" t="s">
        <v>8</v>
      </c>
      <c r="W35" s="1580">
        <f t="shared" si="14"/>
        <v>100</v>
      </c>
      <c r="X35" s="1573"/>
      <c r="Y35" s="3353"/>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53"/>
      <c r="Q36" s="1578" t="str">
        <f t="shared" si="11"/>
        <v>公共部分装修</v>
      </c>
      <c r="R36" s="1579" t="s">
        <v>8</v>
      </c>
      <c r="S36" s="1580">
        <f t="shared" si="12"/>
        <v>100</v>
      </c>
      <c r="T36" s="1579" t="s">
        <v>8</v>
      </c>
      <c r="U36" s="1580">
        <f t="shared" si="13"/>
        <v>100</v>
      </c>
      <c r="V36" s="1579" t="s">
        <v>8</v>
      </c>
      <c r="W36" s="1580">
        <f t="shared" si="14"/>
        <v>100</v>
      </c>
      <c r="X36" s="1573"/>
      <c r="Y36" s="3353"/>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53"/>
      <c r="Q37" s="1578" t="str">
        <f t="shared" si="11"/>
        <v>成新度</v>
      </c>
      <c r="R37" s="1579" t="s">
        <v>8</v>
      </c>
      <c r="S37" s="1580" t="e">
        <f t="shared" si="12"/>
        <v>#N/A</v>
      </c>
      <c r="T37" s="1579" t="s">
        <v>8</v>
      </c>
      <c r="U37" s="1580" t="e">
        <f t="shared" si="13"/>
        <v>#N/A</v>
      </c>
      <c r="V37" s="1579" t="s">
        <v>8</v>
      </c>
      <c r="W37" s="1580" t="e">
        <f t="shared" si="14"/>
        <v>#N/A</v>
      </c>
      <c r="X37" s="1573"/>
      <c r="Y37" s="3353"/>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53"/>
      <c r="Q38" s="1154" t="str">
        <f t="shared" si="11"/>
        <v>写字楼等级</v>
      </c>
      <c r="R38" s="1574" t="s">
        <v>8</v>
      </c>
      <c r="S38" s="1575">
        <f t="shared" si="12"/>
        <v>100</v>
      </c>
      <c r="T38" s="1574" t="s">
        <v>8</v>
      </c>
      <c r="U38" s="1575">
        <f t="shared" si="13"/>
        <v>100</v>
      </c>
      <c r="V38" s="1574" t="s">
        <v>8</v>
      </c>
      <c r="W38" s="1575">
        <f t="shared" si="14"/>
        <v>100</v>
      </c>
      <c r="X38" s="1576"/>
      <c r="Y38" s="3353"/>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53" t="s">
        <v>551</v>
      </c>
      <c r="Q39" s="1578" t="str">
        <f t="shared" si="11"/>
        <v>物业管理</v>
      </c>
      <c r="R39" s="1579" t="s">
        <v>8</v>
      </c>
      <c r="S39" s="1580">
        <f t="shared" si="12"/>
        <v>100</v>
      </c>
      <c r="T39" s="1579" t="s">
        <v>8</v>
      </c>
      <c r="U39" s="1580">
        <f t="shared" si="13"/>
        <v>100</v>
      </c>
      <c r="V39" s="1579" t="s">
        <v>8</v>
      </c>
      <c r="W39" s="1580">
        <f t="shared" si="14"/>
        <v>100</v>
      </c>
      <c r="X39" s="1573"/>
      <c r="Y39" s="3353"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53"/>
      <c r="Q40" s="1578" t="str">
        <f t="shared" si="11"/>
        <v>市政基础设施</v>
      </c>
      <c r="R40" s="1579" t="s">
        <v>8</v>
      </c>
      <c r="S40" s="1580">
        <f t="shared" si="12"/>
        <v>100</v>
      </c>
      <c r="T40" s="1579" t="s">
        <v>8</v>
      </c>
      <c r="U40" s="1580">
        <f t="shared" si="13"/>
        <v>100</v>
      </c>
      <c r="V40" s="1579" t="s">
        <v>8</v>
      </c>
      <c r="W40" s="1580">
        <f t="shared" si="14"/>
        <v>100</v>
      </c>
      <c r="X40" s="1573"/>
      <c r="Y40" s="3353"/>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53"/>
      <c r="Q41" s="1578" t="str">
        <f t="shared" si="11"/>
        <v>层高</v>
      </c>
      <c r="R41" s="1579" t="s">
        <v>8</v>
      </c>
      <c r="S41" s="1580">
        <f t="shared" si="12"/>
        <v>100</v>
      </c>
      <c r="T41" s="1579" t="s">
        <v>8</v>
      </c>
      <c r="U41" s="1580">
        <f t="shared" si="13"/>
        <v>100</v>
      </c>
      <c r="V41" s="1579" t="s">
        <v>8</v>
      </c>
      <c r="W41" s="1580">
        <f t="shared" si="14"/>
        <v>100</v>
      </c>
      <c r="X41" s="1573"/>
      <c r="Y41" s="3353"/>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53"/>
      <c r="Q42" s="1611" t="str">
        <f t="shared" si="11"/>
        <v>单套建筑面积</v>
      </c>
      <c r="R42" s="1583" t="s">
        <v>8</v>
      </c>
      <c r="S42" s="1584">
        <f t="shared" si="12"/>
        <v>100</v>
      </c>
      <c r="T42" s="1583" t="s">
        <v>8</v>
      </c>
      <c r="U42" s="1584">
        <f t="shared" si="13"/>
        <v>100</v>
      </c>
      <c r="V42" s="1583" t="s">
        <v>8</v>
      </c>
      <c r="W42" s="1584">
        <f t="shared" si="14"/>
        <v>100</v>
      </c>
      <c r="X42" s="1585"/>
      <c r="Y42" s="3353"/>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53"/>
      <c r="Q43" s="1578" t="str">
        <f t="shared" si="11"/>
        <v>内部装修</v>
      </c>
      <c r="R43" s="1579" t="s">
        <v>8</v>
      </c>
      <c r="S43" s="1580">
        <f t="shared" si="12"/>
        <v>100</v>
      </c>
      <c r="T43" s="1579" t="s">
        <v>8</v>
      </c>
      <c r="U43" s="1580">
        <f t="shared" si="13"/>
        <v>100</v>
      </c>
      <c r="V43" s="1579" t="s">
        <v>8</v>
      </c>
      <c r="W43" s="1580">
        <f t="shared" si="14"/>
        <v>100</v>
      </c>
      <c r="X43" s="1573"/>
      <c r="Y43" s="3353"/>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53"/>
      <c r="Q44" s="1578" t="str">
        <f t="shared" si="11"/>
        <v>内部装修维护情况</v>
      </c>
      <c r="R44" s="1579" t="s">
        <v>8</v>
      </c>
      <c r="S44" s="1580">
        <f t="shared" si="12"/>
        <v>100</v>
      </c>
      <c r="T44" s="1579" t="s">
        <v>8</v>
      </c>
      <c r="U44" s="1580">
        <f t="shared" si="13"/>
        <v>100</v>
      </c>
      <c r="V44" s="1579" t="s">
        <v>8</v>
      </c>
      <c r="W44" s="1580">
        <f t="shared" si="14"/>
        <v>100</v>
      </c>
      <c r="X44" s="1573"/>
      <c r="Y44" s="3353"/>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53"/>
      <c r="Q45" s="1154">
        <f t="shared" si="11"/>
        <v>111</v>
      </c>
      <c r="R45" s="1574" t="s">
        <v>8</v>
      </c>
      <c r="S45" s="1575">
        <f t="shared" si="12"/>
        <v>100</v>
      </c>
      <c r="T45" s="1574" t="s">
        <v>8</v>
      </c>
      <c r="U45" s="1575">
        <f t="shared" si="13"/>
        <v>100</v>
      </c>
      <c r="V45" s="1574" t="s">
        <v>8</v>
      </c>
      <c r="W45" s="1575">
        <f t="shared" si="14"/>
        <v>100</v>
      </c>
      <c r="X45" s="1576"/>
      <c r="Y45" s="3353"/>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53"/>
      <c r="Q46" s="1578">
        <f t="shared" si="11"/>
        <v>111</v>
      </c>
      <c r="R46" s="1579" t="s">
        <v>8</v>
      </c>
      <c r="S46" s="1580">
        <f t="shared" si="12"/>
        <v>100</v>
      </c>
      <c r="T46" s="1579" t="s">
        <v>8</v>
      </c>
      <c r="U46" s="1580">
        <f t="shared" si="13"/>
        <v>100</v>
      </c>
      <c r="V46" s="1579" t="s">
        <v>8</v>
      </c>
      <c r="W46" s="1580">
        <f t="shared" si="14"/>
        <v>100</v>
      </c>
      <c r="X46" s="1573"/>
      <c r="Y46" s="3353"/>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25"/>
      <c r="Q47" s="1578">
        <f t="shared" si="11"/>
        <v>111</v>
      </c>
      <c r="R47" s="1579" t="s">
        <v>8</v>
      </c>
      <c r="S47" s="1580">
        <f t="shared" si="12"/>
        <v>100</v>
      </c>
      <c r="T47" s="1579" t="s">
        <v>8</v>
      </c>
      <c r="U47" s="1580">
        <f t="shared" si="13"/>
        <v>100</v>
      </c>
      <c r="V47" s="1579" t="s">
        <v>8</v>
      </c>
      <c r="W47" s="1580">
        <f t="shared" si="14"/>
        <v>100</v>
      </c>
      <c r="X47" s="1573"/>
      <c r="Y47" s="3425"/>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14" t="str">
        <f>A48</f>
        <v>成交单价（元/平方米）</v>
      </c>
      <c r="Q48" s="3316"/>
      <c r="R48" s="3424">
        <f>E48</f>
        <v>0</v>
      </c>
      <c r="S48" s="3424"/>
      <c r="T48" s="3424">
        <f>G48</f>
        <v>0</v>
      </c>
      <c r="U48" s="3424"/>
      <c r="V48" s="3424">
        <f>I48</f>
        <v>0</v>
      </c>
      <c r="W48" s="3424"/>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14" t="str">
        <f>A49</f>
        <v>比较价格（元/平方米）</v>
      </c>
      <c r="Q49" s="3316"/>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1565"/>
      <c r="Y49" s="1565"/>
      <c r="Z49" s="1565"/>
      <c r="AA49" s="1565"/>
      <c r="AB49" s="1565"/>
      <c r="AC49" s="1565"/>
    </row>
    <row r="50" spans="1:29" ht="15.75" thickBot="1">
      <c r="A50" s="624" t="s">
        <v>2955</v>
      </c>
      <c r="B50" s="625"/>
      <c r="C50" s="2672" t="e">
        <f>R50</f>
        <v>#DIV/0!</v>
      </c>
      <c r="D50" s="2672"/>
      <c r="E50" s="2672"/>
      <c r="F50" s="2672"/>
      <c r="G50" s="2672"/>
      <c r="H50" s="2672"/>
      <c r="I50" s="2672"/>
      <c r="J50" s="2672"/>
      <c r="K50" s="1619"/>
      <c r="L50" s="2155"/>
      <c r="M50" s="2145"/>
      <c r="N50" s="2145"/>
      <c r="O50" s="2145"/>
      <c r="P50" s="3426" t="str">
        <f>A50</f>
        <v>估价对象XX用房的比较价格（楼面单价，元/平方米）</v>
      </c>
      <c r="Q50" s="3314"/>
      <c r="R50" s="3423" t="e">
        <f>IF(F1="售价",ROUND(AVERAGE(R49:V49),0),ROUND(AVERAGE(R49:V49),1))</f>
        <v>#DIV/0!</v>
      </c>
      <c r="S50" s="3423"/>
      <c r="T50" s="3423"/>
      <c r="U50" s="3423"/>
      <c r="V50" s="3423"/>
      <c r="W50" s="3423"/>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22" t="s">
        <v>523</v>
      </c>
      <c r="D4" s="3323"/>
      <c r="E4" s="3356" t="s">
        <v>524</v>
      </c>
      <c r="F4" s="3357"/>
      <c r="G4" s="3322" t="s">
        <v>525</v>
      </c>
      <c r="H4" s="3323"/>
      <c r="I4" s="3322" t="s">
        <v>526</v>
      </c>
      <c r="J4" s="3323"/>
      <c r="K4" s="517"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20"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42920</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47"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50" t="s">
        <v>541</v>
      </c>
      <c r="Q15" s="1578" t="str">
        <f t="shared" si="6"/>
        <v>产业集聚程度</v>
      </c>
      <c r="R15" s="1579" t="s">
        <v>8</v>
      </c>
      <c r="S15" s="1580">
        <f t="shared" si="0"/>
        <v>100</v>
      </c>
      <c r="T15" s="1579" t="s">
        <v>8</v>
      </c>
      <c r="U15" s="1580">
        <f t="shared" si="1"/>
        <v>100</v>
      </c>
      <c r="V15" s="1579" t="s">
        <v>8</v>
      </c>
      <c r="W15" s="1580">
        <f t="shared" si="2"/>
        <v>100</v>
      </c>
      <c r="X15" s="1573"/>
      <c r="Y15" s="3350"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51"/>
      <c r="Q22" s="2615"/>
      <c r="R22" s="1579"/>
      <c r="S22" s="1580"/>
      <c r="T22" s="1579"/>
      <c r="U22" s="1580"/>
      <c r="V22" s="1579"/>
      <c r="W22" s="1580"/>
      <c r="X22" s="2617"/>
      <c r="Y22" s="3351"/>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51"/>
      <c r="Q23" s="1578" t="str">
        <f>B23</f>
        <v>环境质量</v>
      </c>
      <c r="R23" s="1579" t="s">
        <v>8</v>
      </c>
      <c r="S23" s="1580">
        <f>F23</f>
        <v>100</v>
      </c>
      <c r="T23" s="1579" t="s">
        <v>8</v>
      </c>
      <c r="U23" s="1580">
        <f>H23</f>
        <v>100</v>
      </c>
      <c r="V23" s="1579" t="s">
        <v>8</v>
      </c>
      <c r="W23" s="1580">
        <f>J23</f>
        <v>100</v>
      </c>
      <c r="X23" s="1573"/>
      <c r="Y23" s="3351"/>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51"/>
      <c r="Q25" s="1578">
        <f>B25</f>
        <v>111</v>
      </c>
      <c r="R25" s="1579" t="s">
        <v>8</v>
      </c>
      <c r="S25" s="1580">
        <f>F25</f>
        <v>100</v>
      </c>
      <c r="T25" s="1579" t="s">
        <v>8</v>
      </c>
      <c r="U25" s="1580">
        <f>H25</f>
        <v>100</v>
      </c>
      <c r="V25" s="1579" t="s">
        <v>8</v>
      </c>
      <c r="W25" s="1580">
        <f>J25</f>
        <v>100</v>
      </c>
      <c r="X25" s="1573"/>
      <c r="Y25" s="3351"/>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51"/>
      <c r="Q26" s="1578">
        <f t="shared" ref="Q26:Q40" si="11">B26</f>
        <v>111</v>
      </c>
      <c r="R26" s="1579" t="s">
        <v>8</v>
      </c>
      <c r="S26" s="1580">
        <f>F26</f>
        <v>100</v>
      </c>
      <c r="T26" s="1579" t="s">
        <v>8</v>
      </c>
      <c r="U26" s="1580">
        <f>H26</f>
        <v>100</v>
      </c>
      <c r="V26" s="1579" t="s">
        <v>8</v>
      </c>
      <c r="W26" s="1580">
        <f>J26</f>
        <v>100</v>
      </c>
      <c r="X26" s="1573"/>
      <c r="Y26" s="3351"/>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51"/>
      <c r="Q27" s="1154">
        <f t="shared" si="11"/>
        <v>111</v>
      </c>
      <c r="R27" s="1574" t="s">
        <v>8</v>
      </c>
      <c r="S27" s="1575">
        <f>F27</f>
        <v>100</v>
      </c>
      <c r="T27" s="1574" t="s">
        <v>8</v>
      </c>
      <c r="U27" s="1575">
        <f>H27</f>
        <v>100</v>
      </c>
      <c r="V27" s="1574" t="s">
        <v>8</v>
      </c>
      <c r="W27" s="1575">
        <f>J27</f>
        <v>100</v>
      </c>
      <c r="X27" s="1576"/>
      <c r="Y27" s="3351"/>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51"/>
      <c r="Q28" s="1578">
        <f t="shared" si="11"/>
        <v>111</v>
      </c>
      <c r="R28" s="1579" t="s">
        <v>8</v>
      </c>
      <c r="S28" s="1580">
        <f t="shared" ref="S28:S40" si="12">F28</f>
        <v>100</v>
      </c>
      <c r="T28" s="1579" t="s">
        <v>8</v>
      </c>
      <c r="U28" s="1580">
        <f t="shared" ref="U28:U40" si="13">H28</f>
        <v>100</v>
      </c>
      <c r="V28" s="1579" t="s">
        <v>8</v>
      </c>
      <c r="W28" s="1580">
        <f t="shared" ref="W28:W40" si="14">J28</f>
        <v>100</v>
      </c>
      <c r="X28" s="1573"/>
      <c r="Y28" s="3351"/>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52" t="s">
        <v>551</v>
      </c>
      <c r="Q29" s="1578" t="str">
        <f t="shared" si="11"/>
        <v>建筑类型</v>
      </c>
      <c r="R29" s="1579" t="s">
        <v>8</v>
      </c>
      <c r="S29" s="1580">
        <f t="shared" si="12"/>
        <v>100</v>
      </c>
      <c r="T29" s="1579" t="s">
        <v>8</v>
      </c>
      <c r="U29" s="1580">
        <f t="shared" si="13"/>
        <v>100</v>
      </c>
      <c r="V29" s="1579" t="s">
        <v>8</v>
      </c>
      <c r="W29" s="1580">
        <f t="shared" si="14"/>
        <v>100</v>
      </c>
      <c r="X29" s="1573"/>
      <c r="Y29" s="3353"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53"/>
      <c r="Q30" s="1611" t="str">
        <f t="shared" si="11"/>
        <v>项目建筑规模</v>
      </c>
      <c r="R30" s="1583" t="s">
        <v>8</v>
      </c>
      <c r="S30" s="1584" t="e">
        <f t="shared" si="12"/>
        <v>#N/A</v>
      </c>
      <c r="T30" s="1583" t="s">
        <v>8</v>
      </c>
      <c r="U30" s="1584" t="e">
        <f t="shared" si="13"/>
        <v>#N/A</v>
      </c>
      <c r="V30" s="1583" t="s">
        <v>8</v>
      </c>
      <c r="W30" s="1584" t="e">
        <f t="shared" si="14"/>
        <v>#N/A</v>
      </c>
      <c r="X30" s="1585"/>
      <c r="Y30" s="3353"/>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53"/>
      <c r="Q31" s="1578" t="str">
        <f t="shared" si="11"/>
        <v>建筑结构</v>
      </c>
      <c r="R31" s="1579" t="s">
        <v>8</v>
      </c>
      <c r="S31" s="1580">
        <f t="shared" si="12"/>
        <v>100</v>
      </c>
      <c r="T31" s="1579" t="s">
        <v>8</v>
      </c>
      <c r="U31" s="1580">
        <f t="shared" si="13"/>
        <v>100</v>
      </c>
      <c r="V31" s="1579" t="s">
        <v>8</v>
      </c>
      <c r="W31" s="1580">
        <f t="shared" si="14"/>
        <v>100</v>
      </c>
      <c r="X31" s="1573"/>
      <c r="Y31" s="3353"/>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53"/>
      <c r="Q32" s="1578" t="str">
        <f t="shared" si="11"/>
        <v>公共部分装修</v>
      </c>
      <c r="R32" s="1579" t="s">
        <v>8</v>
      </c>
      <c r="S32" s="1580">
        <f t="shared" si="12"/>
        <v>100</v>
      </c>
      <c r="T32" s="1579" t="s">
        <v>8</v>
      </c>
      <c r="U32" s="1580">
        <f t="shared" si="13"/>
        <v>100</v>
      </c>
      <c r="V32" s="1579" t="s">
        <v>8</v>
      </c>
      <c r="W32" s="1580">
        <f t="shared" si="14"/>
        <v>100</v>
      </c>
      <c r="X32" s="1573"/>
      <c r="Y32" s="3353"/>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53"/>
      <c r="Q33" s="1578" t="str">
        <f t="shared" si="11"/>
        <v>成新度</v>
      </c>
      <c r="R33" s="1579" t="s">
        <v>8</v>
      </c>
      <c r="S33" s="1580" t="e">
        <f t="shared" si="12"/>
        <v>#N/A</v>
      </c>
      <c r="T33" s="1579" t="s">
        <v>8</v>
      </c>
      <c r="U33" s="1580" t="e">
        <f t="shared" si="13"/>
        <v>#N/A</v>
      </c>
      <c r="V33" s="1579" t="s">
        <v>8</v>
      </c>
      <c r="W33" s="1580" t="e">
        <f t="shared" si="14"/>
        <v>#N/A</v>
      </c>
      <c r="X33" s="1573"/>
      <c r="Y33" s="3353"/>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53"/>
      <c r="Q34" s="1154" t="str">
        <f t="shared" si="11"/>
        <v>物业管理</v>
      </c>
      <c r="R34" s="1574" t="s">
        <v>8</v>
      </c>
      <c r="S34" s="1575">
        <f t="shared" si="12"/>
        <v>100</v>
      </c>
      <c r="T34" s="1574" t="s">
        <v>8</v>
      </c>
      <c r="U34" s="1575">
        <f t="shared" si="13"/>
        <v>100</v>
      </c>
      <c r="V34" s="1574" t="s">
        <v>8</v>
      </c>
      <c r="W34" s="1575">
        <f t="shared" si="14"/>
        <v>100</v>
      </c>
      <c r="X34" s="1576"/>
      <c r="Y34" s="3353"/>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53" t="s">
        <v>551</v>
      </c>
      <c r="Q35" s="1578" t="str">
        <f t="shared" si="11"/>
        <v>市政基础设施</v>
      </c>
      <c r="R35" s="1579" t="s">
        <v>8</v>
      </c>
      <c r="S35" s="1580">
        <f t="shared" si="12"/>
        <v>100</v>
      </c>
      <c r="T35" s="1579" t="s">
        <v>8</v>
      </c>
      <c r="U35" s="1580">
        <f t="shared" si="13"/>
        <v>100</v>
      </c>
      <c r="V35" s="1579" t="s">
        <v>8</v>
      </c>
      <c r="W35" s="1580">
        <f t="shared" si="14"/>
        <v>100</v>
      </c>
      <c r="X35" s="1573"/>
      <c r="Y35" s="3353"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53"/>
      <c r="Q36" s="1578" t="str">
        <f t="shared" si="11"/>
        <v>内部装修</v>
      </c>
      <c r="R36" s="1579" t="s">
        <v>8</v>
      </c>
      <c r="S36" s="1580">
        <f t="shared" si="12"/>
        <v>100</v>
      </c>
      <c r="T36" s="1579" t="s">
        <v>8</v>
      </c>
      <c r="U36" s="1580">
        <f t="shared" si="13"/>
        <v>100</v>
      </c>
      <c r="V36" s="1579" t="s">
        <v>8</v>
      </c>
      <c r="W36" s="1580">
        <f t="shared" si="14"/>
        <v>100</v>
      </c>
      <c r="X36" s="1573"/>
      <c r="Y36" s="3353"/>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53"/>
      <c r="Q37" s="1578" t="str">
        <f t="shared" si="11"/>
        <v>内部装修状况</v>
      </c>
      <c r="R37" s="1579" t="s">
        <v>8</v>
      </c>
      <c r="S37" s="1580">
        <f t="shared" si="12"/>
        <v>100</v>
      </c>
      <c r="T37" s="1579" t="s">
        <v>8</v>
      </c>
      <c r="U37" s="1580">
        <f t="shared" si="13"/>
        <v>100</v>
      </c>
      <c r="V37" s="1579" t="s">
        <v>8</v>
      </c>
      <c r="W37" s="1580">
        <f t="shared" si="14"/>
        <v>100</v>
      </c>
      <c r="X37" s="1573"/>
      <c r="Y37" s="3353"/>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53"/>
      <c r="Q38" s="1611">
        <f t="shared" si="11"/>
        <v>111</v>
      </c>
      <c r="R38" s="1583" t="s">
        <v>8</v>
      </c>
      <c r="S38" s="1584">
        <f t="shared" si="12"/>
        <v>100</v>
      </c>
      <c r="T38" s="1583" t="s">
        <v>8</v>
      </c>
      <c r="U38" s="1584">
        <f t="shared" si="13"/>
        <v>100</v>
      </c>
      <c r="V38" s="1583" t="s">
        <v>8</v>
      </c>
      <c r="W38" s="1584">
        <f t="shared" si="14"/>
        <v>100</v>
      </c>
      <c r="X38" s="1585"/>
      <c r="Y38" s="3353"/>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53"/>
      <c r="Q39" s="1578">
        <f t="shared" si="11"/>
        <v>111</v>
      </c>
      <c r="R39" s="1579" t="s">
        <v>8</v>
      </c>
      <c r="S39" s="1580">
        <f t="shared" si="12"/>
        <v>100</v>
      </c>
      <c r="T39" s="1579" t="s">
        <v>8</v>
      </c>
      <c r="U39" s="1580">
        <f t="shared" si="13"/>
        <v>100</v>
      </c>
      <c r="V39" s="1579" t="s">
        <v>8</v>
      </c>
      <c r="W39" s="1580">
        <f t="shared" si="14"/>
        <v>100</v>
      </c>
      <c r="X39" s="1573"/>
      <c r="Y39" s="3353"/>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25"/>
      <c r="Q40" s="1578">
        <f t="shared" si="11"/>
        <v>111</v>
      </c>
      <c r="R40" s="1579" t="s">
        <v>8</v>
      </c>
      <c r="S40" s="1580">
        <f t="shared" si="12"/>
        <v>100</v>
      </c>
      <c r="T40" s="1579" t="s">
        <v>8</v>
      </c>
      <c r="U40" s="1580">
        <f t="shared" si="13"/>
        <v>100</v>
      </c>
      <c r="V40" s="1579" t="s">
        <v>8</v>
      </c>
      <c r="W40" s="1580">
        <f t="shared" si="14"/>
        <v>100</v>
      </c>
      <c r="X40" s="1573"/>
      <c r="Y40" s="3425"/>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16" t="str">
        <f>A41</f>
        <v>成交单价（元/平方米）</v>
      </c>
      <c r="Q41" s="3316"/>
      <c r="R41" s="3424">
        <f>E41</f>
        <v>0</v>
      </c>
      <c r="S41" s="3424"/>
      <c r="T41" s="3424">
        <f>G41</f>
        <v>0</v>
      </c>
      <c r="U41" s="3424"/>
      <c r="V41" s="3424">
        <f>I41</f>
        <v>0</v>
      </c>
      <c r="W41" s="3424"/>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16" t="str">
        <f>A42</f>
        <v>比较价格（元/平方米）</v>
      </c>
      <c r="Q42" s="3316"/>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1565"/>
      <c r="Y42" s="1565"/>
      <c r="Z42" s="1565"/>
      <c r="AA42" s="1565"/>
      <c r="AB42" s="1565"/>
      <c r="AC42" s="1565"/>
    </row>
    <row r="43" spans="1:29" ht="15.75" thickBot="1">
      <c r="A43" s="624" t="s">
        <v>2955</v>
      </c>
      <c r="B43" s="625"/>
      <c r="C43" s="2672" t="e">
        <f>R43</f>
        <v>#DIV/0!</v>
      </c>
      <c r="D43" s="2672"/>
      <c r="E43" s="2672"/>
      <c r="F43" s="2672"/>
      <c r="G43" s="2672"/>
      <c r="H43" s="2672"/>
      <c r="I43" s="2672"/>
      <c r="J43" s="2672"/>
      <c r="K43" s="1619"/>
      <c r="L43" s="2155"/>
      <c r="M43" s="2156"/>
      <c r="N43" s="2156"/>
      <c r="O43" s="2156"/>
      <c r="P43" s="3313" t="str">
        <f>A43</f>
        <v>估价对象XX用房的比较价格（楼面单价，元/平方米）</v>
      </c>
      <c r="Q43" s="3314"/>
      <c r="R43" s="3423" t="e">
        <f>IF(F1="售价",ROUND(AVERAGE(R42:V42),0),ROUND(AVERAGE(R42:V42),1))</f>
        <v>#DIV/0!</v>
      </c>
      <c r="S43" s="3423"/>
      <c r="T43" s="3423"/>
      <c r="U43" s="3423"/>
      <c r="V43" s="3423"/>
      <c r="W43" s="3423"/>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22" t="s">
        <v>801</v>
      </c>
      <c r="D4" s="3323"/>
      <c r="E4" s="3322" t="s">
        <v>802</v>
      </c>
      <c r="F4" s="3323"/>
      <c r="G4" s="3322" t="s">
        <v>803</v>
      </c>
      <c r="H4" s="3323"/>
      <c r="I4" s="3322" t="s">
        <v>804</v>
      </c>
      <c r="J4" s="3323"/>
      <c r="K4" s="517" t="s">
        <v>805</v>
      </c>
      <c r="L4" s="2144"/>
      <c r="M4" s="2145"/>
      <c r="N4" s="2145"/>
      <c r="O4" s="2145"/>
      <c r="P4" s="3324" t="s">
        <v>806</v>
      </c>
      <c r="Q4" s="3325"/>
      <c r="R4" s="3330" t="s">
        <v>802</v>
      </c>
      <c r="S4" s="3331"/>
      <c r="T4" s="3330" t="s">
        <v>803</v>
      </c>
      <c r="U4" s="3331"/>
      <c r="V4" s="3317" t="s">
        <v>804</v>
      </c>
      <c r="W4" s="3317"/>
      <c r="X4" s="1573"/>
      <c r="Y4" s="3330" t="s">
        <v>806</v>
      </c>
      <c r="Z4" s="3331"/>
      <c r="AA4" s="3319" t="s">
        <v>802</v>
      </c>
      <c r="AB4" s="3320" t="s">
        <v>803</v>
      </c>
      <c r="AC4" s="3319" t="s">
        <v>804</v>
      </c>
    </row>
    <row r="5" spans="1:29" ht="15">
      <c r="A5" s="518"/>
      <c r="B5" s="519"/>
      <c r="C5" s="3338" t="s">
        <v>2949</v>
      </c>
      <c r="D5" s="3339"/>
      <c r="E5" s="3338" t="s">
        <v>2950</v>
      </c>
      <c r="F5" s="333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40" t="s">
        <v>2953</v>
      </c>
      <c r="F6" s="3341"/>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42920</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47" t="s">
        <v>531</v>
      </c>
      <c r="Q7" s="3349"/>
      <c r="R7" s="1574" t="s">
        <v>8</v>
      </c>
      <c r="S7" s="1575">
        <f t="shared" ref="S7:S14" si="0">F7</f>
        <v>0</v>
      </c>
      <c r="T7" s="1574" t="s">
        <v>8</v>
      </c>
      <c r="U7" s="1575">
        <f t="shared" ref="U7:U14" si="1">H7</f>
        <v>0</v>
      </c>
      <c r="V7" s="1574" t="s">
        <v>8</v>
      </c>
      <c r="W7" s="1575">
        <f t="shared" ref="W7:W14"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16" t="s">
        <v>536</v>
      </c>
      <c r="Q9" s="1154" t="str">
        <f t="shared" ref="Q9:Q14" si="6">B9</f>
        <v>用途</v>
      </c>
      <c r="R9" s="1574" t="s">
        <v>8</v>
      </c>
      <c r="S9" s="1575">
        <f t="shared" si="0"/>
        <v>100</v>
      </c>
      <c r="T9" s="1574" t="s">
        <v>8</v>
      </c>
      <c r="U9" s="1575">
        <f t="shared" si="1"/>
        <v>100</v>
      </c>
      <c r="V9" s="1574" t="s">
        <v>8</v>
      </c>
      <c r="W9" s="1575">
        <f t="shared" si="2"/>
        <v>100</v>
      </c>
      <c r="X9" s="1576"/>
      <c r="Y9" s="326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16"/>
      <c r="Q11" s="1154">
        <f t="shared" si="6"/>
        <v>111</v>
      </c>
      <c r="R11" s="1574" t="s">
        <v>8</v>
      </c>
      <c r="S11" s="1575">
        <f t="shared" si="0"/>
        <v>100</v>
      </c>
      <c r="T11" s="1574" t="s">
        <v>8</v>
      </c>
      <c r="U11" s="1575">
        <f t="shared" si="1"/>
        <v>100</v>
      </c>
      <c r="V11" s="1574" t="s">
        <v>8</v>
      </c>
      <c r="W11" s="1575">
        <f t="shared" si="2"/>
        <v>100</v>
      </c>
      <c r="X11" s="1576"/>
      <c r="Y11" s="3262"/>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50" t="s">
        <v>541</v>
      </c>
      <c r="Q14" s="1578" t="str">
        <f t="shared" si="6"/>
        <v>交通便捷度</v>
      </c>
      <c r="R14" s="1579" t="s">
        <v>8</v>
      </c>
      <c r="S14" s="1580">
        <f t="shared" si="0"/>
        <v>100</v>
      </c>
      <c r="T14" s="1579" t="s">
        <v>8</v>
      </c>
      <c r="U14" s="1580">
        <f t="shared" si="1"/>
        <v>100</v>
      </c>
      <c r="V14" s="1579" t="s">
        <v>8</v>
      </c>
      <c r="W14" s="1580">
        <f t="shared" si="2"/>
        <v>100</v>
      </c>
      <c r="X14" s="1573"/>
      <c r="Y14" s="3350"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51"/>
      <c r="Q15" s="1578"/>
      <c r="R15" s="1579"/>
      <c r="S15" s="1580"/>
      <c r="T15" s="1579"/>
      <c r="U15" s="1580"/>
      <c r="V15" s="1579"/>
      <c r="W15" s="1580"/>
      <c r="X15" s="1573"/>
      <c r="Y15" s="3351"/>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51"/>
      <c r="Q16" s="1578" t="str">
        <f>B16</f>
        <v>公共配套设施</v>
      </c>
      <c r="R16" s="1579" t="s">
        <v>8</v>
      </c>
      <c r="S16" s="1580">
        <f>F16</f>
        <v>100</v>
      </c>
      <c r="T16" s="1579" t="s">
        <v>8</v>
      </c>
      <c r="U16" s="1580">
        <f>H16</f>
        <v>100</v>
      </c>
      <c r="V16" s="1579" t="s">
        <v>8</v>
      </c>
      <c r="W16" s="1580">
        <f>J16</f>
        <v>100</v>
      </c>
      <c r="X16" s="1573"/>
      <c r="Y16" s="3351"/>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51"/>
      <c r="Q17" s="1578"/>
      <c r="R17" s="1579"/>
      <c r="S17" s="1580"/>
      <c r="T17" s="1579"/>
      <c r="U17" s="1580"/>
      <c r="V17" s="1579"/>
      <c r="W17" s="1580"/>
      <c r="X17" s="1573"/>
      <c r="Y17" s="3351"/>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51"/>
      <c r="Q18" s="2615" t="str">
        <f>B18</f>
        <v>基础设施水平</v>
      </c>
      <c r="R18" s="1579" t="s">
        <v>8</v>
      </c>
      <c r="S18" s="1580">
        <f>F18</f>
        <v>100</v>
      </c>
      <c r="T18" s="1579" t="s">
        <v>8</v>
      </c>
      <c r="U18" s="1580">
        <f>H18</f>
        <v>100</v>
      </c>
      <c r="V18" s="1579" t="s">
        <v>8</v>
      </c>
      <c r="W18" s="1580">
        <f>J18</f>
        <v>100</v>
      </c>
      <c r="X18" s="2617"/>
      <c r="Y18" s="3351"/>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51"/>
      <c r="Q19" s="2615"/>
      <c r="R19" s="1579"/>
      <c r="S19" s="1580"/>
      <c r="T19" s="1579"/>
      <c r="U19" s="1580"/>
      <c r="V19" s="1579"/>
      <c r="W19" s="1580"/>
      <c r="X19" s="2617"/>
      <c r="Y19" s="3351"/>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51"/>
      <c r="Q20" s="1578" t="str">
        <f>B20</f>
        <v>自然及人文环境</v>
      </c>
      <c r="R20" s="1579" t="s">
        <v>8</v>
      </c>
      <c r="S20" s="1580">
        <f>F20</f>
        <v>100</v>
      </c>
      <c r="T20" s="1579" t="s">
        <v>8</v>
      </c>
      <c r="U20" s="1580">
        <f>H20</f>
        <v>100</v>
      </c>
      <c r="V20" s="1579" t="s">
        <v>8</v>
      </c>
      <c r="W20" s="1580">
        <f>J20</f>
        <v>100</v>
      </c>
      <c r="X20" s="1573"/>
      <c r="Y20" s="3351"/>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51"/>
      <c r="Q21" s="1578"/>
      <c r="R21" s="1579"/>
      <c r="S21" s="1580"/>
      <c r="T21" s="1579"/>
      <c r="U21" s="1580"/>
      <c r="V21" s="1579"/>
      <c r="W21" s="1580"/>
      <c r="X21" s="1573"/>
      <c r="Y21" s="3351"/>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51"/>
      <c r="Q22" s="1578" t="str">
        <f>B22</f>
        <v>楼层</v>
      </c>
      <c r="R22" s="1579" t="s">
        <v>8</v>
      </c>
      <c r="S22" s="1580">
        <f>F22</f>
        <v>100</v>
      </c>
      <c r="T22" s="1579" t="s">
        <v>8</v>
      </c>
      <c r="U22" s="1580">
        <f>H22</f>
        <v>100</v>
      </c>
      <c r="V22" s="1579" t="s">
        <v>8</v>
      </c>
      <c r="W22" s="1580">
        <f>J22</f>
        <v>100</v>
      </c>
      <c r="X22" s="1573"/>
      <c r="Y22" s="3351"/>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51"/>
      <c r="Q23" s="1578">
        <f>B23</f>
        <v>111</v>
      </c>
      <c r="R23" s="1579" t="s">
        <v>8</v>
      </c>
      <c r="S23" s="1580">
        <f>F23</f>
        <v>100</v>
      </c>
      <c r="T23" s="1579" t="s">
        <v>8</v>
      </c>
      <c r="U23" s="1580">
        <f>H23</f>
        <v>100</v>
      </c>
      <c r="V23" s="1579" t="s">
        <v>8</v>
      </c>
      <c r="W23" s="1580">
        <f>J23</f>
        <v>100</v>
      </c>
      <c r="X23" s="1573"/>
      <c r="Y23" s="3351"/>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51"/>
      <c r="Q24" s="1578">
        <f t="shared" ref="Q24:Q36" si="11">B24</f>
        <v>111</v>
      </c>
      <c r="R24" s="1579" t="s">
        <v>8</v>
      </c>
      <c r="S24" s="1580">
        <f>F24</f>
        <v>100</v>
      </c>
      <c r="T24" s="1579" t="s">
        <v>8</v>
      </c>
      <c r="U24" s="1580">
        <f>H24</f>
        <v>100</v>
      </c>
      <c r="V24" s="1579" t="s">
        <v>8</v>
      </c>
      <c r="W24" s="1580">
        <f>J24</f>
        <v>100</v>
      </c>
      <c r="X24" s="1573"/>
      <c r="Y24" s="3351"/>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51"/>
      <c r="Q25" s="1154">
        <f t="shared" si="11"/>
        <v>111</v>
      </c>
      <c r="R25" s="1574" t="s">
        <v>8</v>
      </c>
      <c r="S25" s="1575">
        <f>F25</f>
        <v>100</v>
      </c>
      <c r="T25" s="1574" t="s">
        <v>8</v>
      </c>
      <c r="U25" s="1575">
        <f>H25</f>
        <v>100</v>
      </c>
      <c r="V25" s="1574" t="s">
        <v>8</v>
      </c>
      <c r="W25" s="1575">
        <f>J25</f>
        <v>100</v>
      </c>
      <c r="X25" s="1576"/>
      <c r="Y25" s="3351"/>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52"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53"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53"/>
      <c r="Q27" s="1611" t="str">
        <f t="shared" si="11"/>
        <v>项目停车位配比</v>
      </c>
      <c r="R27" s="1583" t="s">
        <v>8</v>
      </c>
      <c r="S27" s="1584">
        <f t="shared" si="12"/>
        <v>100</v>
      </c>
      <c r="T27" s="1583" t="s">
        <v>8</v>
      </c>
      <c r="U27" s="1584">
        <f t="shared" si="13"/>
        <v>100</v>
      </c>
      <c r="V27" s="1583" t="s">
        <v>8</v>
      </c>
      <c r="W27" s="1584">
        <f t="shared" si="14"/>
        <v>100</v>
      </c>
      <c r="X27" s="1585"/>
      <c r="Y27" s="3353"/>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53"/>
      <c r="Q28" s="1578" t="str">
        <f t="shared" si="11"/>
        <v>公共部分装修</v>
      </c>
      <c r="R28" s="1579" t="s">
        <v>8</v>
      </c>
      <c r="S28" s="1580">
        <f t="shared" si="12"/>
        <v>100</v>
      </c>
      <c r="T28" s="1579" t="s">
        <v>8</v>
      </c>
      <c r="U28" s="1580">
        <f t="shared" si="13"/>
        <v>100</v>
      </c>
      <c r="V28" s="1579" t="s">
        <v>8</v>
      </c>
      <c r="W28" s="1580">
        <f t="shared" si="14"/>
        <v>100</v>
      </c>
      <c r="X28" s="1573"/>
      <c r="Y28" s="3353"/>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53"/>
      <c r="Q29" s="1578" t="str">
        <f t="shared" si="11"/>
        <v>成新率</v>
      </c>
      <c r="R29" s="1579" t="s">
        <v>8</v>
      </c>
      <c r="S29" s="1580" t="e">
        <f t="shared" si="12"/>
        <v>#N/A</v>
      </c>
      <c r="T29" s="1579" t="s">
        <v>8</v>
      </c>
      <c r="U29" s="1580" t="e">
        <f t="shared" si="13"/>
        <v>#N/A</v>
      </c>
      <c r="V29" s="1579" t="s">
        <v>8</v>
      </c>
      <c r="W29" s="1580" t="e">
        <f t="shared" si="14"/>
        <v>#N/A</v>
      </c>
      <c r="X29" s="1573"/>
      <c r="Y29" s="3353"/>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53"/>
      <c r="Q30" s="1578" t="str">
        <f t="shared" si="11"/>
        <v>物业等级</v>
      </c>
      <c r="R30" s="1579" t="s">
        <v>8</v>
      </c>
      <c r="S30" s="1580">
        <f t="shared" si="12"/>
        <v>100</v>
      </c>
      <c r="T30" s="1579" t="s">
        <v>8</v>
      </c>
      <c r="U30" s="1580">
        <f t="shared" si="13"/>
        <v>100</v>
      </c>
      <c r="V30" s="1579" t="s">
        <v>8</v>
      </c>
      <c r="W30" s="1580">
        <f t="shared" si="14"/>
        <v>100</v>
      </c>
      <c r="X30" s="1573"/>
      <c r="Y30" s="3353"/>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53"/>
      <c r="Q31" s="1154" t="str">
        <f t="shared" si="11"/>
        <v>停车位面积</v>
      </c>
      <c r="R31" s="1574" t="s">
        <v>8</v>
      </c>
      <c r="S31" s="1575" t="e">
        <f t="shared" si="12"/>
        <v>#N/A</v>
      </c>
      <c r="T31" s="1574" t="s">
        <v>8</v>
      </c>
      <c r="U31" s="1575" t="e">
        <f t="shared" si="13"/>
        <v>#N/A</v>
      </c>
      <c r="V31" s="1574" t="s">
        <v>8</v>
      </c>
      <c r="W31" s="1575" t="e">
        <f t="shared" si="14"/>
        <v>#N/A</v>
      </c>
      <c r="X31" s="1576"/>
      <c r="Y31" s="3353"/>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53" t="s">
        <v>551</v>
      </c>
      <c r="Q32" s="1578" t="str">
        <f t="shared" si="11"/>
        <v>车位类型</v>
      </c>
      <c r="R32" s="1579" t="s">
        <v>8</v>
      </c>
      <c r="S32" s="1580">
        <f t="shared" si="12"/>
        <v>100</v>
      </c>
      <c r="T32" s="1579" t="s">
        <v>8</v>
      </c>
      <c r="U32" s="1580">
        <f t="shared" si="13"/>
        <v>100</v>
      </c>
      <c r="V32" s="1579" t="s">
        <v>8</v>
      </c>
      <c r="W32" s="1580">
        <f t="shared" si="14"/>
        <v>100</v>
      </c>
      <c r="X32" s="1573"/>
      <c r="Y32" s="3353"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53"/>
      <c r="Q33" s="1578" t="str">
        <f t="shared" si="11"/>
        <v>是否直接入户</v>
      </c>
      <c r="R33" s="1579" t="s">
        <v>8</v>
      </c>
      <c r="S33" s="1580">
        <f t="shared" si="12"/>
        <v>100</v>
      </c>
      <c r="T33" s="1579" t="s">
        <v>8</v>
      </c>
      <c r="U33" s="1580">
        <f t="shared" si="13"/>
        <v>100</v>
      </c>
      <c r="V33" s="1579" t="s">
        <v>8</v>
      </c>
      <c r="W33" s="1580">
        <f t="shared" si="14"/>
        <v>100</v>
      </c>
      <c r="X33" s="1573"/>
      <c r="Y33" s="3353"/>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53"/>
      <c r="Q34" s="1578">
        <f t="shared" si="11"/>
        <v>111</v>
      </c>
      <c r="R34" s="1579" t="s">
        <v>8</v>
      </c>
      <c r="S34" s="1580">
        <f t="shared" si="12"/>
        <v>100</v>
      </c>
      <c r="T34" s="1579" t="s">
        <v>8</v>
      </c>
      <c r="U34" s="1580">
        <f t="shared" si="13"/>
        <v>100</v>
      </c>
      <c r="V34" s="1579" t="s">
        <v>8</v>
      </c>
      <c r="W34" s="1580">
        <f t="shared" si="14"/>
        <v>100</v>
      </c>
      <c r="X34" s="1573"/>
      <c r="Y34" s="3353"/>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53"/>
      <c r="Q35" s="1611">
        <f t="shared" si="11"/>
        <v>111</v>
      </c>
      <c r="R35" s="1583" t="s">
        <v>8</v>
      </c>
      <c r="S35" s="1584">
        <f t="shared" si="12"/>
        <v>100</v>
      </c>
      <c r="T35" s="1583" t="s">
        <v>8</v>
      </c>
      <c r="U35" s="1584">
        <f t="shared" si="13"/>
        <v>100</v>
      </c>
      <c r="V35" s="1583" t="s">
        <v>8</v>
      </c>
      <c r="W35" s="1584">
        <f t="shared" si="14"/>
        <v>100</v>
      </c>
      <c r="X35" s="1585"/>
      <c r="Y35" s="3353"/>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53"/>
      <c r="Q36" s="1578">
        <f t="shared" si="11"/>
        <v>111</v>
      </c>
      <c r="R36" s="1579" t="s">
        <v>8</v>
      </c>
      <c r="S36" s="1580">
        <f t="shared" si="12"/>
        <v>100</v>
      </c>
      <c r="T36" s="1579" t="s">
        <v>8</v>
      </c>
      <c r="U36" s="1580">
        <f t="shared" si="13"/>
        <v>100</v>
      </c>
      <c r="V36" s="1579" t="s">
        <v>8</v>
      </c>
      <c r="W36" s="1580">
        <f t="shared" si="14"/>
        <v>100</v>
      </c>
      <c r="X36" s="1573"/>
      <c r="Y36" s="3353"/>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16" t="str">
        <f>A37</f>
        <v>成交单价</v>
      </c>
      <c r="Q37" s="3316"/>
      <c r="R37" s="3424">
        <f>E37</f>
        <v>0</v>
      </c>
      <c r="S37" s="3424"/>
      <c r="T37" s="3424">
        <f>G37</f>
        <v>0</v>
      </c>
      <c r="U37" s="3424"/>
      <c r="V37" s="3424">
        <f>I37</f>
        <v>0</v>
      </c>
      <c r="W37" s="3424"/>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16" t="str">
        <f>A38</f>
        <v>比较价格（元/平方米）</v>
      </c>
      <c r="Q38" s="3316"/>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1565"/>
      <c r="Y38" s="1565"/>
      <c r="Z38" s="1565"/>
      <c r="AA38" s="1565"/>
      <c r="AB38" s="1565"/>
      <c r="AC38" s="1565"/>
    </row>
    <row r="39" spans="1:29" ht="15.75" thickBot="1">
      <c r="A39" s="624" t="s">
        <v>2955</v>
      </c>
      <c r="B39" s="625"/>
      <c r="C39" s="2672" t="e">
        <f>R39</f>
        <v>#DIV/0!</v>
      </c>
      <c r="D39" s="2672"/>
      <c r="E39" s="2672"/>
      <c r="F39" s="2672"/>
      <c r="G39" s="2672"/>
      <c r="H39" s="2672"/>
      <c r="I39" s="2672"/>
      <c r="J39" s="2672"/>
      <c r="K39" s="1619"/>
      <c r="L39" s="2155"/>
      <c r="M39" s="2156"/>
      <c r="N39" s="2156"/>
      <c r="O39" s="2156"/>
      <c r="P39" s="3313" t="str">
        <f>A39</f>
        <v>估价对象XX用房的比较价格（楼面单价，元/平方米）</v>
      </c>
      <c r="Q39" s="3314"/>
      <c r="R39" s="3423" t="e">
        <f>IF(F1="售价",ROUND(AVERAGE(R38:V38),0),ROUND(AVERAGE(R38:V38),1))</f>
        <v>#DIV/0!</v>
      </c>
      <c r="S39" s="3423"/>
      <c r="T39" s="3423"/>
      <c r="U39" s="3423"/>
      <c r="V39" s="3423"/>
      <c r="W39" s="3423"/>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22" t="s">
        <v>801</v>
      </c>
      <c r="D4" s="3323"/>
      <c r="E4" s="3356" t="s">
        <v>802</v>
      </c>
      <c r="F4" s="3357"/>
      <c r="G4" s="3322" t="s">
        <v>803</v>
      </c>
      <c r="H4" s="3323"/>
      <c r="I4" s="3322" t="s">
        <v>804</v>
      </c>
      <c r="J4" s="3323"/>
      <c r="K4" s="517" t="s">
        <v>805</v>
      </c>
      <c r="L4" s="2144"/>
      <c r="M4" s="2145"/>
      <c r="N4" s="2145"/>
      <c r="O4" s="2145"/>
      <c r="P4" s="3324" t="s">
        <v>806</v>
      </c>
      <c r="Q4" s="3325"/>
      <c r="R4" s="3330" t="s">
        <v>802</v>
      </c>
      <c r="S4" s="3331"/>
      <c r="T4" s="3330" t="s">
        <v>803</v>
      </c>
      <c r="U4" s="3331"/>
      <c r="V4" s="3317" t="s">
        <v>804</v>
      </c>
      <c r="W4" s="3317"/>
      <c r="X4" s="1573"/>
      <c r="Y4" s="3330" t="s">
        <v>806</v>
      </c>
      <c r="Z4" s="3331"/>
      <c r="AA4" s="3319" t="s">
        <v>802</v>
      </c>
      <c r="AB4" s="3320" t="s">
        <v>803</v>
      </c>
      <c r="AC4" s="3319" t="s">
        <v>804</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42920</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47" t="s">
        <v>531</v>
      </c>
      <c r="Q7" s="3349"/>
      <c r="R7" s="1574" t="s">
        <v>8</v>
      </c>
      <c r="S7" s="1575">
        <f t="shared" ref="S7:S14" si="0">F7</f>
        <v>0</v>
      </c>
      <c r="T7" s="1574" t="s">
        <v>8</v>
      </c>
      <c r="U7" s="1575">
        <f t="shared" ref="U7:U14" si="1">H7</f>
        <v>0</v>
      </c>
      <c r="V7" s="1574" t="s">
        <v>8</v>
      </c>
      <c r="W7" s="1575">
        <f t="shared" ref="W7:W14"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16" t="s">
        <v>536</v>
      </c>
      <c r="Q9" s="1154" t="str">
        <f t="shared" ref="Q9:Q14" si="6">B9</f>
        <v>用途</v>
      </c>
      <c r="R9" s="1574" t="s">
        <v>8</v>
      </c>
      <c r="S9" s="1575">
        <f t="shared" si="0"/>
        <v>100</v>
      </c>
      <c r="T9" s="1574" t="s">
        <v>8</v>
      </c>
      <c r="U9" s="1575">
        <f t="shared" si="1"/>
        <v>100</v>
      </c>
      <c r="V9" s="1574" t="s">
        <v>8</v>
      </c>
      <c r="W9" s="1575">
        <f t="shared" si="2"/>
        <v>100</v>
      </c>
      <c r="X9" s="1576"/>
      <c r="Y9" s="326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16"/>
      <c r="Q11" s="1154">
        <f t="shared" si="6"/>
        <v>111</v>
      </c>
      <c r="R11" s="1574" t="s">
        <v>8</v>
      </c>
      <c r="S11" s="1575">
        <f t="shared" si="0"/>
        <v>100</v>
      </c>
      <c r="T11" s="1574" t="s">
        <v>8</v>
      </c>
      <c r="U11" s="1575">
        <f t="shared" si="1"/>
        <v>100</v>
      </c>
      <c r="V11" s="1574" t="s">
        <v>8</v>
      </c>
      <c r="W11" s="1575">
        <f t="shared" si="2"/>
        <v>100</v>
      </c>
      <c r="X11" s="1576"/>
      <c r="Y11" s="3262"/>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50" t="s">
        <v>541</v>
      </c>
      <c r="Q14" s="1578" t="str">
        <f t="shared" si="6"/>
        <v>交通便捷度</v>
      </c>
      <c r="R14" s="1579" t="s">
        <v>8</v>
      </c>
      <c r="S14" s="1580">
        <f t="shared" si="0"/>
        <v>100</v>
      </c>
      <c r="T14" s="1579" t="s">
        <v>8</v>
      </c>
      <c r="U14" s="1580">
        <f t="shared" si="1"/>
        <v>100</v>
      </c>
      <c r="V14" s="1579" t="s">
        <v>8</v>
      </c>
      <c r="W14" s="1580">
        <f t="shared" si="2"/>
        <v>100</v>
      </c>
      <c r="X14" s="1573"/>
      <c r="Y14" s="3350"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51"/>
      <c r="Q15" s="1578"/>
      <c r="R15" s="1579"/>
      <c r="S15" s="1580"/>
      <c r="T15" s="1579"/>
      <c r="U15" s="1580"/>
      <c r="V15" s="1579"/>
      <c r="W15" s="1580"/>
      <c r="X15" s="1573"/>
      <c r="Y15" s="3351"/>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51"/>
      <c r="Q16" s="1578" t="str">
        <f>B16</f>
        <v>公共配套设施</v>
      </c>
      <c r="R16" s="1579" t="s">
        <v>8</v>
      </c>
      <c r="S16" s="1580">
        <f>F16</f>
        <v>100</v>
      </c>
      <c r="T16" s="1579" t="s">
        <v>8</v>
      </c>
      <c r="U16" s="1580">
        <f>H16</f>
        <v>100</v>
      </c>
      <c r="V16" s="1579" t="s">
        <v>8</v>
      </c>
      <c r="W16" s="1580">
        <f>J16</f>
        <v>100</v>
      </c>
      <c r="X16" s="1573"/>
      <c r="Y16" s="3351"/>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51"/>
      <c r="Q17" s="1578"/>
      <c r="R17" s="1579"/>
      <c r="S17" s="1580"/>
      <c r="T17" s="1579"/>
      <c r="U17" s="1580"/>
      <c r="V17" s="1579"/>
      <c r="W17" s="1580"/>
      <c r="X17" s="1573"/>
      <c r="Y17" s="3351"/>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51"/>
      <c r="Q18" s="2615" t="str">
        <f>B18</f>
        <v>基础设施水平</v>
      </c>
      <c r="R18" s="1579" t="s">
        <v>8</v>
      </c>
      <c r="S18" s="1580">
        <f>F18</f>
        <v>100</v>
      </c>
      <c r="T18" s="1579" t="s">
        <v>8</v>
      </c>
      <c r="U18" s="1580">
        <f>H18</f>
        <v>100</v>
      </c>
      <c r="V18" s="1579" t="s">
        <v>8</v>
      </c>
      <c r="W18" s="1580">
        <f>J18</f>
        <v>100</v>
      </c>
      <c r="X18" s="2617"/>
      <c r="Y18" s="3351"/>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51"/>
      <c r="Q19" s="2615"/>
      <c r="R19" s="1579"/>
      <c r="S19" s="1580"/>
      <c r="T19" s="1579"/>
      <c r="U19" s="1580"/>
      <c r="V19" s="1579"/>
      <c r="W19" s="1580"/>
      <c r="X19" s="2617"/>
      <c r="Y19" s="3351"/>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51"/>
      <c r="Q20" s="1578" t="str">
        <f>B20</f>
        <v>自然及人文环境</v>
      </c>
      <c r="R20" s="1579" t="s">
        <v>8</v>
      </c>
      <c r="S20" s="1580">
        <f>F20</f>
        <v>100</v>
      </c>
      <c r="T20" s="1579" t="s">
        <v>8</v>
      </c>
      <c r="U20" s="1580">
        <f>H20</f>
        <v>100</v>
      </c>
      <c r="V20" s="1579" t="s">
        <v>8</v>
      </c>
      <c r="W20" s="1580">
        <f>J20</f>
        <v>100</v>
      </c>
      <c r="X20" s="1573"/>
      <c r="Y20" s="3351"/>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51"/>
      <c r="Q21" s="1578"/>
      <c r="R21" s="1579"/>
      <c r="S21" s="1580"/>
      <c r="T21" s="1579"/>
      <c r="U21" s="1580"/>
      <c r="V21" s="1579"/>
      <c r="W21" s="1580"/>
      <c r="X21" s="1573"/>
      <c r="Y21" s="3351"/>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51"/>
      <c r="Q22" s="1578" t="str">
        <f>B22</f>
        <v>楼层</v>
      </c>
      <c r="R22" s="1579" t="s">
        <v>8</v>
      </c>
      <c r="S22" s="1580">
        <f>F22</f>
        <v>100</v>
      </c>
      <c r="T22" s="1579" t="s">
        <v>8</v>
      </c>
      <c r="U22" s="1580">
        <f>H22</f>
        <v>100</v>
      </c>
      <c r="V22" s="1579" t="s">
        <v>8</v>
      </c>
      <c r="W22" s="1580">
        <f>J22</f>
        <v>100</v>
      </c>
      <c r="X22" s="1573"/>
      <c r="Y22" s="3351"/>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51"/>
      <c r="Q23" s="1578">
        <f>B23</f>
        <v>111</v>
      </c>
      <c r="R23" s="1579" t="s">
        <v>8</v>
      </c>
      <c r="S23" s="1580">
        <f>F23</f>
        <v>100</v>
      </c>
      <c r="T23" s="1579" t="s">
        <v>8</v>
      </c>
      <c r="U23" s="1580">
        <f>H23</f>
        <v>100</v>
      </c>
      <c r="V23" s="1579" t="s">
        <v>8</v>
      </c>
      <c r="W23" s="1580">
        <f>J23</f>
        <v>100</v>
      </c>
      <c r="X23" s="1573"/>
      <c r="Y23" s="3351"/>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51"/>
      <c r="Q24" s="1578">
        <f t="shared" ref="Q24:Q34" si="11">B24</f>
        <v>111</v>
      </c>
      <c r="R24" s="1579" t="s">
        <v>8</v>
      </c>
      <c r="S24" s="1580">
        <f>F24</f>
        <v>100</v>
      </c>
      <c r="T24" s="1579" t="s">
        <v>8</v>
      </c>
      <c r="U24" s="1580">
        <f>H24</f>
        <v>100</v>
      </c>
      <c r="V24" s="1579" t="s">
        <v>8</v>
      </c>
      <c r="W24" s="1580">
        <f>J24</f>
        <v>100</v>
      </c>
      <c r="X24" s="1573"/>
      <c r="Y24" s="3351"/>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51"/>
      <c r="Q25" s="1154">
        <f t="shared" si="11"/>
        <v>111</v>
      </c>
      <c r="R25" s="1574" t="s">
        <v>8</v>
      </c>
      <c r="S25" s="1575">
        <f>F25</f>
        <v>100</v>
      </c>
      <c r="T25" s="1574" t="s">
        <v>8</v>
      </c>
      <c r="U25" s="1575">
        <f>H25</f>
        <v>100</v>
      </c>
      <c r="V25" s="1574" t="s">
        <v>8</v>
      </c>
      <c r="W25" s="1575">
        <f>J25</f>
        <v>100</v>
      </c>
      <c r="X25" s="1576"/>
      <c r="Y25" s="3351"/>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52"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53"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53"/>
      <c r="Q27" s="1611" t="str">
        <f t="shared" si="11"/>
        <v>成新率</v>
      </c>
      <c r="R27" s="1583" t="s">
        <v>8</v>
      </c>
      <c r="S27" s="1584" t="e">
        <f t="shared" si="12"/>
        <v>#N/A</v>
      </c>
      <c r="T27" s="1583" t="s">
        <v>8</v>
      </c>
      <c r="U27" s="1584" t="e">
        <f t="shared" si="13"/>
        <v>#N/A</v>
      </c>
      <c r="V27" s="1583" t="s">
        <v>8</v>
      </c>
      <c r="W27" s="1584" t="e">
        <f t="shared" si="14"/>
        <v>#N/A</v>
      </c>
      <c r="X27" s="1585"/>
      <c r="Y27" s="3353"/>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53"/>
      <c r="Q28" s="1578" t="str">
        <f t="shared" si="11"/>
        <v>物业等级</v>
      </c>
      <c r="R28" s="1579" t="s">
        <v>8</v>
      </c>
      <c r="S28" s="1580">
        <f t="shared" si="12"/>
        <v>100</v>
      </c>
      <c r="T28" s="1579" t="s">
        <v>8</v>
      </c>
      <c r="U28" s="1580">
        <f t="shared" si="13"/>
        <v>100</v>
      </c>
      <c r="V28" s="1579" t="s">
        <v>8</v>
      </c>
      <c r="W28" s="1580">
        <f t="shared" si="14"/>
        <v>100</v>
      </c>
      <c r="X28" s="1573"/>
      <c r="Y28" s="3353"/>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53"/>
      <c r="Q29" s="1578" t="str">
        <f t="shared" si="11"/>
        <v>有无电梯</v>
      </c>
      <c r="R29" s="1579" t="s">
        <v>8</v>
      </c>
      <c r="S29" s="1580">
        <f t="shared" si="12"/>
        <v>100</v>
      </c>
      <c r="T29" s="1579" t="s">
        <v>8</v>
      </c>
      <c r="U29" s="1580">
        <f t="shared" si="13"/>
        <v>100</v>
      </c>
      <c r="V29" s="1579" t="s">
        <v>8</v>
      </c>
      <c r="W29" s="1580">
        <f t="shared" si="14"/>
        <v>100</v>
      </c>
      <c r="X29" s="1573"/>
      <c r="Y29" s="3353"/>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53"/>
      <c r="Q30" s="1578" t="str">
        <f t="shared" si="11"/>
        <v>建筑面积</v>
      </c>
      <c r="R30" s="1579" t="s">
        <v>8</v>
      </c>
      <c r="S30" s="1580" t="e">
        <f t="shared" si="12"/>
        <v>#N/A</v>
      </c>
      <c r="T30" s="1579" t="s">
        <v>8</v>
      </c>
      <c r="U30" s="1580" t="e">
        <f t="shared" si="13"/>
        <v>#N/A</v>
      </c>
      <c r="V30" s="1579" t="s">
        <v>8</v>
      </c>
      <c r="W30" s="1580" t="e">
        <f t="shared" si="14"/>
        <v>#N/A</v>
      </c>
      <c r="X30" s="1573"/>
      <c r="Y30" s="3353"/>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53"/>
      <c r="Q31" s="1154" t="str">
        <f t="shared" si="11"/>
        <v>是否封闭</v>
      </c>
      <c r="R31" s="1574" t="s">
        <v>8</v>
      </c>
      <c r="S31" s="1575">
        <f t="shared" si="12"/>
        <v>100</v>
      </c>
      <c r="T31" s="1574" t="s">
        <v>8</v>
      </c>
      <c r="U31" s="1575">
        <f t="shared" si="13"/>
        <v>100</v>
      </c>
      <c r="V31" s="1574" t="s">
        <v>8</v>
      </c>
      <c r="W31" s="1575">
        <f t="shared" si="14"/>
        <v>100</v>
      </c>
      <c r="X31" s="1576"/>
      <c r="Y31" s="3353"/>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53" t="s">
        <v>551</v>
      </c>
      <c r="Q32" s="1578">
        <f t="shared" si="11"/>
        <v>111</v>
      </c>
      <c r="R32" s="1579" t="s">
        <v>8</v>
      </c>
      <c r="S32" s="1580">
        <f t="shared" si="12"/>
        <v>100</v>
      </c>
      <c r="T32" s="1579" t="s">
        <v>8</v>
      </c>
      <c r="U32" s="1580">
        <f t="shared" si="13"/>
        <v>100</v>
      </c>
      <c r="V32" s="1579" t="s">
        <v>8</v>
      </c>
      <c r="W32" s="1580">
        <f t="shared" si="14"/>
        <v>100</v>
      </c>
      <c r="X32" s="1573"/>
      <c r="Y32" s="3353"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53"/>
      <c r="Q33" s="1578">
        <f t="shared" si="11"/>
        <v>111</v>
      </c>
      <c r="R33" s="1579" t="s">
        <v>8</v>
      </c>
      <c r="S33" s="1580">
        <f t="shared" si="12"/>
        <v>100</v>
      </c>
      <c r="T33" s="1579" t="s">
        <v>8</v>
      </c>
      <c r="U33" s="1580">
        <f t="shared" si="13"/>
        <v>100</v>
      </c>
      <c r="V33" s="1579" t="s">
        <v>8</v>
      </c>
      <c r="W33" s="1580">
        <f t="shared" si="14"/>
        <v>100</v>
      </c>
      <c r="X33" s="1573"/>
      <c r="Y33" s="3353"/>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53"/>
      <c r="Q34" s="1578">
        <f t="shared" si="11"/>
        <v>111</v>
      </c>
      <c r="R34" s="1579" t="s">
        <v>8</v>
      </c>
      <c r="S34" s="1580">
        <f t="shared" si="12"/>
        <v>100</v>
      </c>
      <c r="T34" s="1579" t="s">
        <v>8</v>
      </c>
      <c r="U34" s="1580">
        <f t="shared" si="13"/>
        <v>100</v>
      </c>
      <c r="V34" s="1579" t="s">
        <v>8</v>
      </c>
      <c r="W34" s="1580">
        <f t="shared" si="14"/>
        <v>100</v>
      </c>
      <c r="X34" s="1573"/>
      <c r="Y34" s="3353"/>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16" t="str">
        <f>A35</f>
        <v>成交单价（元/平方米）</v>
      </c>
      <c r="Q35" s="3316"/>
      <c r="R35" s="3424">
        <f>E35</f>
        <v>0</v>
      </c>
      <c r="S35" s="3424"/>
      <c r="T35" s="3424">
        <f>G35</f>
        <v>0</v>
      </c>
      <c r="U35" s="3424"/>
      <c r="V35" s="3424">
        <f>I35</f>
        <v>0</v>
      </c>
      <c r="W35" s="3424"/>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16" t="str">
        <f>A36</f>
        <v>比较价格（元/平方米）</v>
      </c>
      <c r="Q36" s="3316"/>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1565"/>
      <c r="Y36" s="1565"/>
      <c r="Z36" s="1565"/>
      <c r="AA36" s="1565"/>
      <c r="AB36" s="1565"/>
      <c r="AC36" s="1565"/>
    </row>
    <row r="37" spans="1:29" ht="15.75" thickBot="1">
      <c r="A37" s="624" t="s">
        <v>2955</v>
      </c>
      <c r="B37" s="625"/>
      <c r="C37" s="2672" t="e">
        <f>R37</f>
        <v>#DIV/0!</v>
      </c>
      <c r="D37" s="2672"/>
      <c r="E37" s="2672"/>
      <c r="F37" s="2672"/>
      <c r="G37" s="2672"/>
      <c r="H37" s="2672"/>
      <c r="I37" s="2672"/>
      <c r="J37" s="2672"/>
      <c r="K37" s="1619"/>
      <c r="L37" s="2155"/>
      <c r="M37" s="2156"/>
      <c r="N37" s="2156"/>
      <c r="O37" s="2156"/>
      <c r="P37" s="3313" t="str">
        <f>A37</f>
        <v>估价对象XX用房的比较价格（楼面单价，元/平方米）</v>
      </c>
      <c r="Q37" s="3314"/>
      <c r="R37" s="3423" t="e">
        <f>IF(F1="售价",ROUND(AVERAGE(R36:V36),0),ROUND(AVERAGE(R36:V36),1))</f>
        <v>#DIV/0!</v>
      </c>
      <c r="S37" s="3423"/>
      <c r="T37" s="3423"/>
      <c r="U37" s="3423"/>
      <c r="V37" s="3423"/>
      <c r="W37" s="3423"/>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3" t="s">
        <v>2316</v>
      </c>
      <c r="D1" s="3434"/>
      <c r="E1" s="3434"/>
      <c r="F1" s="3434"/>
      <c r="G1" s="3434"/>
      <c r="H1" s="3434"/>
      <c r="I1" s="3434"/>
      <c r="J1" s="3434"/>
      <c r="K1" s="3434"/>
      <c r="L1" s="3434"/>
      <c r="M1" s="3434"/>
      <c r="N1" s="3434"/>
      <c r="O1" s="3434"/>
      <c r="P1" s="3434"/>
      <c r="Q1" s="3434"/>
      <c r="R1" s="3434"/>
      <c r="S1" s="3435"/>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0" t="s">
        <v>20</v>
      </c>
      <c r="D22" s="3431"/>
      <c r="E22" s="3431"/>
      <c r="F22" s="3431"/>
      <c r="G22" s="3431"/>
      <c r="H22" s="3431"/>
      <c r="I22" s="3431"/>
      <c r="J22" s="3431"/>
      <c r="K22" s="3431"/>
      <c r="L22" s="3431"/>
      <c r="M22" s="3431"/>
      <c r="N22" s="3431"/>
      <c r="O22" s="3431"/>
      <c r="P22" s="3431"/>
      <c r="Q22" s="3432"/>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42920</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2</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v>
      </c>
      <c r="D3" s="3040" t="s">
        <v>2807</v>
      </c>
      <c r="E3" s="3043">
        <f ca="1">INDIRECT("J"&amp;$J$1)/100</f>
        <v>0</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受贵公司委托，我公司对国有建设用地使用权进行了预评估。</v>
      </c>
    </row>
    <row r="5" spans="1:4" ht="18.75">
      <c r="A5" s="1801" t="s">
        <v>1910</v>
      </c>
    </row>
    <row r="6" spans="1:4" ht="18.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国有建设用地使用权。根据《国有土地使用证》[]，估价对象（分摊）出让国有建设用地使用权面积为41598.62平方米。根据《建设工程规划许可证》[]、《出让合同》[]，估价对象规划建筑面积为99836.688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本次评估为委托估价方了解标的物之市场价格提供参考依据而评估国有建设用地使用权市场价格。</v>
      </c>
    </row>
    <row r="10" spans="1:4" ht="18.75">
      <c r="A10" s="1804" t="s">
        <v>2037</v>
      </c>
    </row>
    <row r="11" spans="1:4" ht="18.75">
      <c r="A11" s="1787" t="str">
        <f>TEXT(项目基本情况!D3,"yyyy年m月d日;;")&amp;IF(项目基本情况!B3=项目基本情况!D3,"（评估专业人员勘察现场之日）","")</f>
        <v>2017年7月4日（评估专业人员勘察现场之日）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18.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根据《国有土地使用证》[]，估价对象（分摊）出让国有建设用地使用权面积为41598.62平方米。根据《建设工程规划许可证》[]、《出让合同》[]，估价对象规划建筑面积为99836.688平方米。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150">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2" t="s">
        <v>2049</v>
      </c>
      <c r="B1" s="3152"/>
      <c r="C1" s="3152"/>
      <c r="D1" s="3152"/>
      <c r="E1" s="3152"/>
      <c r="F1" s="3152"/>
      <c r="G1" s="3152"/>
      <c r="H1" s="3152"/>
      <c r="I1" s="3152"/>
      <c r="J1" s="3152"/>
      <c r="K1" s="3152"/>
      <c r="L1" s="3152"/>
      <c r="M1" s="3152"/>
      <c r="N1" s="3152"/>
      <c r="O1" s="3152"/>
      <c r="P1" s="3152"/>
      <c r="Q1" s="3152"/>
      <c r="R1" s="3152"/>
    </row>
    <row r="2" spans="1:18">
      <c r="A2" s="1814" t="s">
        <v>2051</v>
      </c>
      <c r="B2" s="1814"/>
      <c r="C2" s="1814"/>
      <c r="D2" s="1814"/>
      <c r="E2" s="1814"/>
      <c r="F2" s="1814"/>
      <c r="G2" s="1814"/>
      <c r="H2" s="1814"/>
      <c r="I2" s="1815"/>
      <c r="J2" s="1815"/>
      <c r="K2" s="1816" t="str">
        <f>"估价期日："&amp;TEXT(项目基本情况!D3,"yyyy年m月d日;;")</f>
        <v>估价期日：2017年7月4日</v>
      </c>
      <c r="L2" s="1814"/>
      <c r="M2" s="1814"/>
      <c r="N2" s="1814"/>
      <c r="O2" s="1814"/>
      <c r="P2" s="1814"/>
      <c r="Q2" s="1814"/>
      <c r="R2" s="1816" t="str">
        <f>"估价期日的国有建设用地使用权性质："&amp;项目基本情况!B16</f>
        <v>估价期日的国有建设用地使用权性质：</v>
      </c>
    </row>
    <row r="3" spans="1:18" ht="23.25" customHeight="1">
      <c r="A3" s="3153" t="s">
        <v>2040</v>
      </c>
      <c r="B3" s="3153" t="s">
        <v>2749</v>
      </c>
      <c r="C3" s="3154" t="s">
        <v>2041</v>
      </c>
      <c r="D3" s="3153" t="s">
        <v>2753</v>
      </c>
      <c r="E3" s="3156" t="s">
        <v>2042</v>
      </c>
      <c r="F3" s="3156"/>
      <c r="G3" s="3156"/>
      <c r="H3" s="3156" t="s">
        <v>2043</v>
      </c>
      <c r="I3" s="3156"/>
      <c r="J3" s="3156"/>
      <c r="K3" s="3154" t="s">
        <v>2044</v>
      </c>
      <c r="L3" s="3154" t="s">
        <v>2045</v>
      </c>
      <c r="M3" s="3153" t="s">
        <v>2750</v>
      </c>
      <c r="N3" s="3155" t="str">
        <f>"（分摊）"&amp;项目基本情况!B16&amp;"国有建设用地使用权面积/㎡"</f>
        <v>（分摊）国有建设用地使用权面积/㎡</v>
      </c>
      <c r="O3" s="3153" t="s">
        <v>2074</v>
      </c>
      <c r="P3" s="3154" t="s">
        <v>2054</v>
      </c>
      <c r="Q3" s="3154" t="s">
        <v>2075</v>
      </c>
      <c r="R3" s="3154" t="s">
        <v>2046</v>
      </c>
    </row>
    <row r="4" spans="1:18" ht="36.75" customHeight="1">
      <c r="A4" s="3153"/>
      <c r="B4" s="3153"/>
      <c r="C4" s="3154"/>
      <c r="D4" s="3153"/>
      <c r="E4" s="2686" t="s">
        <v>2053</v>
      </c>
      <c r="F4" s="2686" t="s">
        <v>2762</v>
      </c>
      <c r="G4" s="2686" t="s">
        <v>2047</v>
      </c>
      <c r="H4" s="2686" t="s">
        <v>2048</v>
      </c>
      <c r="I4" s="2686" t="s">
        <v>2763</v>
      </c>
      <c r="J4" s="2686" t="s">
        <v>2047</v>
      </c>
      <c r="K4" s="3154"/>
      <c r="L4" s="3154"/>
      <c r="M4" s="3153"/>
      <c r="N4" s="3155"/>
      <c r="O4" s="3153"/>
      <c r="P4" s="3154"/>
      <c r="Q4" s="3154"/>
      <c r="R4" s="3154"/>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t="str">
        <f>IF(项目基本情况!B16="出让",项目基本情况!D20,"——")</f>
        <v>——</v>
      </c>
      <c r="N5" s="1817">
        <f>项目基本情况!C22</f>
        <v>41598.620000000003</v>
      </c>
      <c r="O5" s="1817">
        <f>项目基本情况!C21</f>
        <v>99836.688000000009</v>
      </c>
      <c r="P5" s="1817" t="e">
        <f ca="1">结果表!E42</f>
        <v>#REF!</v>
      </c>
      <c r="Q5" s="1817" t="e">
        <f ca="1">结果表!D42</f>
        <v>#REF!</v>
      </c>
      <c r="R5" s="1818" t="e">
        <f ca="1">结果表!C42</f>
        <v>#REF!</v>
      </c>
    </row>
    <row r="6" spans="1:18">
      <c r="A6" s="3149" t="s">
        <v>2006</v>
      </c>
      <c r="B6" s="3150"/>
      <c r="C6" s="3150"/>
      <c r="D6" s="3150"/>
      <c r="E6" s="3150"/>
      <c r="F6" s="3150"/>
      <c r="G6" s="3150"/>
      <c r="H6" s="3150"/>
      <c r="I6" s="3150"/>
      <c r="J6" s="3150"/>
      <c r="K6" s="3150"/>
      <c r="L6" s="3150"/>
      <c r="M6" s="3150"/>
      <c r="N6" s="3150"/>
      <c r="O6" s="3150"/>
      <c r="P6" s="3150"/>
      <c r="Q6" s="3151"/>
      <c r="R6" s="1819" t="str">
        <f>结果表!O39</f>
        <v>——</v>
      </c>
    </row>
    <row r="7" spans="1:18">
      <c r="A7" s="3149" t="str">
        <f>IF(项目基本情况!E8="已注销及未注销","抵押担保权已注销时的抵押价格","——")</f>
        <v>——</v>
      </c>
      <c r="B7" s="3150"/>
      <c r="C7" s="3150"/>
      <c r="D7" s="3150"/>
      <c r="E7" s="3150"/>
      <c r="F7" s="3150"/>
      <c r="G7" s="3150"/>
      <c r="H7" s="3150"/>
      <c r="I7" s="3150"/>
      <c r="J7" s="3150"/>
      <c r="K7" s="3150"/>
      <c r="L7" s="3150"/>
      <c r="M7" s="3150"/>
      <c r="N7" s="3150"/>
      <c r="O7" s="3150"/>
      <c r="P7" s="3150"/>
      <c r="Q7" s="3151"/>
      <c r="R7" s="1819" t="str">
        <f>结果表!O40</f>
        <v>——</v>
      </c>
    </row>
    <row r="8" spans="1:18">
      <c r="A8" s="3149">
        <f>项目基本情况!E9</f>
        <v>0</v>
      </c>
      <c r="B8" s="3150"/>
      <c r="C8" s="3150"/>
      <c r="D8" s="3150"/>
      <c r="E8" s="3150"/>
      <c r="F8" s="3150"/>
      <c r="G8" s="3150"/>
      <c r="H8" s="3150"/>
      <c r="I8" s="3150"/>
      <c r="J8" s="3150"/>
      <c r="K8" s="3150"/>
      <c r="L8" s="3150"/>
      <c r="M8" s="3150"/>
      <c r="N8" s="3150"/>
      <c r="O8" s="3150"/>
      <c r="P8" s="3150"/>
      <c r="Q8" s="3151"/>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58" t="s">
        <v>2076</v>
      </c>
      <c r="B1" s="3158"/>
      <c r="C1" s="3158"/>
      <c r="D1" s="3158"/>
    </row>
    <row r="2" spans="1:4" ht="47.25" customHeight="1">
      <c r="A2" s="3159" t="str">
        <f>"1.权利限制："&amp;项目基本情况!L24&amp;"未设定租赁等其他他项权利。"</f>
        <v>1.权利限制：根据估价对象《不动产权证书》原件、《国有土地使用权》复印件，截至估价期日，估价对象抵押权未见登记。未设定租赁等其他他项权利。</v>
      </c>
      <c r="B2" s="3159"/>
      <c r="C2" s="3159"/>
      <c r="D2" s="3159"/>
    </row>
    <row r="3" spans="1:4" ht="48" customHeight="1">
      <c r="A3" s="31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58"/>
      <c r="C3" s="3158"/>
      <c r="D3" s="3158"/>
    </row>
    <row r="4" spans="1:4" ht="36.75" customHeight="1">
      <c r="A4" s="3158" t="str">
        <f>"3.估价规划限制条件：详见"&amp;项目基本情况!E21&amp;"。"</f>
        <v>3.估价规划限制条件：详见《建设工程规划许可证》[]、《出让合同》[]。</v>
      </c>
      <c r="B4" s="3158"/>
      <c r="C4" s="3158"/>
      <c r="D4" s="3158"/>
    </row>
    <row r="5" spans="1:4">
      <c r="A5" s="3157" t="s">
        <v>2077</v>
      </c>
      <c r="B5" s="3157"/>
      <c r="C5" s="3157"/>
      <c r="D5" s="3157"/>
    </row>
    <row r="6" spans="1:4">
      <c r="A6" s="3158" t="s">
        <v>2055</v>
      </c>
      <c r="B6" s="3158"/>
      <c r="C6" s="3158"/>
      <c r="D6" s="3158"/>
    </row>
    <row r="7" spans="1:4" ht="33" customHeight="1">
      <c r="A7" s="3158" t="s">
        <v>2590</v>
      </c>
      <c r="B7" s="3158"/>
      <c r="C7" s="3158"/>
      <c r="D7" s="3158"/>
    </row>
    <row r="8" spans="1:4" ht="32.25" customHeight="1">
      <c r="A8" s="3158" t="str">
        <f>IF(项目基本情况!B8="抵押","2.本《评估意见函》仅供金融机构进行内部审核使用，不做其他目的之用。","")</f>
        <v/>
      </c>
      <c r="B8" s="3158"/>
      <c r="C8" s="3158"/>
      <c r="D8" s="3158"/>
    </row>
    <row r="9" spans="1:4" ht="33.75" customHeight="1">
      <c r="A9" s="3158" t="str">
        <f>IF(项目基本情况!B8="抵押","3.抵押双方在办理抵押登记手续时，应使用本公司出具的正式《土地估价报告》，特提请报告使用者注意。","")</f>
        <v/>
      </c>
      <c r="B9" s="3158"/>
      <c r="C9" s="3158"/>
      <c r="D9" s="3158"/>
    </row>
    <row r="10" spans="1:4">
      <c r="A10" s="3158" t="str">
        <f>IF(项目基本情况!B8="抵押","4.估价师所知悉的法定优先受偿款情况为：","")</f>
        <v/>
      </c>
      <c r="B10" s="3158"/>
      <c r="C10" s="3158"/>
      <c r="D10" s="3158"/>
    </row>
    <row r="11" spans="1:4" ht="37.5" customHeight="1">
      <c r="A11" s="3160" t="str">
        <f>IF(项目基本情况!B8="抵押","（1）"&amp;CONCATENATE(项目基本情况!L24,项目基本情况!L25,项目基本情况!L26),"")</f>
        <v/>
      </c>
      <c r="B11" s="3160"/>
      <c r="C11" s="3160"/>
      <c r="D11" s="3160"/>
    </row>
    <row r="12" spans="1:4" ht="168" customHeight="1">
      <c r="A12" s="3157" t="s">
        <v>2079</v>
      </c>
      <c r="B12" s="3157"/>
      <c r="C12" s="3157"/>
      <c r="D12" s="3157"/>
    </row>
    <row r="13" spans="1:4">
      <c r="A13" s="3161" t="s">
        <v>2764</v>
      </c>
      <c r="B13" s="3161"/>
      <c r="C13" s="3161"/>
      <c r="D13" s="3161"/>
    </row>
    <row r="14" spans="1:4">
      <c r="A14" s="3160" t="str">
        <f>IF(项目基本情况!B8="抵押","综上，"&amp;结果表!K47,"")</f>
        <v/>
      </c>
      <c r="B14" s="3160"/>
      <c r="C14" s="3160"/>
      <c r="D14" s="3160"/>
    </row>
    <row r="15" spans="1:4" ht="58.5" customHeight="1">
      <c r="A15" s="315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8"/>
      <c r="C15" s="3158"/>
      <c r="D15" s="3158"/>
    </row>
    <row r="16" spans="1:4" ht="70.5" customHeight="1">
      <c r="A16" s="315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8"/>
      <c r="C16" s="3158"/>
      <c r="D16" s="3158"/>
    </row>
    <row r="17" spans="1:4">
      <c r="A17" s="3158" t="s">
        <v>2720</v>
      </c>
      <c r="B17" s="3158"/>
      <c r="C17" s="3158"/>
      <c r="D17" s="3158"/>
    </row>
    <row r="18" spans="1:4">
      <c r="A18" s="3158" t="s">
        <v>2712</v>
      </c>
      <c r="B18" s="3158"/>
      <c r="C18" s="3158"/>
      <c r="D18" s="3158"/>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58" t="s">
        <v>2717</v>
      </c>
      <c r="B23" s="3158"/>
      <c r="C23" s="3158"/>
      <c r="D23" s="3158"/>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69" t="s">
        <v>53</v>
      </c>
      <c r="B15" s="3170" t="s">
        <v>849</v>
      </c>
      <c r="C15" s="3166"/>
    </row>
    <row r="16" spans="1:7" ht="14.25">
      <c r="A16" s="3169"/>
      <c r="B16" s="3167" t="s">
        <v>54</v>
      </c>
      <c r="C16" s="1175" t="s">
        <v>53</v>
      </c>
    </row>
    <row r="17" spans="1:3" ht="14.25">
      <c r="A17" s="3169"/>
      <c r="B17" s="3167"/>
      <c r="C17" s="1175" t="s">
        <v>55</v>
      </c>
    </row>
    <row r="18" spans="1:3" ht="14.25">
      <c r="A18" s="3169"/>
      <c r="B18" s="3167"/>
      <c r="C18" s="1175" t="s">
        <v>56</v>
      </c>
    </row>
    <row r="19" spans="1:3" ht="14.25">
      <c r="A19" s="3169"/>
      <c r="B19" s="3165" t="s">
        <v>57</v>
      </c>
      <c r="C19" s="3166"/>
    </row>
    <row r="20" spans="1:3" ht="14.25">
      <c r="A20" s="1176" t="s">
        <v>58</v>
      </c>
      <c r="B20" s="1177"/>
      <c r="C20" s="1178"/>
    </row>
    <row r="21" spans="1:3" ht="14.25">
      <c r="A21" s="3168" t="s">
        <v>59</v>
      </c>
      <c r="B21" s="3165" t="s">
        <v>60</v>
      </c>
      <c r="C21" s="3166"/>
    </row>
    <row r="22" spans="1:3" ht="14.25">
      <c r="A22" s="3168"/>
      <c r="B22" s="3165" t="s">
        <v>61</v>
      </c>
      <c r="C22" s="3166"/>
    </row>
    <row r="23" spans="1:3" ht="14.25">
      <c r="A23" s="3168"/>
      <c r="B23" s="3165" t="s">
        <v>62</v>
      </c>
      <c r="C23" s="3166"/>
    </row>
    <row r="24" spans="1:3" ht="14.25">
      <c r="A24" s="3168"/>
      <c r="B24" s="3171" t="s">
        <v>63</v>
      </c>
      <c r="C24" s="1179" t="s">
        <v>840</v>
      </c>
    </row>
    <row r="25" spans="1:3" ht="14.25">
      <c r="A25" s="3168"/>
      <c r="B25" s="3172"/>
      <c r="C25" s="1179" t="s">
        <v>841</v>
      </c>
    </row>
    <row r="26" spans="1:3" ht="14.25">
      <c r="A26" s="3168"/>
      <c r="B26" s="3172"/>
      <c r="C26" s="1179" t="s">
        <v>842</v>
      </c>
    </row>
    <row r="27" spans="1:3" ht="14.25">
      <c r="A27" s="3168"/>
      <c r="B27" s="3172"/>
      <c r="C27" s="1179" t="s">
        <v>843</v>
      </c>
    </row>
    <row r="28" spans="1:3" ht="14.25">
      <c r="A28" s="3168"/>
      <c r="B28" s="3172"/>
      <c r="C28" s="1179" t="s">
        <v>844</v>
      </c>
    </row>
    <row r="29" spans="1:3" ht="14.25">
      <c r="A29" s="3168"/>
      <c r="B29" s="3172"/>
      <c r="C29" s="1179" t="s">
        <v>845</v>
      </c>
    </row>
    <row r="30" spans="1:3" ht="14.25">
      <c r="A30" s="3168"/>
      <c r="B30" s="3172"/>
      <c r="C30" s="1179" t="s">
        <v>846</v>
      </c>
    </row>
    <row r="31" spans="1:3" ht="14.25">
      <c r="A31" s="3168"/>
      <c r="B31" s="3172"/>
      <c r="C31" s="1179" t="s">
        <v>847</v>
      </c>
    </row>
    <row r="32" spans="1:3" ht="14.25">
      <c r="A32" s="3168"/>
      <c r="B32" s="3172"/>
      <c r="C32" s="1179" t="s">
        <v>1650</v>
      </c>
    </row>
    <row r="33" spans="1:3" ht="14.25">
      <c r="A33" s="3168"/>
      <c r="B33" s="3162" t="s">
        <v>1656</v>
      </c>
      <c r="C33" s="1179" t="s">
        <v>1651</v>
      </c>
    </row>
    <row r="34" spans="1:3" ht="14.25">
      <c r="A34" s="3168"/>
      <c r="B34" s="3163"/>
      <c r="C34" s="1184" t="s">
        <v>1652</v>
      </c>
    </row>
    <row r="35" spans="1:3" ht="14.25">
      <c r="A35" s="3168"/>
      <c r="B35" s="3163"/>
      <c r="C35" s="1185" t="s">
        <v>1653</v>
      </c>
    </row>
    <row r="36" spans="1:3" ht="14.25">
      <c r="A36" s="3168"/>
      <c r="B36" s="3163"/>
      <c r="C36" s="1185" t="s">
        <v>1654</v>
      </c>
    </row>
    <row r="37" spans="1:3" ht="14.25">
      <c r="A37" s="3168"/>
      <c r="B37" s="3164"/>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42950</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73" t="s">
        <v>1936</v>
      </c>
      <c r="B25" s="3173"/>
      <c r="C25" s="3173"/>
      <c r="D25" s="3173"/>
      <c r="E25" s="3173"/>
      <c r="F25" s="3173"/>
      <c r="G25" s="3173"/>
    </row>
    <row r="26" spans="1:7" ht="20.25" customHeight="1">
      <c r="A26" s="3174" t="s">
        <v>1937</v>
      </c>
      <c r="B26" s="3174"/>
      <c r="C26" s="3174"/>
      <c r="D26" s="3174" t="s">
        <v>1938</v>
      </c>
      <c r="E26" s="3174"/>
      <c r="F26" s="3174"/>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4"/>
    </row>
    <row r="52" spans="1:5">
      <c r="A52" s="1772" t="s">
        <v>1996</v>
      </c>
      <c r="B52" s="1775" t="s">
        <v>1997</v>
      </c>
      <c r="C52" s="1773" t="s">
        <v>1998</v>
      </c>
      <c r="D52" s="1773" t="s">
        <v>1999</v>
      </c>
      <c r="E52" s="1774"/>
    </row>
    <row r="53" spans="1:5">
      <c r="A53" s="3175"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4"/>
      <c r="E53" s="1774"/>
    </row>
    <row r="54" spans="1:5">
      <c r="A54" s="3175"/>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4"/>
      <c r="E54" s="1774"/>
    </row>
    <row r="55" spans="1:5">
      <c r="A55" s="3175"/>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4"/>
      <c r="E55" s="1774"/>
    </row>
    <row r="56" spans="1:5">
      <c r="A56" s="3175"/>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4"/>
      <c r="E56" s="1774"/>
    </row>
    <row r="57" spans="1:5">
      <c r="A57" s="3175"/>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2017-08-03T02:36:38Z</dcterms:modified>
</cp:coreProperties>
</file>