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xing&amp;han\Desktop\于家务工业\"/>
    </mc:Choice>
  </mc:AlternateContent>
  <xr:revisionPtr revIDLastSave="0" documentId="13_ncr:1_{21B381D4-6034-48DE-9720-B60BCA5573A5}" xr6:coauthVersionLast="47" xr6:coauthVersionMax="47" xr10:uidLastSave="{00000000-0000-0000-0000-000000000000}"/>
  <bookViews>
    <workbookView xWindow="-110" yWindow="-110" windowWidth="19420" windowHeight="1042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2022"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基准地价修正2022!$A$1:$J$44,基准地价修正2022!$A$48:$H$102,基准地价修正2022!$R$1:$V$16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基准地价修正2022!$Z$19:$AD$19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85" i="43" l="1"/>
  <c r="G86" i="43"/>
  <c r="G87" i="43"/>
  <c r="G88" i="43"/>
  <c r="G89" i="43"/>
  <c r="G90" i="43"/>
  <c r="G91" i="43"/>
  <c r="G84" i="43"/>
  <c r="D33" i="43"/>
  <c r="I13" i="4"/>
  <c r="AK5" i="71" l="1"/>
  <c r="AJ5" i="71"/>
  <c r="AG5" i="71"/>
  <c r="AH5" i="71" s="1"/>
  <c r="AF5" i="71"/>
  <c r="AI5" i="71" s="1"/>
  <c r="R5" i="71"/>
  <c r="Q5" i="71"/>
  <c r="P5" i="71"/>
  <c r="O5" i="71"/>
  <c r="AK6" i="71"/>
  <c r="AJ6" i="71"/>
  <c r="AG6" i="71"/>
  <c r="AH6" i="71" s="1"/>
  <c r="AF6" i="71"/>
  <c r="AI6" i="71" s="1"/>
  <c r="R6" i="71"/>
  <c r="Q6" i="71"/>
  <c r="P6" i="71"/>
  <c r="O6" i="71"/>
  <c r="AK7" i="71"/>
  <c r="AJ7" i="71"/>
  <c r="AI7" i="71"/>
  <c r="AG7" i="71"/>
  <c r="AH7" i="71" s="1"/>
  <c r="AF7" i="7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s="1"/>
  <c r="F36" i="77"/>
  <c r="R34" i="77"/>
  <c r="R33" i="77"/>
  <c r="C30" i="77"/>
  <c r="R27" i="77"/>
  <c r="M24" i="77"/>
  <c r="R23" i="77"/>
  <c r="R24" i="77" s="1"/>
  <c r="C23" i="77"/>
  <c r="D23" i="77" s="1"/>
  <c r="R22" i="77"/>
  <c r="R21" i="77"/>
  <c r="N19" i="77"/>
  <c r="R18" i="77"/>
  <c r="D18" i="77"/>
  <c r="R17" i="77"/>
  <c r="D17" i="77"/>
  <c r="R16" i="77"/>
  <c r="R19" i="77" s="1"/>
  <c r="D16" i="77"/>
  <c r="D15" i="77"/>
  <c r="M14" i="77"/>
  <c r="N14" i="77" s="1"/>
  <c r="D14" i="77"/>
  <c r="R13" i="77"/>
  <c r="R12" i="77"/>
  <c r="D12" i="77"/>
  <c r="D11" i="77" s="1"/>
  <c r="R11" i="77"/>
  <c r="R10" i="77"/>
  <c r="D10" i="77"/>
  <c r="R9" i="77"/>
  <c r="D9" i="77"/>
  <c r="R8" i="77"/>
  <c r="R7" i="77"/>
  <c r="R4" i="77"/>
  <c r="R3" i="77"/>
  <c r="R14" i="77"/>
  <c r="R25" i="77" s="1"/>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A2" i="53"/>
  <c r="B19" i="72" s="1"/>
  <c r="K59" i="67"/>
  <c r="P61" i="67" s="1"/>
  <c r="K59" i="15"/>
  <c r="P61" i="15" s="1"/>
  <c r="P74" i="15"/>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s="1"/>
  <c r="E109" i="9"/>
  <c r="A124" i="9"/>
  <c r="B44" i="72"/>
  <c r="B42" i="72"/>
  <c r="B69" i="72"/>
  <c r="B68" i="72"/>
  <c r="B63" i="72"/>
  <c r="B62" i="72"/>
  <c r="B16" i="72"/>
  <c r="B60" i="72"/>
  <c r="B67"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W77" i="71" s="1"/>
  <c r="F77" i="71"/>
  <c r="V77" i="71"/>
  <c r="C77" i="71"/>
  <c r="U77" i="71" s="1"/>
  <c r="B77" i="71"/>
  <c r="T77" i="71"/>
  <c r="R76" i="71"/>
  <c r="Q76" i="71"/>
  <c r="P76" i="71"/>
  <c r="O76" i="71"/>
  <c r="G76" i="71"/>
  <c r="G75" i="71" s="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W69" i="71" s="1"/>
  <c r="F69" i="71"/>
  <c r="Q69" i="71"/>
  <c r="C69" i="71"/>
  <c r="P69" i="71" s="1"/>
  <c r="B69" i="71"/>
  <c r="T69"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Q29" i="71"/>
  <c r="F29" i="71" s="1"/>
  <c r="V69" i="71"/>
  <c r="F68" i="71"/>
  <c r="Q68" i="71" s="1"/>
  <c r="R29" i="71"/>
  <c r="U69" i="71"/>
  <c r="R69" i="71"/>
  <c r="F72" i="71"/>
  <c r="F71" i="71" s="1"/>
  <c r="F76" i="71"/>
  <c r="F75" i="71" s="1"/>
  <c r="D77" i="71"/>
  <c r="F80" i="71"/>
  <c r="F79" i="71" s="1"/>
  <c r="C84" i="71"/>
  <c r="C83" i="71" s="1"/>
  <c r="D83" i="71" s="1"/>
  <c r="C88" i="71"/>
  <c r="D88" i="71" s="1"/>
  <c r="G29" i="71"/>
  <c r="D84" i="71"/>
  <c r="C87" i="71"/>
  <c r="D87"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3" i="39"/>
  <c r="E103" i="39" s="1"/>
  <c r="F103" i="39" s="1"/>
  <c r="G103" i="39" s="1"/>
  <c r="F29" i="39"/>
  <c r="AA29" i="39"/>
  <c r="Q18" i="36"/>
  <c r="Z18" i="36" s="1"/>
  <c r="D66" i="36"/>
  <c r="E66" i="36"/>
  <c r="F66" i="36" s="1"/>
  <c r="H18" i="36"/>
  <c r="AB18" i="36"/>
  <c r="F18" i="36"/>
  <c r="AA18" i="36" s="1"/>
  <c r="C18" i="36"/>
  <c r="Q18" i="35"/>
  <c r="Z18" i="35" s="1"/>
  <c r="D68" i="35"/>
  <c r="E68" i="35" s="1"/>
  <c r="F68" i="35" s="1"/>
  <c r="G68" i="35" s="1"/>
  <c r="F18" i="35"/>
  <c r="AA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B101" i="43" s="1"/>
  <c r="B78" i="43"/>
  <c r="B58" i="43"/>
  <c r="B69" i="43"/>
  <c r="C29" i="39"/>
  <c r="S25" i="40"/>
  <c r="S29" i="39"/>
  <c r="U18" i="36"/>
  <c r="S21" i="34"/>
  <c r="F94" i="40"/>
  <c r="G94" i="40" s="1"/>
  <c r="H25" i="40"/>
  <c r="J25" i="40"/>
  <c r="AC25" i="40" s="1"/>
  <c r="H29" i="39"/>
  <c r="J29" i="39"/>
  <c r="W29" i="39" s="1"/>
  <c r="G66" i="36"/>
  <c r="J18" i="36"/>
  <c r="AC18" i="36" s="1"/>
  <c r="H18" i="35"/>
  <c r="AB18" i="35" s="1"/>
  <c r="S18" i="35"/>
  <c r="J18" i="35"/>
  <c r="H21" i="37"/>
  <c r="U21" i="37" s="1"/>
  <c r="F21" i="37"/>
  <c r="AA21" i="37" s="1"/>
  <c r="H21" i="34"/>
  <c r="U21" i="34" s="1"/>
  <c r="H21" i="33"/>
  <c r="U21" i="33" s="1"/>
  <c r="F21" i="33"/>
  <c r="E83" i="21"/>
  <c r="F83" i="21" s="1"/>
  <c r="G83" i="21" s="1"/>
  <c r="S21" i="21"/>
  <c r="H1" i="69"/>
  <c r="W25" i="40"/>
  <c r="AB25" i="40"/>
  <c r="U25" i="40"/>
  <c r="AB29" i="39"/>
  <c r="U29" i="39"/>
  <c r="AC29" i="39"/>
  <c r="W18" i="36"/>
  <c r="AB21" i="37"/>
  <c r="S21" i="37"/>
  <c r="AB21" i="34"/>
  <c r="AB21" i="33"/>
  <c r="AA21" i="33"/>
  <c r="S21" i="33"/>
  <c r="U18" i="35"/>
  <c r="AC18" i="35"/>
  <c r="W18" i="35"/>
  <c r="J21" i="37"/>
  <c r="W21" i="37" s="1"/>
  <c r="G84" i="34"/>
  <c r="J21" i="34"/>
  <c r="AC21" i="34" s="1"/>
  <c r="J21" i="33"/>
  <c r="W21" i="33" s="1"/>
  <c r="H21" i="21"/>
  <c r="AB21" i="21" s="1"/>
  <c r="F38" i="69"/>
  <c r="E37" i="69"/>
  <c r="F36" i="69"/>
  <c r="F35" i="69"/>
  <c r="F21" i="69"/>
  <c r="F40" i="69" s="1"/>
  <c r="C21" i="69"/>
  <c r="F20" i="69"/>
  <c r="F39" i="69" s="1"/>
  <c r="E10" i="69"/>
  <c r="E9" i="69"/>
  <c r="C7" i="69"/>
  <c r="AC21" i="37"/>
  <c r="W21" i="34"/>
  <c r="U21" i="21"/>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7" i="43"/>
  <c r="D88" i="43"/>
  <c r="D89"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D80" i="43"/>
  <c r="D75" i="43"/>
  <c r="D74" i="43"/>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AZ70" i="3" s="1"/>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Z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I24" i="43" s="1"/>
  <c r="H15" i="4"/>
  <c r="G15" i="4"/>
  <c r="E15" i="4"/>
  <c r="D15" i="4"/>
  <c r="F7" i="1"/>
  <c r="G7" i="1" s="1"/>
  <c r="L21" i="4"/>
  <c r="F19" i="4"/>
  <c r="F2" i="52"/>
  <c r="B50" i="72"/>
  <c r="D2" i="52"/>
  <c r="B46" i="72"/>
  <c r="B8" i="53"/>
  <c r="B23" i="72"/>
  <c r="L4" i="9"/>
  <c r="B17" i="72"/>
  <c r="B15" i="72"/>
  <c r="A3" i="51"/>
  <c r="C8" i="11"/>
  <c r="B40" i="48"/>
  <c r="B3" i="72" s="1"/>
  <c r="N1" i="43"/>
  <c r="F35" i="4"/>
  <c r="J55" i="39"/>
  <c r="H38" i="43"/>
  <c r="H39" i="43"/>
  <c r="H40" i="43"/>
  <c r="H41" i="43"/>
  <c r="H42" i="43"/>
  <c r="H37" i="43"/>
  <c r="J24" i="43"/>
  <c r="C22" i="43"/>
  <c r="D16" i="43"/>
  <c r="C16" i="43"/>
  <c r="C10" i="43"/>
  <c r="C11" i="43" s="1"/>
  <c r="C9" i="43"/>
  <c r="A7" i="43"/>
  <c r="F33" i="15"/>
  <c r="F61" i="15"/>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c r="D89" i="9"/>
  <c r="C89" i="9" s="1"/>
  <c r="C87" i="9" s="1"/>
  <c r="G12" i="1"/>
  <c r="J55" i="9"/>
  <c r="B31" i="1"/>
  <c r="B52" i="1"/>
  <c r="M20" i="15"/>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s="1"/>
  <c r="F42" i="34"/>
  <c r="J38" i="34"/>
  <c r="W38" i="34"/>
  <c r="D114" i="34"/>
  <c r="F38" i="34"/>
  <c r="S38" i="34" s="1"/>
  <c r="D112" i="34"/>
  <c r="E112" i="34" s="1"/>
  <c r="F112" i="34" s="1"/>
  <c r="G112" i="34" s="1"/>
  <c r="H112" i="34" s="1"/>
  <c r="I112" i="34"/>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c r="J81" i="39" s="1"/>
  <c r="K81" i="39" s="1"/>
  <c r="L81" i="39" s="1"/>
  <c r="M81" i="39" s="1"/>
  <c r="D76" i="40"/>
  <c r="E76" i="40" s="1"/>
  <c r="F76" i="40" s="1"/>
  <c r="G76" i="40" s="1"/>
  <c r="H76" i="40" s="1"/>
  <c r="I76" i="40" s="1"/>
  <c r="J76" i="40" s="1"/>
  <c r="K76" i="40" s="1"/>
  <c r="L76" i="40" s="1"/>
  <c r="M76" i="40" s="1"/>
  <c r="B120" i="40"/>
  <c r="H40" i="40" s="1"/>
  <c r="AB40" i="40" s="1"/>
  <c r="B118" i="40"/>
  <c r="B116" i="40"/>
  <c r="F38" i="40"/>
  <c r="AA38" i="40"/>
  <c r="D115" i="40"/>
  <c r="E115" i="40" s="1"/>
  <c r="F115" i="40" s="1"/>
  <c r="G115" i="40" s="1"/>
  <c r="H115" i="40"/>
  <c r="I115" i="40" s="1"/>
  <c r="J115" i="40" s="1"/>
  <c r="K115" i="40" s="1"/>
  <c r="L115" i="40" s="1"/>
  <c r="M115" i="40" s="1"/>
  <c r="D113" i="40"/>
  <c r="E113" i="40" s="1"/>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s="1"/>
  <c r="J100" i="40" s="1"/>
  <c r="K100" i="40"/>
  <c r="L100" i="40" s="1"/>
  <c r="M100" i="40" s="1"/>
  <c r="D98" i="40"/>
  <c r="J28" i="40"/>
  <c r="AC28" i="40" s="1"/>
  <c r="D96" i="40"/>
  <c r="E96" i="40" s="1"/>
  <c r="F96" i="40" s="1"/>
  <c r="G96" i="40" s="1"/>
  <c r="H96" i="40" s="1"/>
  <c r="I96" i="40"/>
  <c r="J96" i="40" s="1"/>
  <c r="K96" i="40" s="1"/>
  <c r="L96" i="40" s="1"/>
  <c r="M96" i="40" s="1"/>
  <c r="B95" i="40"/>
  <c r="D92" i="40"/>
  <c r="E92" i="40"/>
  <c r="F92" i="40"/>
  <c r="G92" i="40"/>
  <c r="D90" i="40"/>
  <c r="E90" i="40"/>
  <c r="F90" i="40"/>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Q39" i="40"/>
  <c r="Z39" i="40" s="1"/>
  <c r="Q38" i="40"/>
  <c r="Z38" i="40" s="1"/>
  <c r="J38" i="40"/>
  <c r="AC38" i="40" s="1"/>
  <c r="H38" i="40"/>
  <c r="AB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c r="D124" i="39"/>
  <c r="E124" i="39" s="1"/>
  <c r="F124" i="39" s="1"/>
  <c r="G124" i="39" s="1"/>
  <c r="H124" i="39"/>
  <c r="I124" i="39" s="1"/>
  <c r="J124" i="39" s="1"/>
  <c r="K124" i="39" s="1"/>
  <c r="L124" i="39" s="1"/>
  <c r="M124" i="39" s="1"/>
  <c r="D120" i="39"/>
  <c r="E120" i="39" s="1"/>
  <c r="F120" i="39" s="1"/>
  <c r="G120" i="39" s="1"/>
  <c r="H120" i="39" s="1"/>
  <c r="I120" i="39"/>
  <c r="J120" i="39" s="1"/>
  <c r="K120" i="39" s="1"/>
  <c r="L120" i="39" s="1"/>
  <c r="M120" i="39" s="1"/>
  <c r="B114" i="39"/>
  <c r="J37" i="39" s="1"/>
  <c r="D109" i="39"/>
  <c r="F34" i="39"/>
  <c r="AA34" i="39"/>
  <c r="D107" i="39"/>
  <c r="E107" i="39"/>
  <c r="D105" i="39"/>
  <c r="E105" i="39"/>
  <c r="F105" i="39" s="1"/>
  <c r="G105" i="39"/>
  <c r="H105" i="39" s="1"/>
  <c r="I105" i="39" s="1"/>
  <c r="J105" i="39" s="1"/>
  <c r="K105" i="39" s="1"/>
  <c r="L105" i="39"/>
  <c r="M105" i="39" s="1"/>
  <c r="D101" i="39"/>
  <c r="D99" i="39"/>
  <c r="E99" i="39"/>
  <c r="F99" i="39" s="1"/>
  <c r="G99" i="39" s="1"/>
  <c r="Q39" i="39"/>
  <c r="Z39" i="39"/>
  <c r="Q40" i="39"/>
  <c r="Z40" i="39" s="1"/>
  <c r="Q41" i="39"/>
  <c r="Z41" i="39" s="1"/>
  <c r="Q42" i="39"/>
  <c r="Z42" i="39" s="1"/>
  <c r="Q43" i="39"/>
  <c r="Z43" i="39" s="1"/>
  <c r="Q44" i="39"/>
  <c r="Z44" i="39" s="1"/>
  <c r="Q45" i="39"/>
  <c r="Z45" i="39"/>
  <c r="Q38" i="39"/>
  <c r="Z38" i="39" s="1"/>
  <c r="Q36" i="39"/>
  <c r="Z36" i="39"/>
  <c r="Q37" i="39"/>
  <c r="Z37" i="39" s="1"/>
  <c r="B131" i="39"/>
  <c r="H45" i="39" s="1"/>
  <c r="B129" i="39"/>
  <c r="H44" i="39" s="1"/>
  <c r="B127" i="39"/>
  <c r="J43" i="39" s="1"/>
  <c r="D126" i="39"/>
  <c r="E126" i="39" s="1"/>
  <c r="F126" i="39"/>
  <c r="G126" i="39"/>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s="1"/>
  <c r="Q9" i="39"/>
  <c r="Z9" i="39" s="1"/>
  <c r="J9" i="39"/>
  <c r="AC9" i="39"/>
  <c r="H9" i="39"/>
  <c r="AB9" i="39" s="1"/>
  <c r="F9" i="39"/>
  <c r="AA9" i="39"/>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H26" i="37"/>
  <c r="AB26" i="37" s="1"/>
  <c r="Q25" i="37"/>
  <c r="Z25" i="37"/>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c r="K81" i="36" s="1"/>
  <c r="L81" i="36" s="1"/>
  <c r="M81" i="36" s="1"/>
  <c r="F79" i="36"/>
  <c r="E79" i="36"/>
  <c r="D79" i="36"/>
  <c r="C79" i="36"/>
  <c r="B93" i="36"/>
  <c r="H33" i="36" s="1"/>
  <c r="B91" i="36"/>
  <c r="F32" i="36" s="1"/>
  <c r="B95" i="36"/>
  <c r="H34" i="36" s="1"/>
  <c r="D83" i="36"/>
  <c r="E83" i="36"/>
  <c r="F83" i="36" s="1"/>
  <c r="G83" i="36" s="1"/>
  <c r="H83" i="36" s="1"/>
  <c r="I83" i="36" s="1"/>
  <c r="J83" i="36"/>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c r="F64" i="36" s="1"/>
  <c r="G64" i="36" s="1"/>
  <c r="J16" i="36"/>
  <c r="W16" i="36"/>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s="1"/>
  <c r="H26" i="36"/>
  <c r="AB26" i="36" s="1"/>
  <c r="Q25" i="36"/>
  <c r="Z25" i="36" s="1"/>
  <c r="Q24" i="36"/>
  <c r="Z24" i="36" s="1"/>
  <c r="H24" i="36"/>
  <c r="AB24" i="36"/>
  <c r="Q23" i="36"/>
  <c r="Z23" i="36" s="1"/>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s="1"/>
  <c r="H84" i="35" s="1"/>
  <c r="I84" i="35"/>
  <c r="J84" i="35" s="1"/>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J12" i="35"/>
  <c r="W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c r="K92" i="34" s="1"/>
  <c r="L92" i="34" s="1"/>
  <c r="M92" i="34" s="1"/>
  <c r="B91" i="34"/>
  <c r="B89" i="34"/>
  <c r="J27" i="34"/>
  <c r="D88" i="34"/>
  <c r="E88" i="34"/>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J12" i="34"/>
  <c r="W12" i="34"/>
  <c r="H12" i="34"/>
  <c r="F12" i="34"/>
  <c r="S12" i="34"/>
  <c r="Q11" i="34"/>
  <c r="Z11" i="34"/>
  <c r="Q10" i="34"/>
  <c r="Z10" i="34"/>
  <c r="F10" i="34"/>
  <c r="AA10" i="34"/>
  <c r="Q9" i="34"/>
  <c r="Z9" i="34"/>
  <c r="J9" i="34"/>
  <c r="AC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s="1"/>
  <c r="F8" i="33"/>
  <c r="AA8" i="33"/>
  <c r="M102" i="21"/>
  <c r="D102" i="21"/>
  <c r="E102" i="21"/>
  <c r="F102" i="21"/>
  <c r="G102" i="21"/>
  <c r="H102" i="21"/>
  <c r="I102" i="21"/>
  <c r="J102" i="21"/>
  <c r="K102" i="21"/>
  <c r="L102" i="21"/>
  <c r="C102" i="21"/>
  <c r="C63" i="21"/>
  <c r="F9" i="21" s="1"/>
  <c r="G18" i="20"/>
  <c r="B91" i="43"/>
  <c r="G19" i="20"/>
  <c r="B88" i="43" s="1"/>
  <c r="G16" i="20"/>
  <c r="B85" i="43"/>
  <c r="G15" i="20"/>
  <c r="B84" i="43" s="1"/>
  <c r="C24" i="20"/>
  <c r="B98" i="43" s="1"/>
  <c r="B76" i="43"/>
  <c r="C21" i="20"/>
  <c r="C20" i="20"/>
  <c r="B102" i="43" s="1"/>
  <c r="B80" i="43"/>
  <c r="C18" i="20"/>
  <c r="C17" i="20"/>
  <c r="B62" i="43"/>
  <c r="C16" i="20"/>
  <c r="C17" i="39" s="1"/>
  <c r="C15" i="20"/>
  <c r="B73" i="43"/>
  <c r="E54" i="21"/>
  <c r="F54" i="21" s="1"/>
  <c r="I54" i="21"/>
  <c r="J54" i="21"/>
  <c r="G54" i="21"/>
  <c r="H54" i="21" s="1"/>
  <c r="D125" i="21"/>
  <c r="E125" i="21"/>
  <c r="F125" i="21"/>
  <c r="G125" i="21" s="1"/>
  <c r="D123" i="21"/>
  <c r="E123" i="21"/>
  <c r="F123" i="21"/>
  <c r="F42" i="21"/>
  <c r="AA42" i="21" s="1"/>
  <c r="D119" i="21"/>
  <c r="F40" i="21"/>
  <c r="AA40" i="21" s="1"/>
  <c r="D117" i="21"/>
  <c r="E117" i="2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c r="F89" i="21"/>
  <c r="G89" i="21" s="1"/>
  <c r="H89" i="21" s="1"/>
  <c r="I89" i="21"/>
  <c r="J89" i="21"/>
  <c r="K89" i="21" s="1"/>
  <c r="L89" i="21" s="1"/>
  <c r="M89" i="21" s="1"/>
  <c r="D67" i="21"/>
  <c r="E67" i="21"/>
  <c r="F67" i="21"/>
  <c r="G67" i="21"/>
  <c r="H67" i="21"/>
  <c r="I67" i="21"/>
  <c r="J67" i="21"/>
  <c r="K67" i="21"/>
  <c r="L67" i="21"/>
  <c r="M67" i="21"/>
  <c r="C67" i="21"/>
  <c r="D69" i="21"/>
  <c r="E69" i="21"/>
  <c r="F69" i="21" s="1"/>
  <c r="G69" i="21" s="1"/>
  <c r="H69" i="21"/>
  <c r="I69" i="21"/>
  <c r="J69" i="21" s="1"/>
  <c r="K69" i="21" s="1"/>
  <c r="L69" i="21" s="1"/>
  <c r="M69" i="21" s="1"/>
  <c r="D66" i="21"/>
  <c r="E66" i="21" s="1"/>
  <c r="F66" i="21"/>
  <c r="G66" i="21" s="1"/>
  <c r="H66" i="21" s="1"/>
  <c r="I66" i="21" s="1"/>
  <c r="D111" i="21"/>
  <c r="E111" i="21"/>
  <c r="F111" i="21"/>
  <c r="C111" i="21"/>
  <c r="D79" i="21"/>
  <c r="E79" i="21"/>
  <c r="F79" i="2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U38"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c r="H11" i="21"/>
  <c r="U11" i="21" s="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s="1"/>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8" i="34"/>
  <c r="AA28" i="34" s="1"/>
  <c r="F27" i="34"/>
  <c r="AA27" i="34"/>
  <c r="F25" i="34"/>
  <c r="S25" i="34" s="1"/>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c r="H15" i="40"/>
  <c r="AB15" i="40" s="1"/>
  <c r="AC11" i="40"/>
  <c r="S12" i="36"/>
  <c r="AA12" i="36"/>
  <c r="AB30" i="36"/>
  <c r="AC34" i="36"/>
  <c r="U30" i="35"/>
  <c r="U33" i="35"/>
  <c r="F29" i="35"/>
  <c r="S29" i="35" s="1"/>
  <c r="H29" i="35"/>
  <c r="AB29" i="35"/>
  <c r="H33" i="37"/>
  <c r="AB33" i="37" s="1"/>
  <c r="F33" i="37"/>
  <c r="AA33" i="37"/>
  <c r="U34" i="37"/>
  <c r="W33" i="37"/>
  <c r="S34" i="37"/>
  <c r="AA34" i="37"/>
  <c r="J43" i="34"/>
  <c r="AB42" i="34"/>
  <c r="J40" i="34"/>
  <c r="F114" i="34"/>
  <c r="G114" i="34" s="1"/>
  <c r="H114" i="34" s="1"/>
  <c r="I114" i="34" s="1"/>
  <c r="J114" i="34"/>
  <c r="K114" i="34" s="1"/>
  <c r="L114" i="34" s="1"/>
  <c r="M114" i="34" s="1"/>
  <c r="H38" i="34"/>
  <c r="AB38" i="34" s="1"/>
  <c r="J36" i="34"/>
  <c r="W36" i="34"/>
  <c r="H37" i="34"/>
  <c r="U37" i="34" s="1"/>
  <c r="H25" i="34"/>
  <c r="AB25" i="34"/>
  <c r="J25" i="34"/>
  <c r="AC25" i="34" s="1"/>
  <c r="AB23" i="34"/>
  <c r="F23" i="34"/>
  <c r="AA23" i="34"/>
  <c r="J19" i="34"/>
  <c r="AC19" i="34" s="1"/>
  <c r="F17" i="34"/>
  <c r="AA17" i="34"/>
  <c r="J17" i="34"/>
  <c r="W17" i="34" s="1"/>
  <c r="AB17" i="34"/>
  <c r="AA15" i="34"/>
  <c r="S15" i="34"/>
  <c r="F113" i="33"/>
  <c r="G113" i="33"/>
  <c r="H113" i="33" s="1"/>
  <c r="I113" i="33" s="1"/>
  <c r="J113" i="33" s="1"/>
  <c r="K113" i="33"/>
  <c r="L113" i="33" s="1"/>
  <c r="M113" i="33" s="1"/>
  <c r="H37" i="33"/>
  <c r="AB37" i="33"/>
  <c r="H15" i="33"/>
  <c r="AB15" i="33" s="1"/>
  <c r="H11" i="33"/>
  <c r="AB11" i="33"/>
  <c r="F28" i="40"/>
  <c r="AA28" i="40" s="1"/>
  <c r="AA29" i="35"/>
  <c r="AA42" i="34"/>
  <c r="S42" i="34"/>
  <c r="AC38" i="34"/>
  <c r="AA38" i="34"/>
  <c r="J37" i="34"/>
  <c r="AC37" i="34" s="1"/>
  <c r="J11" i="33"/>
  <c r="W11" i="33"/>
  <c r="S28" i="34"/>
  <c r="U23" i="40"/>
  <c r="G123" i="21"/>
  <c r="H123" i="21"/>
  <c r="I123" i="21"/>
  <c r="J123" i="21" s="1"/>
  <c r="K123" i="21" s="1"/>
  <c r="L123" i="21" s="1"/>
  <c r="M123" i="21"/>
  <c r="J42" i="21"/>
  <c r="AC42" i="21" s="1"/>
  <c r="H42" i="21"/>
  <c r="U42" i="21"/>
  <c r="J44" i="34"/>
  <c r="F44" i="34"/>
  <c r="AA44" i="34"/>
  <c r="J10" i="35"/>
  <c r="W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S45" i="33" s="1"/>
  <c r="AA45" i="33"/>
  <c r="J14" i="34"/>
  <c r="W14" i="34"/>
  <c r="F14" i="34"/>
  <c r="AA14" i="34" s="1"/>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AB11" i="36" s="1"/>
  <c r="U11" i="36"/>
  <c r="F11" i="36"/>
  <c r="AA11" i="36"/>
  <c r="H13" i="36"/>
  <c r="AB13" i="36"/>
  <c r="J13" i="36"/>
  <c r="F13" i="36"/>
  <c r="S13" i="36"/>
  <c r="E89" i="37"/>
  <c r="F89" i="37" s="1"/>
  <c r="G89" i="37" s="1"/>
  <c r="H89" i="37"/>
  <c r="I89" i="37" s="1"/>
  <c r="J89" i="37" s="1"/>
  <c r="K89" i="37" s="1"/>
  <c r="L89" i="37" s="1"/>
  <c r="M89" i="37" s="1"/>
  <c r="J29" i="37"/>
  <c r="W29" i="37"/>
  <c r="F29" i="37"/>
  <c r="S29" i="37"/>
  <c r="F105" i="37"/>
  <c r="H36" i="37"/>
  <c r="AB36" i="37"/>
  <c r="F107" i="37"/>
  <c r="J37" i="37"/>
  <c r="AC37" i="37"/>
  <c r="H37" i="37"/>
  <c r="U37" i="37" s="1"/>
  <c r="H40" i="37"/>
  <c r="U40" i="37"/>
  <c r="J40" i="37"/>
  <c r="AC40" i="37" s="1"/>
  <c r="F40" i="37"/>
  <c r="AA40" i="37"/>
  <c r="AC12" i="40"/>
  <c r="W12" i="40"/>
  <c r="H14" i="33"/>
  <c r="U14" i="33"/>
  <c r="F14" i="33"/>
  <c r="AA14" i="33" s="1"/>
  <c r="J14" i="33"/>
  <c r="H30" i="33"/>
  <c r="AB30" i="33"/>
  <c r="F30" i="33"/>
  <c r="J30" i="33"/>
  <c r="H44" i="33"/>
  <c r="J44" i="33"/>
  <c r="AC44" i="33" s="1"/>
  <c r="F44" i="33"/>
  <c r="S44" i="33"/>
  <c r="J46" i="33"/>
  <c r="AC46" i="33" s="1"/>
  <c r="F46" i="33"/>
  <c r="AA46" i="33"/>
  <c r="H46" i="33"/>
  <c r="U46" i="33" s="1"/>
  <c r="H13" i="34"/>
  <c r="U13" i="34"/>
  <c r="J13" i="34"/>
  <c r="W13" i="34" s="1"/>
  <c r="F13" i="34"/>
  <c r="AA13" i="34"/>
  <c r="J29" i="34"/>
  <c r="F29" i="34"/>
  <c r="S29" i="34" s="1"/>
  <c r="H29" i="34"/>
  <c r="AB29" i="34"/>
  <c r="J31" i="34"/>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U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c r="H13" i="39"/>
  <c r="H14" i="40"/>
  <c r="AB14" i="40" s="1"/>
  <c r="J14" i="40"/>
  <c r="W14" i="40"/>
  <c r="F14" i="40"/>
  <c r="AA14" i="40" s="1"/>
  <c r="J14" i="37"/>
  <c r="AC14" i="37"/>
  <c r="J27" i="37"/>
  <c r="AC27" i="37" s="1"/>
  <c r="AA44" i="33"/>
  <c r="AA13" i="35"/>
  <c r="U31" i="34"/>
  <c r="J36" i="37"/>
  <c r="AC36" i="37" s="1"/>
  <c r="G105" i="37"/>
  <c r="AB11" i="35"/>
  <c r="J10" i="36"/>
  <c r="AC10" i="36" s="1"/>
  <c r="AB26" i="33"/>
  <c r="AB30" i="21"/>
  <c r="AA14" i="37"/>
  <c r="AC13" i="36"/>
  <c r="W13" i="36"/>
  <c r="S11" i="36"/>
  <c r="W11" i="36"/>
  <c r="W11" i="35"/>
  <c r="AB46" i="34"/>
  <c r="AC30" i="34"/>
  <c r="AB45" i="33"/>
  <c r="AB31" i="33"/>
  <c r="U31" i="33"/>
  <c r="W29" i="33"/>
  <c r="U13" i="33"/>
  <c r="AC28" i="21"/>
  <c r="S44" i="34"/>
  <c r="BA586" i="3"/>
  <c r="BA585" i="3"/>
  <c r="F17" i="21"/>
  <c r="AA17" i="21" s="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c r="BA576" i="3"/>
  <c r="BA574" i="3"/>
  <c r="AZ574" i="3" s="1"/>
  <c r="BA572" i="3"/>
  <c r="AZ572" i="3" s="1"/>
  <c r="BA570" i="3"/>
  <c r="AZ570" i="3"/>
  <c r="BA568" i="3"/>
  <c r="BA566" i="3"/>
  <c r="AZ566" i="3" s="1"/>
  <c r="BA564" i="3"/>
  <c r="AZ564" i="3" s="1"/>
  <c r="BA562" i="3"/>
  <c r="AZ562" i="3"/>
  <c r="BA560" i="3"/>
  <c r="BA558" i="3"/>
  <c r="AZ558" i="3"/>
  <c r="BA556" i="3"/>
  <c r="AZ556" i="3" s="1"/>
  <c r="BA554" i="3"/>
  <c r="AZ554" i="3"/>
  <c r="BA552" i="3"/>
  <c r="AZ552" i="3" s="1"/>
  <c r="BA548" i="3"/>
  <c r="BA546" i="3"/>
  <c r="BA544" i="3"/>
  <c r="AZ544" i="3" s="1"/>
  <c r="BA542" i="3"/>
  <c r="AZ542" i="3"/>
  <c r="BA540" i="3"/>
  <c r="AZ540" i="3" s="1"/>
  <c r="BA538" i="3"/>
  <c r="BA536" i="3"/>
  <c r="AZ536" i="3" s="1"/>
  <c r="BA534" i="3"/>
  <c r="AZ534" i="3"/>
  <c r="BA532" i="3"/>
  <c r="AZ532" i="3" s="1"/>
  <c r="BA530" i="3"/>
  <c r="BA528" i="3"/>
  <c r="AZ528" i="3"/>
  <c r="BA526" i="3"/>
  <c r="AZ526" i="3" s="1"/>
  <c r="BA524" i="3"/>
  <c r="AZ524" i="3" s="1"/>
  <c r="BA522" i="3"/>
  <c r="BA520" i="3"/>
  <c r="BA518" i="3"/>
  <c r="AZ518" i="3" s="1"/>
  <c r="BA516" i="3"/>
  <c r="AZ516" i="3" s="1"/>
  <c r="BA514" i="3"/>
  <c r="BA512" i="3"/>
  <c r="AZ512" i="3" s="1"/>
  <c r="BA510" i="3"/>
  <c r="BA508" i="3"/>
  <c r="BA506" i="3"/>
  <c r="BA504" i="3"/>
  <c r="AZ504" i="3"/>
  <c r="BA502" i="3"/>
  <c r="BA500" i="3"/>
  <c r="BA498" i="3"/>
  <c r="AZ498" i="3"/>
  <c r="BA496" i="3"/>
  <c r="BA494" i="3"/>
  <c r="BA587" i="3"/>
  <c r="AZ587" i="3"/>
  <c r="BA583" i="3"/>
  <c r="BA581" i="3"/>
  <c r="BA579" i="3"/>
  <c r="BA577" i="3"/>
  <c r="BA575" i="3"/>
  <c r="BA573" i="3"/>
  <c r="BA571" i="3"/>
  <c r="AZ571" i="3" s="1"/>
  <c r="BA569" i="3"/>
  <c r="BA567" i="3"/>
  <c r="BA565" i="3"/>
  <c r="BA563" i="3"/>
  <c r="BA561" i="3"/>
  <c r="BA559" i="3"/>
  <c r="AZ559" i="3" s="1"/>
  <c r="BA555" i="3"/>
  <c r="BA553" i="3"/>
  <c r="BA549" i="3"/>
  <c r="BA547" i="3"/>
  <c r="BA545" i="3"/>
  <c r="BA543" i="3"/>
  <c r="AZ543" i="3" s="1"/>
  <c r="BA541" i="3"/>
  <c r="BA539" i="3"/>
  <c r="BA537" i="3"/>
  <c r="BA535" i="3"/>
  <c r="AZ535" i="3" s="1"/>
  <c r="BA533" i="3"/>
  <c r="BA531" i="3"/>
  <c r="BA529" i="3"/>
  <c r="BA527" i="3"/>
  <c r="AZ527" i="3" s="1"/>
  <c r="BA525" i="3"/>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s="1"/>
  <c r="BQ583" i="3"/>
  <c r="BL583" i="3" s="1"/>
  <c r="AZ583" i="3" s="1"/>
  <c r="BQ581" i="3"/>
  <c r="BL581" i="3"/>
  <c r="BQ579" i="3"/>
  <c r="BL579" i="3"/>
  <c r="BQ577" i="3"/>
  <c r="BL577" i="3"/>
  <c r="AZ577" i="3" s="1"/>
  <c r="BQ575" i="3"/>
  <c r="BL575" i="3"/>
  <c r="AZ575" i="3"/>
  <c r="BQ573" i="3"/>
  <c r="BL573" i="3" s="1"/>
  <c r="AZ573" i="3"/>
  <c r="BQ571" i="3"/>
  <c r="BL571" i="3"/>
  <c r="BQ569" i="3"/>
  <c r="BL569" i="3"/>
  <c r="AZ569" i="3" s="1"/>
  <c r="BQ567" i="3"/>
  <c r="BL567" i="3"/>
  <c r="AZ567" i="3"/>
  <c r="BQ565" i="3"/>
  <c r="BL565" i="3" s="1"/>
  <c r="AZ565" i="3"/>
  <c r="BQ563" i="3"/>
  <c r="BL563" i="3"/>
  <c r="BQ561" i="3"/>
  <c r="BL561" i="3"/>
  <c r="AZ561" i="3" s="1"/>
  <c r="BQ559" i="3"/>
  <c r="BL559" i="3" s="1"/>
  <c r="G559" i="3"/>
  <c r="G555" i="3"/>
  <c r="G553" i="3"/>
  <c r="G549" i="3"/>
  <c r="G547" i="3"/>
  <c r="G545" i="3"/>
  <c r="G543" i="3"/>
  <c r="G541" i="3"/>
  <c r="G539" i="3"/>
  <c r="G537" i="3"/>
  <c r="BQ555" i="3"/>
  <c r="BL555" i="3"/>
  <c r="AZ555" i="3"/>
  <c r="BQ553" i="3"/>
  <c r="BL553" i="3" s="1"/>
  <c r="AZ553" i="3"/>
  <c r="BQ551" i="3"/>
  <c r="BL551" i="3"/>
  <c r="BQ549" i="3"/>
  <c r="BQ547" i="3"/>
  <c r="BL547" i="3" s="1"/>
  <c r="AZ547" i="3" s="1"/>
  <c r="BQ545" i="3"/>
  <c r="BL545" i="3"/>
  <c r="AZ545" i="3" s="1"/>
  <c r="BQ543" i="3"/>
  <c r="BL543" i="3" s="1"/>
  <c r="BQ541" i="3"/>
  <c r="BL541" i="3" s="1"/>
  <c r="BQ539" i="3"/>
  <c r="BL539" i="3" s="1"/>
  <c r="AZ539" i="3" s="1"/>
  <c r="BQ537" i="3"/>
  <c r="BL537" i="3"/>
  <c r="AZ537" i="3" s="1"/>
  <c r="BQ535" i="3"/>
  <c r="BL535" i="3" s="1"/>
  <c r="BQ533" i="3"/>
  <c r="BL533" i="3" s="1"/>
  <c r="BQ531" i="3"/>
  <c r="BL531" i="3" s="1"/>
  <c r="AZ531" i="3" s="1"/>
  <c r="BQ529" i="3"/>
  <c r="BL529" i="3"/>
  <c r="AZ529" i="3" s="1"/>
  <c r="BQ527" i="3"/>
  <c r="BL527" i="3" s="1"/>
  <c r="BQ525" i="3"/>
  <c r="BL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c r="E125" i="33"/>
  <c r="F125" i="33" s="1"/>
  <c r="H43" i="33"/>
  <c r="AB43" i="33" s="1"/>
  <c r="H17" i="37"/>
  <c r="U17" i="37" s="1"/>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c r="F37" i="37"/>
  <c r="AA37" i="37" s="1"/>
  <c r="F31" i="40"/>
  <c r="AA31" i="40"/>
  <c r="H31" i="40"/>
  <c r="U31" i="40" s="1"/>
  <c r="F32" i="40"/>
  <c r="S32" i="40"/>
  <c r="H32" i="40"/>
  <c r="AB32" i="40" s="1"/>
  <c r="J36" i="40"/>
  <c r="W36" i="40"/>
  <c r="AA41" i="34"/>
  <c r="H19" i="37"/>
  <c r="AB19" i="37" s="1"/>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c r="F88" i="40"/>
  <c r="G88" i="40" s="1"/>
  <c r="F19" i="40"/>
  <c r="S19" i="40"/>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c r="J15" i="39"/>
  <c r="W15" i="39" s="1"/>
  <c r="H41" i="39"/>
  <c r="W27" i="39"/>
  <c r="AB34" i="39"/>
  <c r="U40" i="39"/>
  <c r="S42" i="39"/>
  <c r="W14" i="39"/>
  <c r="AA41" i="39"/>
  <c r="W9" i="39"/>
  <c r="W8" i="39"/>
  <c r="J19" i="40"/>
  <c r="AC19" i="40"/>
  <c r="J50" i="40"/>
  <c r="B54" i="72"/>
  <c r="H103" i="9"/>
  <c r="D8" i="53"/>
  <c r="B16" i="53"/>
  <c r="B33" i="72"/>
  <c r="C7" i="37"/>
  <c r="C7" i="34"/>
  <c r="C7" i="36"/>
  <c r="C46" i="36" s="1"/>
  <c r="D46" i="36" s="1"/>
  <c r="W35" i="40"/>
  <c r="A118" i="9"/>
  <c r="A4" i="52"/>
  <c r="B41" i="72" s="1"/>
  <c r="J11" i="39"/>
  <c r="W11" i="39"/>
  <c r="F11" i="39"/>
  <c r="AA11" i="39"/>
  <c r="A12" i="52"/>
  <c r="B56" i="72"/>
  <c r="S11" i="39"/>
  <c r="G4" i="4"/>
  <c r="K5" i="4" s="1"/>
  <c r="B47" i="48" s="1"/>
  <c r="I4" i="4"/>
  <c r="A2" i="9"/>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s="1"/>
  <c r="BA325" i="3"/>
  <c r="BL325" i="3"/>
  <c r="AZ325" i="3" s="1"/>
  <c r="G326" i="3"/>
  <c r="BA327" i="3"/>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c r="BL116" i="3"/>
  <c r="AZ116" i="3" s="1"/>
  <c r="G117" i="3"/>
  <c r="BA119" i="3"/>
  <c r="AZ119" i="3"/>
  <c r="BL120" i="3"/>
  <c r="G121" i="3"/>
  <c r="BA123" i="3"/>
  <c r="AZ123" i="3"/>
  <c r="BL124" i="3"/>
  <c r="AZ124" i="3" s="1"/>
  <c r="G125" i="3"/>
  <c r="BA127" i="3"/>
  <c r="AZ127" i="3" s="1"/>
  <c r="BL128" i="3"/>
  <c r="G129" i="3"/>
  <c r="BA131" i="3"/>
  <c r="AZ131" i="3" s="1"/>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s="1"/>
  <c r="BL160" i="3"/>
  <c r="G161" i="3"/>
  <c r="BA163" i="3"/>
  <c r="AZ163" i="3" s="1"/>
  <c r="BL164" i="3"/>
  <c r="AZ164" i="3"/>
  <c r="G165" i="3"/>
  <c r="BA167" i="3"/>
  <c r="AZ167" i="3" s="1"/>
  <c r="BL168" i="3"/>
  <c r="AZ168" i="3" s="1"/>
  <c r="G169" i="3"/>
  <c r="BA171" i="3"/>
  <c r="AZ171" i="3" s="1"/>
  <c r="BL172" i="3"/>
  <c r="AZ172" i="3"/>
  <c r="G173" i="3"/>
  <c r="BA175" i="3"/>
  <c r="AZ175" i="3"/>
  <c r="BL176" i="3"/>
  <c r="AZ176" i="3" s="1"/>
  <c r="G177" i="3"/>
  <c r="BA179" i="3"/>
  <c r="AZ179" i="3"/>
  <c r="BL180" i="3"/>
  <c r="G181" i="3"/>
  <c r="BA183" i="3"/>
  <c r="AZ183" i="3"/>
  <c r="BL184" i="3"/>
  <c r="G185" i="3"/>
  <c r="BA187" i="3"/>
  <c r="BL188" i="3"/>
  <c r="AZ188" i="3" s="1"/>
  <c r="G189" i="3"/>
  <c r="BA191" i="3"/>
  <c r="AZ191" i="3" s="1"/>
  <c r="BL192" i="3"/>
  <c r="G193" i="3"/>
  <c r="BA195" i="3"/>
  <c r="AZ195" i="3" s="1"/>
  <c r="BL196" i="3"/>
  <c r="AZ196" i="3"/>
  <c r="G197" i="3"/>
  <c r="BA199" i="3"/>
  <c r="BL200" i="3"/>
  <c r="AZ200" i="3" s="1"/>
  <c r="G201" i="3"/>
  <c r="BA203" i="3"/>
  <c r="AZ203" i="3" s="1"/>
  <c r="BL204" i="3"/>
  <c r="AZ204" i="3"/>
  <c r="AZ39" i="3"/>
  <c r="AZ43" i="3"/>
  <c r="AZ47" i="3"/>
  <c r="AZ55" i="3"/>
  <c r="AZ59" i="3"/>
  <c r="AZ63" i="3"/>
  <c r="AZ71" i="3"/>
  <c r="AZ79" i="3"/>
  <c r="AZ83" i="3"/>
  <c r="AZ152" i="3"/>
  <c r="AZ160" i="3"/>
  <c r="AZ184" i="3"/>
  <c r="AZ192"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AZ313" i="3" s="1"/>
  <c r="BL313" i="3"/>
  <c r="G314" i="3"/>
  <c r="G317" i="3"/>
  <c r="BL318" i="3"/>
  <c r="BA320" i="3"/>
  <c r="AZ320" i="3" s="1"/>
  <c r="BA321" i="3"/>
  <c r="AZ321" i="3"/>
  <c r="BL321" i="3"/>
  <c r="G322" i="3"/>
  <c r="G325" i="3"/>
  <c r="BL326" i="3"/>
  <c r="BA328" i="3"/>
  <c r="BA329" i="3"/>
  <c r="AZ329" i="3" s="1"/>
  <c r="BL329" i="3"/>
  <c r="G330" i="3"/>
  <c r="G333" i="3"/>
  <c r="BL334" i="3"/>
  <c r="AZ334" i="3" s="1"/>
  <c r="BA336" i="3"/>
  <c r="AZ336" i="3" s="1"/>
  <c r="BA337" i="3"/>
  <c r="AZ337" i="3"/>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4" i="3"/>
  <c r="AZ198" i="3"/>
  <c r="AZ202" i="3"/>
  <c r="AZ206" i="3"/>
  <c r="AZ500" i="3"/>
  <c r="BA16" i="3"/>
  <c r="AZ16" i="3" s="1"/>
  <c r="BL303" i="3"/>
  <c r="G304" i="3"/>
  <c r="BA306" i="3"/>
  <c r="AZ306" i="3" s="1"/>
  <c r="BL307" i="3"/>
  <c r="AZ307" i="3"/>
  <c r="G308" i="3"/>
  <c r="BA310" i="3"/>
  <c r="AZ310" i="3" s="1"/>
  <c r="BL311" i="3"/>
  <c r="AZ311" i="3"/>
  <c r="G312" i="3"/>
  <c r="BA314" i="3"/>
  <c r="AZ314" i="3"/>
  <c r="BL315" i="3"/>
  <c r="AZ315" i="3" s="1"/>
  <c r="G316" i="3"/>
  <c r="BA318" i="3"/>
  <c r="AZ318" i="3"/>
  <c r="BL319" i="3"/>
  <c r="G320" i="3"/>
  <c r="BA322" i="3"/>
  <c r="AZ322" i="3"/>
  <c r="BL323" i="3"/>
  <c r="G324" i="3"/>
  <c r="BA326" i="3"/>
  <c r="AZ326" i="3" s="1"/>
  <c r="BL327" i="3"/>
  <c r="AZ327" i="3"/>
  <c r="G328" i="3"/>
  <c r="BA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BL349" i="3"/>
  <c r="AZ349" i="3"/>
  <c r="BL352" i="3"/>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75" i="3"/>
  <c r="AZ279" i="3"/>
  <c r="AZ283" i="3"/>
  <c r="AZ291" i="3"/>
  <c r="AZ295" i="3"/>
  <c r="AZ299" i="3"/>
  <c r="BO5" i="3"/>
  <c r="BM5" i="3"/>
  <c r="F29" i="6"/>
  <c r="BJ5" i="3"/>
  <c r="BH5" i="3"/>
  <c r="BF5" i="3"/>
  <c r="BD5" i="3"/>
  <c r="AZ309" i="3"/>
  <c r="AZ317"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4" i="3"/>
  <c r="AZ392" i="3"/>
  <c r="AZ396" i="3"/>
  <c r="AZ499" i="3"/>
  <c r="AZ509" i="3"/>
  <c r="E8" i="6"/>
  <c r="F27" i="6"/>
  <c r="G509" i="3"/>
  <c r="BL493" i="3"/>
  <c r="AZ493" i="3" s="1"/>
  <c r="AZ491" i="3"/>
  <c r="AZ376" i="3"/>
  <c r="AZ390" i="3"/>
  <c r="AZ382" i="3"/>
  <c r="U36" i="40"/>
  <c r="H117" i="43"/>
  <c r="D21" i="43"/>
  <c r="F42" i="43"/>
  <c r="I21" i="43"/>
  <c r="F39" i="43"/>
  <c r="J21" i="43"/>
  <c r="F6" i="1"/>
  <c r="U17" i="39"/>
  <c r="S14" i="35"/>
  <c r="U43" i="21"/>
  <c r="U35" i="21"/>
  <c r="AC35" i="21"/>
  <c r="U10" i="21"/>
  <c r="G9"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86" i="3"/>
  <c r="C40" i="11"/>
  <c r="AZ223" i="3"/>
  <c r="AZ227" i="3"/>
  <c r="AZ235" i="3"/>
  <c r="AZ240" i="3"/>
  <c r="AZ243" i="3"/>
  <c r="AZ248" i="3"/>
  <c r="AZ251" i="3"/>
  <c r="AZ259" i="3"/>
  <c r="AZ280" i="3"/>
  <c r="AZ288" i="3"/>
  <c r="AZ296" i="3"/>
  <c r="AZ114" i="3"/>
  <c r="AZ117" i="3"/>
  <c r="AZ130" i="3"/>
  <c r="AZ133" i="3"/>
  <c r="AZ21" i="3"/>
  <c r="AZ29" i="3"/>
  <c r="AZ31" i="3"/>
  <c r="AZ33" i="3"/>
  <c r="AZ37" i="3"/>
  <c r="AZ42" i="3"/>
  <c r="AZ45" i="3"/>
  <c r="AZ50" i="3"/>
  <c r="AZ53" i="3"/>
  <c r="AZ58" i="3"/>
  <c r="AZ61" i="3"/>
  <c r="AZ72" i="3"/>
  <c r="AZ74" i="3"/>
  <c r="AZ77" i="3"/>
  <c r="AZ82" i="3"/>
  <c r="AZ86" i="3"/>
  <c r="AZ94"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E12" i="6"/>
  <c r="E15" i="6"/>
  <c r="E60" i="40"/>
  <c r="K6" i="1"/>
  <c r="E13" i="6"/>
  <c r="E58" i="40" s="1"/>
  <c r="G29" i="6"/>
  <c r="E29" i="6" s="1"/>
  <c r="K15" i="1" s="1"/>
  <c r="AC26" i="33"/>
  <c r="W26" i="33"/>
  <c r="W27" i="34"/>
  <c r="AC27" i="34"/>
  <c r="AB34" i="36"/>
  <c r="U34" i="36"/>
  <c r="AB33" i="36"/>
  <c r="U33" i="36"/>
  <c r="AC12" i="39"/>
  <c r="W12" i="39"/>
  <c r="AZ401" i="3"/>
  <c r="AZ412" i="3"/>
  <c r="AZ417" i="3"/>
  <c r="AZ465" i="3"/>
  <c r="AZ586" i="3"/>
  <c r="E26" i="43"/>
  <c r="W12" i="33"/>
  <c r="AC12" i="33"/>
  <c r="AA32" i="36"/>
  <c r="S32" i="36"/>
  <c r="AZ551" i="3"/>
  <c r="AZ550" i="3"/>
  <c r="AZ408" i="3"/>
  <c r="AZ437" i="3"/>
  <c r="AZ457" i="3"/>
  <c r="AZ490" i="3"/>
  <c r="AA39" i="34"/>
  <c r="F28" i="6"/>
  <c r="BL14" i="3"/>
  <c r="AZ266" i="3"/>
  <c r="U30" i="33"/>
  <c r="AC13" i="34"/>
  <c r="AA47" i="34"/>
  <c r="W28" i="37"/>
  <c r="S19" i="39"/>
  <c r="F12" i="33"/>
  <c r="H12" i="39"/>
  <c r="AB12" i="39" s="1"/>
  <c r="F39" i="40"/>
  <c r="BA14" i="3"/>
  <c r="AZ14" i="3"/>
  <c r="AZ367" i="3"/>
  <c r="AZ224" i="3"/>
  <c r="AZ238" i="3"/>
  <c r="AZ250" i="3"/>
  <c r="AZ254" i="3"/>
  <c r="AZ281" i="3"/>
  <c r="AZ286" i="3"/>
  <c r="AZ297" i="3"/>
  <c r="AZ149" i="3"/>
  <c r="AZ157" i="3"/>
  <c r="AZ165" i="3"/>
  <c r="AZ173" i="3"/>
  <c r="AZ181" i="3"/>
  <c r="AZ189" i="3"/>
  <c r="AZ197" i="3"/>
  <c r="AZ19" i="3"/>
  <c r="AZ26" i="3"/>
  <c r="AZ41" i="3"/>
  <c r="S12" i="1"/>
  <c r="R12" i="1"/>
  <c r="B12" i="1"/>
  <c r="E12" i="1" s="1"/>
  <c r="S10" i="1"/>
  <c r="AQ10" i="1" s="1"/>
  <c r="R10" i="1"/>
  <c r="B10" i="1"/>
  <c r="E10" i="1"/>
  <c r="AZ84" i="3"/>
  <c r="AZ88" i="3"/>
  <c r="AZ107" i="3"/>
  <c r="AZ111" i="3"/>
  <c r="K12" i="1"/>
  <c r="M12" i="1" s="1"/>
  <c r="S13" i="1"/>
  <c r="AR13" i="1" s="1"/>
  <c r="R13" i="1"/>
  <c r="S11" i="1"/>
  <c r="AQ11" i="1"/>
  <c r="R11" i="1"/>
  <c r="S9" i="1"/>
  <c r="AR9" i="1" s="1"/>
  <c r="R9" i="1"/>
  <c r="J51" i="67"/>
  <c r="C42" i="1"/>
  <c r="AC34" i="33"/>
  <c r="AA34" i="33"/>
  <c r="B41" i="1"/>
  <c r="F48" i="9" s="1"/>
  <c r="O52" i="9" s="1"/>
  <c r="F53" i="9"/>
  <c r="S22" i="31"/>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AA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F85" i="33"/>
  <c r="H23" i="33"/>
  <c r="F81" i="33"/>
  <c r="G81" i="33" s="1"/>
  <c r="F19" i="33"/>
  <c r="S19" i="33"/>
  <c r="W19" i="33"/>
  <c r="J17" i="33"/>
  <c r="W17" i="33" s="1"/>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c r="C18" i="9"/>
  <c r="D18" i="9"/>
  <c r="F34" i="67"/>
  <c r="F62" i="67"/>
  <c r="M20" i="67"/>
  <c r="F34" i="15"/>
  <c r="F62" i="15" s="1"/>
  <c r="G13" i="3"/>
  <c r="BA13" i="3"/>
  <c r="E10" i="6"/>
  <c r="E11" i="6"/>
  <c r="E61" i="39"/>
  <c r="BL17" i="3"/>
  <c r="AZ17" i="3"/>
  <c r="BL13" i="3"/>
  <c r="E65" i="39"/>
  <c r="J56" i="9"/>
  <c r="J57" i="9"/>
  <c r="J59" i="9" s="1"/>
  <c r="J61" i="9" s="1"/>
  <c r="A24" i="51"/>
  <c r="B18" i="72"/>
  <c r="U29" i="34"/>
  <c r="E14" i="6"/>
  <c r="E64" i="39" s="1"/>
  <c r="E5" i="6"/>
  <c r="P10" i="1"/>
  <c r="E32" i="6"/>
  <c r="L19" i="6"/>
  <c r="G1" i="68"/>
  <c r="K1" i="12"/>
  <c r="F30" i="6"/>
  <c r="F31" i="6" s="1"/>
  <c r="E28" i="6"/>
  <c r="E57" i="40"/>
  <c r="E56" i="40"/>
  <c r="AR12" i="1"/>
  <c r="AQ12" i="1"/>
  <c r="T12" i="1"/>
  <c r="AR10" i="1"/>
  <c r="T10" i="1"/>
  <c r="E19" i="69"/>
  <c r="E19" i="68"/>
  <c r="E19" i="11"/>
  <c r="E1" i="73"/>
  <c r="G22" i="69"/>
  <c r="G22" i="68"/>
  <c r="G26" i="12"/>
  <c r="G22" i="11"/>
  <c r="Z7" i="43"/>
  <c r="E51" i="43"/>
  <c r="B49" i="43" s="1"/>
  <c r="H21" i="43"/>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C52" i="37"/>
  <c r="D52" i="37" s="1"/>
  <c r="A4" i="51"/>
  <c r="B6" i="72" s="1"/>
  <c r="C48" i="35"/>
  <c r="D48" i="35" s="1"/>
  <c r="E48" i="35" s="1"/>
  <c r="F48" i="35" s="1"/>
  <c r="C4" i="12"/>
  <c r="L20" i="6"/>
  <c r="L27" i="6" s="1"/>
  <c r="E62" i="39"/>
  <c r="E56" i="39"/>
  <c r="E51" i="40"/>
  <c r="B6" i="1"/>
  <c r="E6" i="1" s="1"/>
  <c r="S8" i="1"/>
  <c r="K11" i="1"/>
  <c r="M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AQ13" i="1"/>
  <c r="AZ13" i="3"/>
  <c r="M6" i="1"/>
  <c r="O6" i="1" s="1"/>
  <c r="P6" i="1" s="1"/>
  <c r="F30" i="68"/>
  <c r="F48" i="68" s="1"/>
  <c r="F30" i="11"/>
  <c r="C48" i="11" s="1"/>
  <c r="F28" i="67"/>
  <c r="F31" i="12"/>
  <c r="F52" i="9"/>
  <c r="M18" i="67"/>
  <c r="F32" i="67"/>
  <c r="F60" i="67" s="1"/>
  <c r="F30" i="69"/>
  <c r="F48" i="69" s="1"/>
  <c r="F32" i="15"/>
  <c r="F60" i="15" s="1"/>
  <c r="M18" i="15"/>
  <c r="F28" i="15"/>
  <c r="E63" i="39"/>
  <c r="T11" i="1"/>
  <c r="AQ9" i="1"/>
  <c r="AR11" i="1"/>
  <c r="E59" i="40"/>
  <c r="C28" i="15"/>
  <c r="E30" i="6"/>
  <c r="T9" i="1"/>
  <c r="T13" i="1"/>
  <c r="E16" i="6"/>
  <c r="E66" i="39"/>
  <c r="S7" i="1"/>
  <c r="E7" i="70"/>
  <c r="AA39" i="40"/>
  <c r="S39" i="40"/>
  <c r="S12" i="33"/>
  <c r="AA12" i="33"/>
  <c r="D68" i="9"/>
  <c r="F54" i="9"/>
  <c r="J32" i="39"/>
  <c r="H107" i="39"/>
  <c r="I107" i="39" s="1"/>
  <c r="J107" i="39" s="1"/>
  <c r="K107" i="39" s="1"/>
  <c r="L107" i="39"/>
  <c r="M107" i="39" s="1"/>
  <c r="H32" i="39"/>
  <c r="AA32" i="39"/>
  <c r="S32" i="39"/>
  <c r="AB21" i="39"/>
  <c r="U21" i="39"/>
  <c r="AA21" i="39"/>
  <c r="S21" i="39"/>
  <c r="AC21" i="39"/>
  <c r="W21" i="39"/>
  <c r="S26" i="35"/>
  <c r="U9" i="35"/>
  <c r="AB9" i="35"/>
  <c r="AA9" i="35"/>
  <c r="S9" i="35"/>
  <c r="AC26" i="35"/>
  <c r="W26" i="35"/>
  <c r="AB26" i="35"/>
  <c r="U26" i="35"/>
  <c r="AC17" i="37"/>
  <c r="S17" i="37"/>
  <c r="J19" i="37"/>
  <c r="G75" i="37"/>
  <c r="S19" i="37"/>
  <c r="AA23" i="37"/>
  <c r="J23" i="37"/>
  <c r="G79" i="37"/>
  <c r="J10" i="37"/>
  <c r="I60" i="37"/>
  <c r="G63" i="37"/>
  <c r="H11" i="37"/>
  <c r="AB11" i="37" s="1"/>
  <c r="AB10" i="37"/>
  <c r="U10" i="37"/>
  <c r="G70" i="34"/>
  <c r="H11" i="34"/>
  <c r="AB11" i="34" s="1"/>
  <c r="AB10" i="34"/>
  <c r="U10" i="34"/>
  <c r="J10" i="34"/>
  <c r="I67" i="34"/>
  <c r="U41" i="33"/>
  <c r="W35" i="33"/>
  <c r="AC35" i="33"/>
  <c r="K111" i="33"/>
  <c r="L111" i="33" s="1"/>
  <c r="M111" i="33" s="1"/>
  <c r="J36" i="33"/>
  <c r="H36" i="33"/>
  <c r="U36" i="33" s="1"/>
  <c r="S36" i="33"/>
  <c r="AA36" i="33"/>
  <c r="AC32" i="33"/>
  <c r="W32" i="33"/>
  <c r="U27" i="33"/>
  <c r="AB27" i="33"/>
  <c r="G91" i="33"/>
  <c r="H91" i="33"/>
  <c r="I91" i="33" s="1"/>
  <c r="J91" i="33" s="1"/>
  <c r="K91" i="33" s="1"/>
  <c r="L91" i="33" s="1"/>
  <c r="M91" i="33" s="1"/>
  <c r="J27" i="33"/>
  <c r="U25" i="33"/>
  <c r="AB25" i="33"/>
  <c r="AA25" i="33"/>
  <c r="G87" i="33"/>
  <c r="H87" i="33"/>
  <c r="I87" i="33" s="1"/>
  <c r="J87" i="33" s="1"/>
  <c r="K87" i="33" s="1"/>
  <c r="L87" i="33"/>
  <c r="M87" i="33" s="1"/>
  <c r="J25" i="33"/>
  <c r="AB23" i="33"/>
  <c r="U23" i="33"/>
  <c r="F23" i="33"/>
  <c r="G85" i="33"/>
  <c r="AC23" i="33"/>
  <c r="W23" i="33"/>
  <c r="AA19" i="33"/>
  <c r="H19" i="33"/>
  <c r="AB19" i="33" s="1"/>
  <c r="G79" i="33"/>
  <c r="H17" i="33"/>
  <c r="F17" i="33"/>
  <c r="AA17" i="33" s="1"/>
  <c r="AC17" i="33"/>
  <c r="U10" i="33"/>
  <c r="AB10" i="33"/>
  <c r="AC10" i="33"/>
  <c r="W10" i="33"/>
  <c r="AC37" i="21"/>
  <c r="U33" i="21"/>
  <c r="S37" i="21"/>
  <c r="AA23" i="21"/>
  <c r="AB15" i="21"/>
  <c r="J23" i="21"/>
  <c r="AC23" i="21" s="1"/>
  <c r="F85" i="21"/>
  <c r="G85" i="21"/>
  <c r="H23" i="21"/>
  <c r="S13" i="21"/>
  <c r="D6" i="52"/>
  <c r="C27" i="43"/>
  <c r="K14" i="1"/>
  <c r="M14" i="1" s="1"/>
  <c r="O14" i="1" s="1"/>
  <c r="S6" i="1"/>
  <c r="AQ6" i="1"/>
  <c r="AR6" i="1"/>
  <c r="AR8" i="1"/>
  <c r="AQ8" i="1"/>
  <c r="T8" i="1"/>
  <c r="AQ7" i="1"/>
  <c r="R22" i="31"/>
  <c r="AP7" i="1"/>
  <c r="M7" i="1"/>
  <c r="O7" i="1"/>
  <c r="P7" i="1" s="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U11" i="37"/>
  <c r="H63" i="37"/>
  <c r="I63" i="37"/>
  <c r="J63" i="37" s="1"/>
  <c r="K63" i="37" s="1"/>
  <c r="L63" i="37" s="1"/>
  <c r="M63" i="37" s="1"/>
  <c r="J11" i="37"/>
  <c r="W10" i="37"/>
  <c r="AC10" i="37"/>
  <c r="AC10" i="34"/>
  <c r="W10" i="34"/>
  <c r="H70" i="34"/>
  <c r="I70" i="34" s="1"/>
  <c r="J70" i="34" s="1"/>
  <c r="K70" i="34" s="1"/>
  <c r="L70" i="34" s="1"/>
  <c r="M70" i="34" s="1"/>
  <c r="J11" i="34"/>
  <c r="W11" i="34" s="1"/>
  <c r="AC36" i="33"/>
  <c r="W36" i="33"/>
  <c r="AB36" i="33"/>
  <c r="W27" i="33"/>
  <c r="AC27" i="33"/>
  <c r="W25" i="33"/>
  <c r="AC25" i="33"/>
  <c r="AA23" i="33"/>
  <c r="S23" i="33"/>
  <c r="U19" i="33"/>
  <c r="S17" i="33"/>
  <c r="U17" i="33"/>
  <c r="AB17" i="33"/>
  <c r="U23" i="21"/>
  <c r="AB23" i="21"/>
  <c r="W23" i="21"/>
  <c r="T6" i="1"/>
  <c r="F27" i="68"/>
  <c r="F45" i="68" s="1"/>
  <c r="F28" i="12"/>
  <c r="M16" i="1"/>
  <c r="N16" i="1" s="1"/>
  <c r="F27" i="11"/>
  <c r="AC11" i="37"/>
  <c r="W11" i="37"/>
  <c r="R7" i="1"/>
  <c r="F34" i="11"/>
  <c r="F11" i="12"/>
  <c r="C23" i="12" s="1"/>
  <c r="F34" i="68"/>
  <c r="C47" i="11"/>
  <c r="D45" i="11" s="1"/>
  <c r="C29" i="11"/>
  <c r="D27" i="11" s="1"/>
  <c r="R8" i="1"/>
  <c r="R6" i="1"/>
  <c r="E2" i="70"/>
  <c r="C34" i="69"/>
  <c r="C35" i="69" s="1"/>
  <c r="S16" i="1"/>
  <c r="AE7" i="1"/>
  <c r="T16" i="1"/>
  <c r="AE8" i="1"/>
  <c r="AE6" i="1"/>
  <c r="AG6" i="1"/>
  <c r="H109" i="9"/>
  <c r="M49" i="9" s="1"/>
  <c r="H110" i="9"/>
  <c r="D18" i="53" s="1"/>
  <c r="B35" i="72" s="1"/>
  <c r="D16" i="53"/>
  <c r="B34" i="72" s="1"/>
  <c r="H112" i="9"/>
  <c r="D21" i="53"/>
  <c r="B39" i="72" s="1"/>
  <c r="H111" i="9"/>
  <c r="D126" i="9" s="1"/>
  <c r="D19" i="53"/>
  <c r="B38" i="72" s="1"/>
  <c r="J1" i="73"/>
  <c r="C36" i="11"/>
  <c r="C13" i="12"/>
  <c r="C30" i="69"/>
  <c r="C77" i="9"/>
  <c r="C74" i="9" s="1"/>
  <c r="C28" i="67"/>
  <c r="C30" i="68"/>
  <c r="M4" i="43"/>
  <c r="M5" i="43"/>
  <c r="N12" i="43"/>
  <c r="N11" i="43"/>
  <c r="M10" i="43"/>
  <c r="M2" i="43"/>
  <c r="M8" i="43"/>
  <c r="M7" i="43"/>
  <c r="N9" i="43"/>
  <c r="F84" i="43" s="1"/>
  <c r="N10" i="43"/>
  <c r="M6" i="43"/>
  <c r="N7" i="43"/>
  <c r="N4" i="43"/>
  <c r="N2" i="43"/>
  <c r="F51" i="43" s="1"/>
  <c r="H55" i="43" s="1"/>
  <c r="N21" i="43"/>
  <c r="L21" i="43"/>
  <c r="O21" i="43"/>
  <c r="M21" i="43"/>
  <c r="E21" i="43"/>
  <c r="C24" i="12"/>
  <c r="C48" i="68"/>
  <c r="T25" i="71"/>
  <c r="C94" i="9"/>
  <c r="C92" i="9"/>
  <c r="F26" i="43"/>
  <c r="F94" i="43"/>
  <c r="N370" i="46"/>
  <c r="X7" i="43"/>
  <c r="F73" i="43"/>
  <c r="H76" i="43" s="1"/>
  <c r="G76" i="43" s="1"/>
  <c r="F62" i="43"/>
  <c r="H66" i="43" s="1"/>
  <c r="D81" i="71"/>
  <c r="D73" i="71"/>
  <c r="B68" i="71"/>
  <c r="B67" i="71" s="1"/>
  <c r="M11" i="43"/>
  <c r="E62" i="43"/>
  <c r="B60" i="43" s="1"/>
  <c r="B117" i="43"/>
  <c r="I122" i="43" s="1"/>
  <c r="J122" i="43" s="1"/>
  <c r="K122" i="43" s="1"/>
  <c r="L122" i="43" s="1"/>
  <c r="M122" i="43" s="1"/>
  <c r="N94" i="46"/>
  <c r="G26" i="43"/>
  <c r="D23" i="67"/>
  <c r="G25" i="12"/>
  <c r="G41" i="11"/>
  <c r="G27" i="12"/>
  <c r="G41" i="68"/>
  <c r="K4" i="4"/>
  <c r="B46" i="48"/>
  <c r="B4" i="72" s="1"/>
  <c r="B4" i="62"/>
  <c r="B71" i="72"/>
  <c r="D9" i="53"/>
  <c r="B25" i="72" s="1"/>
  <c r="B24" i="72"/>
  <c r="K120" i="9"/>
  <c r="A18" i="62" s="1"/>
  <c r="B64" i="72" s="1"/>
  <c r="M32" i="43"/>
  <c r="N32" i="43"/>
  <c r="O32" i="43"/>
  <c r="P32" i="43"/>
  <c r="E44" i="43"/>
  <c r="C44" i="43" s="1"/>
  <c r="J26" i="43"/>
  <c r="G48" i="35"/>
  <c r="H48" i="35" s="1"/>
  <c r="B13" i="76"/>
  <c r="AO10" i="1"/>
  <c r="F20" i="31"/>
  <c r="E7" i="76"/>
  <c r="M29" i="15"/>
  <c r="F40" i="67"/>
  <c r="M6" i="67"/>
  <c r="J15" i="15"/>
  <c r="F6" i="73"/>
  <c r="F36" i="67"/>
  <c r="M6" i="15"/>
  <c r="F6" i="15"/>
  <c r="D2" i="36"/>
  <c r="M28" i="67"/>
  <c r="F9" i="67"/>
  <c r="F35" i="67"/>
  <c r="E2" i="69"/>
  <c r="D2" i="21"/>
  <c r="F38" i="67"/>
  <c r="L48" i="67"/>
  <c r="F7" i="73"/>
  <c r="M23" i="15"/>
  <c r="F7" i="15"/>
  <c r="E9" i="76"/>
  <c r="M28" i="15"/>
  <c r="F13" i="15"/>
  <c r="M21" i="15"/>
  <c r="AO12" i="1"/>
  <c r="F42" i="15"/>
  <c r="M9" i="67"/>
  <c r="F8" i="15"/>
  <c r="F6" i="67"/>
  <c r="E13" i="76"/>
  <c r="B11" i="76"/>
  <c r="B8" i="76"/>
  <c r="C76" i="67"/>
  <c r="F40" i="15"/>
  <c r="M22" i="67"/>
  <c r="E10" i="76"/>
  <c r="F16" i="67"/>
  <c r="M26" i="15"/>
  <c r="C20" i="9"/>
  <c r="B9" i="76"/>
  <c r="M8" i="15"/>
  <c r="M22" i="15"/>
  <c r="F43" i="67"/>
  <c r="B7" i="76"/>
  <c r="F8" i="67"/>
  <c r="L47" i="15"/>
  <c r="AO8" i="1"/>
  <c r="M9" i="15"/>
  <c r="J15" i="67"/>
  <c r="F13" i="67"/>
  <c r="F16" i="15"/>
  <c r="F41" i="15"/>
  <c r="F35" i="15"/>
  <c r="D2" i="37"/>
  <c r="F43" i="15"/>
  <c r="C76" i="15"/>
  <c r="M27" i="15"/>
  <c r="AO9" i="1"/>
  <c r="F36" i="15"/>
  <c r="AO11" i="1"/>
  <c r="F37" i="15"/>
  <c r="M29" i="67"/>
  <c r="F7" i="67"/>
  <c r="F9" i="15"/>
  <c r="F42" i="67"/>
  <c r="E8" i="76"/>
  <c r="F38" i="15"/>
  <c r="B10" i="76"/>
  <c r="F37" i="67"/>
  <c r="AO6" i="1"/>
  <c r="B12" i="76"/>
  <c r="M21" i="67"/>
  <c r="F26" i="15"/>
  <c r="M8" i="67"/>
  <c r="F41" i="67"/>
  <c r="D3" i="73"/>
  <c r="D6" i="73"/>
  <c r="AO13" i="1"/>
  <c r="D2" i="35"/>
  <c r="E11" i="76"/>
  <c r="E12" i="76"/>
  <c r="F3" i="73"/>
  <c r="E2" i="68"/>
  <c r="F4" i="73"/>
  <c r="M26" i="67"/>
  <c r="F5" i="73"/>
  <c r="D35" i="9"/>
  <c r="AO7" i="1"/>
  <c r="L47" i="67"/>
  <c r="C19" i="9"/>
  <c r="M24" i="15"/>
  <c r="D7" i="73"/>
  <c r="D20" i="9"/>
  <c r="D34" i="9"/>
  <c r="M23" i="67"/>
  <c r="F26" i="67"/>
  <c r="D4" i="73"/>
  <c r="C14" i="15"/>
  <c r="L48" i="15"/>
  <c r="D2" i="33"/>
  <c r="M24" i="67"/>
  <c r="D2" i="34"/>
  <c r="D19" i="9"/>
  <c r="M27" i="67"/>
  <c r="D5" i="73"/>
  <c r="G13" i="1" l="1"/>
  <c r="D90" i="43"/>
  <c r="D86" i="43"/>
  <c r="D85" i="43"/>
  <c r="E84" i="43" s="1"/>
  <c r="B82" i="43" s="1"/>
  <c r="D123" i="43"/>
  <c r="E123" i="43" s="1"/>
  <c r="F123" i="43" s="1"/>
  <c r="G123" i="43" s="1"/>
  <c r="H123" i="43" s="1"/>
  <c r="C24" i="43"/>
  <c r="G11" i="1"/>
  <c r="G10" i="1"/>
  <c r="G16" i="1" s="1"/>
  <c r="F10" i="39" s="1"/>
  <c r="G6" i="1"/>
  <c r="F50" i="69"/>
  <c r="F50" i="68"/>
  <c r="F50" i="11"/>
  <c r="L68" i="9"/>
  <c r="M68" i="9" s="1"/>
  <c r="L66" i="9"/>
  <c r="M66" i="9" s="1"/>
  <c r="L63" i="9"/>
  <c r="M63" i="9" s="1"/>
  <c r="M69" i="9" s="1"/>
  <c r="N69" i="9" s="1"/>
  <c r="L65" i="9"/>
  <c r="M65" i="9" s="1"/>
  <c r="L64" i="9"/>
  <c r="M64" i="9" s="1"/>
  <c r="L67" i="9"/>
  <c r="M67" i="9" s="1"/>
  <c r="O67" i="71"/>
  <c r="O66" i="71"/>
  <c r="I14" i="74"/>
  <c r="B8" i="74" s="1"/>
  <c r="D12" i="52"/>
  <c r="D127" i="9"/>
  <c r="D13" i="52" s="1"/>
  <c r="M76" i="43"/>
  <c r="K76" i="43"/>
  <c r="J76" i="43" s="1"/>
  <c r="D124" i="9"/>
  <c r="C34" i="11"/>
  <c r="O68" i="71"/>
  <c r="D20" i="53"/>
  <c r="B40" i="72" s="1"/>
  <c r="L16" i="1"/>
  <c r="C34" i="68"/>
  <c r="C38" i="68" s="1"/>
  <c r="AC11" i="34"/>
  <c r="O11" i="1"/>
  <c r="P11" i="1" s="1"/>
  <c r="O12" i="1"/>
  <c r="P12" i="1" s="1"/>
  <c r="D17" i="53"/>
  <c r="B36" i="72" s="1"/>
  <c r="U11" i="34"/>
  <c r="S29" i="21"/>
  <c r="AA29" i="21"/>
  <c r="P14" i="1"/>
  <c r="D9" i="11"/>
  <c r="C9" i="11" s="1"/>
  <c r="D9" i="68"/>
  <c r="C9" i="68" s="1"/>
  <c r="D9" i="69"/>
  <c r="C9" i="69" s="1"/>
  <c r="D19" i="12"/>
  <c r="C19" i="12" s="1"/>
  <c r="O9" i="1"/>
  <c r="P9" i="1"/>
  <c r="AZ507" i="3"/>
  <c r="C48" i="69"/>
  <c r="S43" i="34"/>
  <c r="S11" i="37"/>
  <c r="S30" i="40"/>
  <c r="AZ513" i="3"/>
  <c r="C31" i="12"/>
  <c r="U12" i="37"/>
  <c r="U43" i="33"/>
  <c r="AZ525" i="3"/>
  <c r="AZ533" i="3"/>
  <c r="AZ541" i="3"/>
  <c r="AZ576" i="3"/>
  <c r="AB46" i="33"/>
  <c r="S14" i="33"/>
  <c r="AC15" i="21"/>
  <c r="G30" i="6"/>
  <c r="G31" i="6" s="1"/>
  <c r="AZ579" i="3"/>
  <c r="AC31" i="34"/>
  <c r="W31" i="34"/>
  <c r="AZ581" i="3"/>
  <c r="AZ568" i="3"/>
  <c r="F26" i="37"/>
  <c r="J26" i="37"/>
  <c r="AZ548" i="3"/>
  <c r="S41" i="33"/>
  <c r="B100" i="43"/>
  <c r="B77" i="43"/>
  <c r="BL585" i="3"/>
  <c r="AZ585" i="3" s="1"/>
  <c r="B95" i="43"/>
  <c r="B74" i="43"/>
  <c r="J39" i="40"/>
  <c r="H39" i="40"/>
  <c r="AZ400" i="3"/>
  <c r="AZ407" i="3"/>
  <c r="AZ410" i="3"/>
  <c r="AZ413" i="3"/>
  <c r="AZ430" i="3"/>
  <c r="G551" i="3"/>
  <c r="BL548" i="3"/>
  <c r="AZ403" i="3"/>
  <c r="AZ404" i="3"/>
  <c r="AZ415" i="3"/>
  <c r="AZ424" i="3"/>
  <c r="F40" i="40"/>
  <c r="O8" i="1"/>
  <c r="P8" i="1" s="1"/>
  <c r="AZ398" i="3"/>
  <c r="AZ422" i="3"/>
  <c r="AZ426" i="3"/>
  <c r="F9" i="33"/>
  <c r="F34" i="35"/>
  <c r="F44" i="39"/>
  <c r="G558" i="3"/>
  <c r="G542" i="3"/>
  <c r="AZ435" i="3"/>
  <c r="AZ444" i="3"/>
  <c r="BL473" i="3"/>
  <c r="AZ473" i="3" s="1"/>
  <c r="AZ480" i="3"/>
  <c r="BA482" i="3"/>
  <c r="AZ482" i="3" s="1"/>
  <c r="AZ483" i="3"/>
  <c r="BA486" i="3"/>
  <c r="AZ486" i="3" s="1"/>
  <c r="AZ487" i="3"/>
  <c r="AZ436" i="3"/>
  <c r="AZ447" i="3"/>
  <c r="BA467" i="3"/>
  <c r="AZ467" i="3" s="1"/>
  <c r="AZ468" i="3"/>
  <c r="BA471" i="3"/>
  <c r="AZ471" i="3" s="1"/>
  <c r="BL477" i="3"/>
  <c r="AZ477" i="3" s="1"/>
  <c r="AZ484" i="3"/>
  <c r="AZ485" i="3"/>
  <c r="BL434" i="3"/>
  <c r="BA440" i="3"/>
  <c r="AZ440" i="3" s="1"/>
  <c r="BA441" i="3"/>
  <c r="AZ441" i="3" s="1"/>
  <c r="BA442" i="3"/>
  <c r="AZ442" i="3" s="1"/>
  <c r="BL448" i="3"/>
  <c r="AZ448" i="3" s="1"/>
  <c r="BA460" i="3"/>
  <c r="AZ460" i="3" s="1"/>
  <c r="BA464" i="3"/>
  <c r="AZ464" i="3" s="1"/>
  <c r="A15" i="62"/>
  <c r="B61" i="72" s="1"/>
  <c r="BA428" i="3"/>
  <c r="AZ428" i="3" s="1"/>
  <c r="BA432" i="3"/>
  <c r="AZ432" i="3" s="1"/>
  <c r="BA433" i="3"/>
  <c r="AZ433" i="3" s="1"/>
  <c r="BA434" i="3"/>
  <c r="BL439" i="3"/>
  <c r="AZ439" i="3" s="1"/>
  <c r="BL444" i="3"/>
  <c r="BA453" i="3"/>
  <c r="AZ453" i="3" s="1"/>
  <c r="AZ454" i="3"/>
  <c r="AZ455" i="3"/>
  <c r="AZ456" i="3"/>
  <c r="AZ458" i="3"/>
  <c r="AZ463" i="3"/>
  <c r="AZ476" i="3"/>
  <c r="AZ479" i="3"/>
  <c r="BA492" i="3"/>
  <c r="AZ492" i="3" s="1"/>
  <c r="BL328" i="3"/>
  <c r="AZ328" i="3" s="1"/>
  <c r="BL333" i="3"/>
  <c r="AZ333" i="3" s="1"/>
  <c r="G334" i="3"/>
  <c r="G345" i="3"/>
  <c r="BL354" i="3"/>
  <c r="AZ354" i="3" s="1"/>
  <c r="AZ385" i="3"/>
  <c r="BA388" i="3"/>
  <c r="AZ388" i="3" s="1"/>
  <c r="AZ212" i="3"/>
  <c r="AZ220" i="3"/>
  <c r="BL226" i="3"/>
  <c r="AZ231" i="3"/>
  <c r="BA239" i="3"/>
  <c r="AZ239" i="3" s="1"/>
  <c r="BA241" i="3"/>
  <c r="AZ241" i="3" s="1"/>
  <c r="BA244" i="3"/>
  <c r="AZ244" i="3" s="1"/>
  <c r="AZ246" i="3"/>
  <c r="AZ255" i="3"/>
  <c r="G262" i="3"/>
  <c r="G265" i="3"/>
  <c r="G267" i="3"/>
  <c r="BA271" i="3"/>
  <c r="AZ271" i="3" s="1"/>
  <c r="BA274" i="3"/>
  <c r="AZ274" i="3" s="1"/>
  <c r="AZ276" i="3"/>
  <c r="G286" i="3"/>
  <c r="G288" i="3"/>
  <c r="BL289" i="3"/>
  <c r="AZ185" i="3"/>
  <c r="BA323" i="3"/>
  <c r="AZ323" i="3" s="1"/>
  <c r="BL348" i="3"/>
  <c r="AZ348" i="3" s="1"/>
  <c r="G349" i="3"/>
  <c r="BL363" i="3"/>
  <c r="AZ363" i="3" s="1"/>
  <c r="G364" i="3"/>
  <c r="G378" i="3"/>
  <c r="G395" i="3"/>
  <c r="G208" i="3"/>
  <c r="G211" i="3"/>
  <c r="BA213" i="3"/>
  <c r="AZ213" i="3" s="1"/>
  <c r="BA215" i="3"/>
  <c r="AZ215" i="3" s="1"/>
  <c r="G219" i="3"/>
  <c r="AZ221" i="3"/>
  <c r="G230" i="3"/>
  <c r="BA232" i="3"/>
  <c r="AZ232" i="3" s="1"/>
  <c r="BA234" i="3"/>
  <c r="AZ234" i="3" s="1"/>
  <c r="AZ236" i="3"/>
  <c r="G248" i="3"/>
  <c r="G250" i="3"/>
  <c r="G252" i="3"/>
  <c r="BA256" i="3"/>
  <c r="AZ256" i="3" s="1"/>
  <c r="BL263" i="3"/>
  <c r="AZ263" i="3" s="1"/>
  <c r="BL268" i="3"/>
  <c r="AZ268" i="3" s="1"/>
  <c r="G278" i="3"/>
  <c r="AZ113" i="3"/>
  <c r="AZ118" i="3"/>
  <c r="AZ153" i="3"/>
  <c r="AZ226" i="3"/>
  <c r="BA285" i="3"/>
  <c r="AZ285" i="3" s="1"/>
  <c r="BA287" i="3"/>
  <c r="AZ287" i="3" s="1"/>
  <c r="AZ289" i="3"/>
  <c r="AZ161" i="3"/>
  <c r="BL330" i="3"/>
  <c r="AZ330" i="3" s="1"/>
  <c r="AZ270" i="3"/>
  <c r="AZ284" i="3"/>
  <c r="AZ141" i="3"/>
  <c r="AZ25" i="3"/>
  <c r="AZ27" i="3"/>
  <c r="BA180" i="3"/>
  <c r="AZ180" i="3" s="1"/>
  <c r="BL187" i="3"/>
  <c r="AZ187" i="3" s="1"/>
  <c r="BL190" i="3"/>
  <c r="AZ190" i="3" s="1"/>
  <c r="G204" i="3"/>
  <c r="AZ22" i="3"/>
  <c r="AZ23" i="3"/>
  <c r="AZ30" i="3"/>
  <c r="AZ40" i="3"/>
  <c r="G182" i="3"/>
  <c r="G187" i="3"/>
  <c r="BL193" i="3"/>
  <c r="AZ193" i="3" s="1"/>
  <c r="G196" i="3"/>
  <c r="BL199" i="3"/>
  <c r="AZ199" i="3" s="1"/>
  <c r="BA205" i="3"/>
  <c r="AZ205" i="3" s="1"/>
  <c r="BA35" i="3"/>
  <c r="AZ46" i="3"/>
  <c r="AZ49" i="3"/>
  <c r="AZ90" i="3"/>
  <c r="BA51" i="3"/>
  <c r="AZ51" i="3" s="1"/>
  <c r="BA65" i="3"/>
  <c r="AZ65" i="3" s="1"/>
  <c r="BA66" i="3"/>
  <c r="AZ66" i="3" s="1"/>
  <c r="BA67" i="3"/>
  <c r="AZ67" i="3" s="1"/>
  <c r="BL69" i="3"/>
  <c r="AZ69" i="3" s="1"/>
  <c r="BL75" i="3"/>
  <c r="AZ75" i="3" s="1"/>
  <c r="BL80" i="3"/>
  <c r="AZ80" i="3" s="1"/>
  <c r="AZ95" i="3"/>
  <c r="AZ98" i="3"/>
  <c r="AZ104" i="3"/>
  <c r="G47" i="3"/>
  <c r="G5" i="3" s="1"/>
  <c r="B3" i="3" s="1"/>
  <c r="G50" i="3"/>
  <c r="BA54" i="3"/>
  <c r="AZ54" i="3" s="1"/>
  <c r="BA57" i="3"/>
  <c r="AZ57" i="3" s="1"/>
  <c r="BL64" i="3"/>
  <c r="AZ64" i="3" s="1"/>
  <c r="BA92" i="3"/>
  <c r="AZ92" i="3" s="1"/>
  <c r="AZ96" i="3"/>
  <c r="AZ99" i="3"/>
  <c r="AZ100" i="3"/>
  <c r="BA106" i="3"/>
  <c r="AZ106" i="3" s="1"/>
  <c r="BL87" i="3"/>
  <c r="AZ87" i="3" s="1"/>
  <c r="BL91" i="3"/>
  <c r="BL100" i="3"/>
  <c r="BL102" i="3"/>
  <c r="AZ102" i="3" s="1"/>
  <c r="BL108" i="3"/>
  <c r="AZ108" i="3" s="1"/>
  <c r="BL110" i="3"/>
  <c r="AZ110" i="3" s="1"/>
  <c r="AZ112" i="3"/>
  <c r="AZ56" i="3"/>
  <c r="AZ60" i="3"/>
  <c r="AZ73" i="3"/>
  <c r="AZ78" i="3"/>
  <c r="AZ91" i="3"/>
  <c r="B89" i="43"/>
  <c r="E11" i="77"/>
  <c r="E7" i="77" s="1"/>
  <c r="C27" i="77" s="1"/>
  <c r="D7" i="77"/>
  <c r="C26" i="77" s="1"/>
  <c r="C21" i="68"/>
  <c r="C40" i="68"/>
  <c r="AC21" i="33"/>
  <c r="D26" i="77"/>
  <c r="D38" i="77"/>
  <c r="D39" i="77" s="1"/>
  <c r="D29" i="77"/>
  <c r="D32" i="77"/>
  <c r="E23" i="77"/>
  <c r="AC7" i="71"/>
  <c r="AC5" i="71"/>
  <c r="AC6" i="71"/>
  <c r="C68" i="71"/>
  <c r="B23" i="71"/>
  <c r="B22" i="71" s="1"/>
  <c r="B21" i="71" s="1"/>
  <c r="R5" i="77"/>
  <c r="U5" i="77" s="1"/>
  <c r="R35" i="77"/>
  <c r="U34" i="77" s="1"/>
  <c r="AD6" i="71"/>
  <c r="AD7" i="71"/>
  <c r="AD5" i="71"/>
  <c r="F67" i="71"/>
  <c r="C76" i="71"/>
  <c r="D76" i="71" s="1"/>
  <c r="D69" i="71"/>
  <c r="G68" i="71"/>
  <c r="B72" i="71"/>
  <c r="B71" i="71" s="1"/>
  <c r="B80" i="71"/>
  <c r="B79" i="71" s="1"/>
  <c r="M56" i="9"/>
  <c r="P74" i="67"/>
  <c r="C29" i="77"/>
  <c r="C32" i="77" s="1"/>
  <c r="C38" i="77" s="1"/>
  <c r="C39" i="77" s="1"/>
  <c r="Y5" i="71"/>
  <c r="AB5" i="71" s="1"/>
  <c r="Y7" i="71"/>
  <c r="AB7" i="71" s="1"/>
  <c r="Y6" i="71"/>
  <c r="AB6" i="71" s="1"/>
  <c r="S18" i="36"/>
  <c r="G28" i="71"/>
  <c r="G27" i="71" s="1"/>
  <c r="C80" i="71"/>
  <c r="B28" i="71"/>
  <c r="B27" i="71" s="1"/>
  <c r="B48" i="71"/>
  <c r="B49" i="71" s="1"/>
  <c r="T49" i="71" s="1"/>
  <c r="Z7" i="71"/>
  <c r="AA7" i="71" s="1"/>
  <c r="Z6" i="71"/>
  <c r="AA6" i="71" s="1"/>
  <c r="Z5" i="71"/>
  <c r="AA5" i="71" s="1"/>
  <c r="C13" i="43"/>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G78" i="43" s="1"/>
  <c r="S4" i="43"/>
  <c r="H79" i="43"/>
  <c r="G79" i="43" s="1"/>
  <c r="H77" i="43"/>
  <c r="G77" i="43" s="1"/>
  <c r="H81" i="43"/>
  <c r="G81" i="43" s="1"/>
  <c r="H80" i="43"/>
  <c r="G80" i="43" s="1"/>
  <c r="H74" i="43"/>
  <c r="G74" i="43" s="1"/>
  <c r="H73" i="43"/>
  <c r="G73" i="43" s="1"/>
  <c r="H75" i="43"/>
  <c r="G75" i="43" s="1"/>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67"/>
  <c r="G1" i="73"/>
  <c r="C14" i="67"/>
  <c r="C17" i="15"/>
  <c r="C16" i="15"/>
  <c r="C35" i="68" l="1"/>
  <c r="J7" i="21"/>
  <c r="F7" i="21"/>
  <c r="J7" i="35"/>
  <c r="H7" i="21"/>
  <c r="AB7" i="21" s="1"/>
  <c r="T48" i="21" s="1"/>
  <c r="G48" i="21" s="1"/>
  <c r="C49" i="67"/>
  <c r="E69" i="3"/>
  <c r="E114" i="3"/>
  <c r="E415" i="3"/>
  <c r="E563"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67" i="3"/>
  <c r="E505" i="3"/>
  <c r="E557" i="3"/>
  <c r="E547" i="3"/>
  <c r="E581" i="3"/>
  <c r="AS6" i="3"/>
  <c r="E531" i="3"/>
  <c r="E403" i="3"/>
  <c r="E444" i="3"/>
  <c r="E476" i="3"/>
  <c r="E489" i="3"/>
  <c r="E546" i="3"/>
  <c r="E404" i="3"/>
  <c r="E447" i="3"/>
  <c r="E28" i="3"/>
  <c r="E71" i="3"/>
  <c r="E88" i="3"/>
  <c r="E27" i="3"/>
  <c r="E70" i="3"/>
  <c r="E92" i="3"/>
  <c r="E121" i="3"/>
  <c r="E162" i="3"/>
  <c r="E126" i="3"/>
  <c r="E166" i="3"/>
  <c r="E186" i="3"/>
  <c r="E272" i="3"/>
  <c r="E295" i="3"/>
  <c r="E210" i="3"/>
  <c r="E53" i="3"/>
  <c r="E175" i="3"/>
  <c r="E319" i="3"/>
  <c r="E530" i="3"/>
  <c r="E501" i="3"/>
  <c r="E343" i="3"/>
  <c r="E153" i="3"/>
  <c r="E305" i="3"/>
  <c r="E426" i="3"/>
  <c r="E508" i="3"/>
  <c r="E328"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H6" i="3" s="1"/>
  <c r="E16" i="3"/>
  <c r="E536" i="3"/>
  <c r="AK6" i="3"/>
  <c r="E549" i="3"/>
  <c r="E434" i="3"/>
  <c r="E453" i="3"/>
  <c r="E306" i="3"/>
  <c r="E368" i="3"/>
  <c r="E296" i="3"/>
  <c r="E244" i="3"/>
  <c r="E136" i="3"/>
  <c r="E156" i="3"/>
  <c r="E236" i="3"/>
  <c r="E148" i="3"/>
  <c r="E269" i="3"/>
  <c r="E122" i="3"/>
  <c r="E89" i="3"/>
  <c r="E120" i="3"/>
  <c r="E45" i="3"/>
  <c r="E277" i="3"/>
  <c r="E224" i="3"/>
  <c r="E177" i="3"/>
  <c r="E193" i="3"/>
  <c r="E133" i="3"/>
  <c r="E312" i="3"/>
  <c r="E575" i="3"/>
  <c r="AD6" i="3"/>
  <c r="AC6" i="3" s="1"/>
  <c r="E499"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32" i="3"/>
  <c r="E155" i="3"/>
  <c r="E192" i="3"/>
  <c r="E240" i="3"/>
  <c r="E258" i="3"/>
  <c r="E297" i="3"/>
  <c r="E241" i="3"/>
  <c r="E259" i="3"/>
  <c r="E292" i="3"/>
  <c r="E348" i="3"/>
  <c r="E363" i="3"/>
  <c r="E375" i="3"/>
  <c r="E389" i="3"/>
  <c r="E504" i="3"/>
  <c r="E544" i="3"/>
  <c r="E58" i="3"/>
  <c r="E76" i="3"/>
  <c r="E110" i="3"/>
  <c r="E59" i="3"/>
  <c r="E540" i="3"/>
  <c r="E462" i="3"/>
  <c r="E521" i="3"/>
  <c r="E446" i="3"/>
  <c r="E98" i="3"/>
  <c r="E65" i="3"/>
  <c r="E138" i="3"/>
  <c r="E195" i="3"/>
  <c r="E163" i="3"/>
  <c r="E209" i="3"/>
  <c r="E266" i="3"/>
  <c r="E307" i="3"/>
  <c r="E386" i="3"/>
  <c r="E354" i="3"/>
  <c r="E584" i="3"/>
  <c r="E66" i="3"/>
  <c r="E24" i="3"/>
  <c r="E48" i="3"/>
  <c r="E87" i="3"/>
  <c r="E127" i="3"/>
  <c r="E284" i="3"/>
  <c r="E341" i="3"/>
  <c r="Y6" i="3"/>
  <c r="E51" i="3"/>
  <c r="E19" i="3"/>
  <c r="E154" i="3"/>
  <c r="E179" i="3"/>
  <c r="E222" i="3"/>
  <c r="E323" i="3"/>
  <c r="E373" i="3"/>
  <c r="E82" i="3"/>
  <c r="E526" i="3"/>
  <c r="E322" i="3"/>
  <c r="E583" i="3"/>
  <c r="X6" i="3"/>
  <c r="E336" i="3"/>
  <c r="E246" i="3"/>
  <c r="E293" i="3"/>
  <c r="E270" i="3"/>
  <c r="E533" i="3"/>
  <c r="AR6" i="3"/>
  <c r="E561" i="3"/>
  <c r="E538" i="3"/>
  <c r="E439" i="3"/>
  <c r="E380" i="3"/>
  <c r="E231" i="3"/>
  <c r="E216" i="3"/>
  <c r="E185" i="3"/>
  <c r="E135" i="3"/>
  <c r="E161" i="3"/>
  <c r="E164" i="3"/>
  <c r="E313" i="3"/>
  <c r="E519" i="3"/>
  <c r="E532" i="3"/>
  <c r="E573" i="3"/>
  <c r="E529" i="3"/>
  <c r="E458" i="3"/>
  <c r="E474" i="3"/>
  <c r="E527" i="3"/>
  <c r="E438" i="3"/>
  <c r="E457" i="3"/>
  <c r="E562" i="3"/>
  <c r="W6" i="3"/>
  <c r="E571" i="3"/>
  <c r="E537" i="3"/>
  <c r="E450" i="3"/>
  <c r="E471" i="3"/>
  <c r="E433" i="3"/>
  <c r="E475" i="3"/>
  <c r="E72" i="3"/>
  <c r="E54" i="3"/>
  <c r="E111" i="3"/>
  <c r="E168" i="3"/>
  <c r="E150" i="3"/>
  <c r="E279" i="3"/>
  <c r="E257" i="3"/>
  <c r="E291" i="3"/>
  <c r="E332" i="3"/>
  <c r="E357" i="3"/>
  <c r="E317" i="3"/>
  <c r="E356" i="3"/>
  <c r="E14" i="3"/>
  <c r="AM6" i="3"/>
  <c r="E42" i="3"/>
  <c r="E93" i="3"/>
  <c r="E29" i="3"/>
  <c r="E488" i="3"/>
  <c r="E473" i="3"/>
  <c r="E425" i="3"/>
  <c r="E18" i="3"/>
  <c r="E38" i="3"/>
  <c r="E103" i="3"/>
  <c r="E190" i="3"/>
  <c r="E194" i="3"/>
  <c r="E235" i="3"/>
  <c r="E339" i="3"/>
  <c r="E310" i="3"/>
  <c r="E522" i="3"/>
  <c r="E52" i="3"/>
  <c r="E67" i="3"/>
  <c r="E49" i="3"/>
  <c r="E147" i="3"/>
  <c r="E233" i="3"/>
  <c r="E370" i="3"/>
  <c r="E63" i="3"/>
  <c r="E113" i="3"/>
  <c r="E218" i="3"/>
  <c r="E283" i="3"/>
  <c r="E326" i="3"/>
  <c r="E101" i="3"/>
  <c r="E125" i="3"/>
  <c r="E553" i="3"/>
  <c r="N6" i="3"/>
  <c r="E329" i="3"/>
  <c r="E545" i="3"/>
  <c r="E510" i="3"/>
  <c r="E352" i="3"/>
  <c r="E205" i="3"/>
  <c r="E128" i="3"/>
  <c r="E311" i="3"/>
  <c r="E514" i="3"/>
  <c r="E570" i="3"/>
  <c r="M6" i="3"/>
  <c r="AB6" i="3"/>
  <c r="E387" i="3"/>
  <c r="E335" i="3"/>
  <c r="E215" i="3"/>
  <c r="E189" i="3"/>
  <c r="E134" i="3"/>
  <c r="E91" i="3"/>
  <c r="E180" i="3"/>
  <c r="E149" i="3"/>
  <c r="E212" i="3"/>
  <c r="E167" i="3"/>
  <c r="E141"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73" i="3"/>
  <c r="E276" i="3"/>
  <c r="E315" i="3"/>
  <c r="E377" i="3"/>
  <c r="E333" i="3"/>
  <c r="E362" i="3"/>
  <c r="E572" i="3"/>
  <c r="L6" i="3"/>
  <c r="E74" i="3"/>
  <c r="E109" i="3"/>
  <c r="E43" i="3"/>
  <c r="E409" i="3"/>
  <c r="E484" i="3"/>
  <c r="E412" i="3"/>
  <c r="E79" i="3"/>
  <c r="E46" i="3"/>
  <c r="E129" i="3"/>
  <c r="E137" i="3"/>
  <c r="E200" i="3"/>
  <c r="E275" i="3"/>
  <c r="E299" i="3"/>
  <c r="E371" i="3"/>
  <c r="E342" i="3"/>
  <c r="AQ6" i="3"/>
  <c r="E84" i="3"/>
  <c r="E34" i="3"/>
  <c r="E123" i="3"/>
  <c r="E184" i="3"/>
  <c r="E251" i="3"/>
  <c r="E68" i="3"/>
  <c r="E80" i="3"/>
  <c r="E176" i="3"/>
  <c r="E264" i="3"/>
  <c r="E308" i="3"/>
  <c r="E524" i="3"/>
  <c r="E21" i="3"/>
  <c r="E217" i="3"/>
  <c r="E268" i="3"/>
  <c r="AJ6" i="3"/>
  <c r="E347" i="3"/>
  <c r="AA6" i="3"/>
  <c r="E399" i="3"/>
  <c r="E280" i="3"/>
  <c r="E124" i="3"/>
  <c r="E390" i="3"/>
  <c r="S6" i="3"/>
  <c r="E523" i="3"/>
  <c r="E506" i="3"/>
  <c r="E418" i="3"/>
  <c r="E338" i="3"/>
  <c r="E321" i="3"/>
  <c r="E298" i="3"/>
  <c r="E169" i="3"/>
  <c r="E61" i="3"/>
  <c r="E290" i="3"/>
  <c r="E117"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43" i="3"/>
  <c r="E351" i="3"/>
  <c r="E331" i="3"/>
  <c r="E391" i="3"/>
  <c r="E318" i="3"/>
  <c r="E384" i="3"/>
  <c r="AL6" i="3"/>
  <c r="E31" i="3"/>
  <c r="E44" i="3"/>
  <c r="E94" i="3"/>
  <c r="E75" i="3"/>
  <c r="E441" i="3"/>
  <c r="E482" i="3"/>
  <c r="E455" i="3"/>
  <c r="E64" i="3"/>
  <c r="E78" i="3"/>
  <c r="E170" i="3"/>
  <c r="E142" i="3"/>
  <c r="E220" i="3"/>
  <c r="E300" i="3"/>
  <c r="E383" i="3"/>
  <c r="E392" i="3"/>
  <c r="E23" i="3"/>
  <c r="E86" i="3"/>
  <c r="E112" i="3"/>
  <c r="E144" i="3"/>
  <c r="E232" i="3"/>
  <c r="E340" i="3"/>
  <c r="E381" i="3"/>
  <c r="E102" i="3"/>
  <c r="E62" i="3"/>
  <c r="E118" i="3"/>
  <c r="E287" i="3"/>
  <c r="E365" i="3"/>
  <c r="E513" i="3"/>
  <c r="E83" i="3"/>
  <c r="E366" i="3"/>
  <c r="E282" i="3"/>
  <c r="E539" i="3"/>
  <c r="E567" i="3"/>
  <c r="E461" i="3"/>
  <c r="E227" i="3"/>
  <c r="E165" i="3"/>
  <c r="E358" i="3"/>
  <c r="E559" i="3"/>
  <c r="V6" i="3"/>
  <c r="E407" i="3"/>
  <c r="E320" i="3"/>
  <c r="E294" i="3"/>
  <c r="E130" i="3"/>
  <c r="E254" i="3"/>
  <c r="E221" i="3"/>
  <c r="E77" i="3"/>
  <c r="E253" i="3"/>
  <c r="E199"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4" i="3"/>
  <c r="E316" i="3"/>
  <c r="E346" i="3"/>
  <c r="E394" i="3"/>
  <c r="E372" i="3"/>
  <c r="E580" i="3"/>
  <c r="E30" i="3"/>
  <c r="E60" i="3"/>
  <c r="E32" i="3"/>
  <c r="E480" i="3"/>
  <c r="E428" i="3"/>
  <c r="E15" i="3"/>
  <c r="E467" i="3"/>
  <c r="E96" i="3"/>
  <c r="E100" i="3"/>
  <c r="E160" i="3"/>
  <c r="E174" i="3"/>
  <c r="E234" i="3"/>
  <c r="E249" i="3"/>
  <c r="E324" i="3"/>
  <c r="E325" i="3"/>
  <c r="E492" i="3"/>
  <c r="E35" i="3"/>
  <c r="E36" i="3"/>
  <c r="E33" i="3"/>
  <c r="E206" i="3"/>
  <c r="E289" i="3"/>
  <c r="E355" i="3"/>
  <c r="AF6" i="3"/>
  <c r="E20" i="3"/>
  <c r="E81" i="3"/>
  <c r="E158" i="3"/>
  <c r="E309" i="3"/>
  <c r="E22" i="3"/>
  <c r="P16" i="1"/>
  <c r="C11" i="12" s="1"/>
  <c r="J7" i="34"/>
  <c r="Q66" i="71"/>
  <c r="Q67" i="71"/>
  <c r="C67" i="71"/>
  <c r="P68" i="71"/>
  <c r="D68" i="71"/>
  <c r="E26" i="77"/>
  <c r="E32" i="77" s="1"/>
  <c r="E29" i="77"/>
  <c r="E38" i="77"/>
  <c r="E39" i="77" s="1"/>
  <c r="C40" i="77" s="1"/>
  <c r="E196" i="3"/>
  <c r="E204" i="3"/>
  <c r="E250" i="3"/>
  <c r="E395" i="3"/>
  <c r="E349" i="3"/>
  <c r="E262" i="3"/>
  <c r="AZ434" i="3"/>
  <c r="E558" i="3"/>
  <c r="D76" i="43"/>
  <c r="N76" i="43"/>
  <c r="K80" i="43"/>
  <c r="J80" i="43" s="1"/>
  <c r="M80" i="43"/>
  <c r="N80" i="43" s="1"/>
  <c r="M75" i="43"/>
  <c r="N75" i="43" s="1"/>
  <c r="K75" i="43"/>
  <c r="J75" i="43" s="1"/>
  <c r="K81" i="43"/>
  <c r="J81" i="43" s="1"/>
  <c r="M81" i="43"/>
  <c r="M78" i="43"/>
  <c r="N78" i="43" s="1"/>
  <c r="K78" i="43"/>
  <c r="J78" i="43" s="1"/>
  <c r="D78" i="43" s="1"/>
  <c r="H7" i="34"/>
  <c r="G67" i="71"/>
  <c r="R68" i="71"/>
  <c r="AZ35" i="3"/>
  <c r="AZ5" i="3" s="1"/>
  <c r="BA5" i="3"/>
  <c r="E27" i="6" s="1"/>
  <c r="E248" i="3"/>
  <c r="E230" i="3"/>
  <c r="E378" i="3"/>
  <c r="E288" i="3"/>
  <c r="E345" i="3"/>
  <c r="AA44" i="39"/>
  <c r="S44" i="39"/>
  <c r="AA40" i="40"/>
  <c r="S40" i="40"/>
  <c r="U39" i="40"/>
  <c r="AB39" i="40"/>
  <c r="C38" i="11"/>
  <c r="C35" i="11"/>
  <c r="M73" i="43"/>
  <c r="N73" i="43" s="1"/>
  <c r="K73" i="43"/>
  <c r="J73" i="43" s="1"/>
  <c r="M77" i="43"/>
  <c r="K77" i="43"/>
  <c r="J77" i="43" s="1"/>
  <c r="F7" i="36"/>
  <c r="AA7" i="36" s="1"/>
  <c r="R36" i="36" s="1"/>
  <c r="F7" i="34"/>
  <c r="D80" i="71"/>
  <c r="C79" i="71"/>
  <c r="D79" i="71" s="1"/>
  <c r="E50" i="3"/>
  <c r="E187" i="3"/>
  <c r="E211" i="3"/>
  <c r="E364" i="3"/>
  <c r="E286" i="3"/>
  <c r="E267" i="3"/>
  <c r="E334" i="3"/>
  <c r="AA34" i="35"/>
  <c r="S34" i="35"/>
  <c r="AC39" i="40"/>
  <c r="W39" i="40"/>
  <c r="AC26" i="37"/>
  <c r="W26" i="37"/>
  <c r="H14" i="74"/>
  <c r="B7" i="74" s="1"/>
  <c r="D10" i="52"/>
  <c r="D125" i="9"/>
  <c r="D11" i="52" s="1"/>
  <c r="M74" i="43"/>
  <c r="N74" i="43" s="1"/>
  <c r="K74" i="43"/>
  <c r="J74" i="43" s="1"/>
  <c r="M79" i="43"/>
  <c r="N79" i="43" s="1"/>
  <c r="K79" i="43"/>
  <c r="BL5" i="3"/>
  <c r="E47" i="3"/>
  <c r="E182" i="3"/>
  <c r="E278" i="3"/>
  <c r="E252" i="3"/>
  <c r="E219" i="3"/>
  <c r="E208" i="3"/>
  <c r="E265" i="3"/>
  <c r="E542" i="3"/>
  <c r="AA9" i="33"/>
  <c r="S9" i="33"/>
  <c r="O16" i="1"/>
  <c r="E551" i="3"/>
  <c r="AA26" i="37"/>
  <c r="S26" i="37"/>
  <c r="F10" i="40"/>
  <c r="S10" i="40" s="1"/>
  <c r="H7" i="36"/>
  <c r="U7" i="36" s="1"/>
  <c r="J7" i="36"/>
  <c r="J7" i="33"/>
  <c r="AC7" i="33" s="1"/>
  <c r="V48" i="33" s="1"/>
  <c r="I48" i="33" s="1"/>
  <c r="H10" i="39"/>
  <c r="AB10" i="39" s="1"/>
  <c r="H10" i="40"/>
  <c r="U10" i="40" s="1"/>
  <c r="J10" i="40"/>
  <c r="W10" i="40" s="1"/>
  <c r="J10" i="39"/>
  <c r="AC10" i="39" s="1"/>
  <c r="F7" i="33"/>
  <c r="AA7" i="33" s="1"/>
  <c r="R48" i="33" s="1"/>
  <c r="D65" i="40"/>
  <c r="E63" i="40"/>
  <c r="F52" i="37"/>
  <c r="H7" i="33"/>
  <c r="W10" i="39"/>
  <c r="S10" i="39"/>
  <c r="AA10" i="39"/>
  <c r="U7" i="34"/>
  <c r="AB7" i="34"/>
  <c r="T49" i="34" s="1"/>
  <c r="G49" i="34" s="1"/>
  <c r="W7" i="35"/>
  <c r="AC7" i="35"/>
  <c r="V38" i="35" s="1"/>
  <c r="I38" i="35" s="1"/>
  <c r="F7" i="35"/>
  <c r="AC7" i="21"/>
  <c r="V48" i="21" s="1"/>
  <c r="I48" i="21" s="1"/>
  <c r="W7" i="21"/>
  <c r="U7" i="21"/>
  <c r="W7" i="36"/>
  <c r="AC7" i="36"/>
  <c r="V36" i="36" s="1"/>
  <c r="I36" i="36"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AB10" i="40" l="1"/>
  <c r="AB7" i="36"/>
  <c r="T36" i="36" s="1"/>
  <c r="G36" i="36" s="1"/>
  <c r="S7" i="36"/>
  <c r="AY6" i="3"/>
  <c r="E3" i="6"/>
  <c r="C41" i="77"/>
  <c r="B2" i="77"/>
  <c r="B3" i="77" s="1"/>
  <c r="E6" i="3"/>
  <c r="D67" i="71"/>
  <c r="P66" i="71"/>
  <c r="P67" i="71"/>
  <c r="W13" i="71"/>
  <c r="M23" i="43"/>
  <c r="J79" i="43"/>
  <c r="D79" i="43"/>
  <c r="R67" i="71"/>
  <c r="R66" i="71"/>
  <c r="N81" i="43"/>
  <c r="D81" i="43"/>
  <c r="C15" i="12"/>
  <c r="C12" i="12"/>
  <c r="N77" i="43"/>
  <c r="D77" i="43"/>
  <c r="E31" i="6"/>
  <c r="K25" i="6"/>
  <c r="M25" i="6" s="1"/>
  <c r="I25" i="6" s="1"/>
  <c r="S25" i="6" s="1"/>
  <c r="K23" i="6"/>
  <c r="M23" i="6" s="1"/>
  <c r="I23" i="6" s="1"/>
  <c r="S23" i="6" s="1"/>
  <c r="K20" i="6"/>
  <c r="M20" i="6" s="1"/>
  <c r="I20" i="6" s="1"/>
  <c r="S20" i="6" s="1"/>
  <c r="K21" i="6"/>
  <c r="M21" i="6" s="1"/>
  <c r="I21" i="6" s="1"/>
  <c r="S21" i="6" s="1"/>
  <c r="K22" i="6"/>
  <c r="M22" i="6" s="1"/>
  <c r="I22" i="6" s="1"/>
  <c r="S22" i="6" s="1"/>
  <c r="K24" i="6"/>
  <c r="M24" i="6" s="1"/>
  <c r="I24" i="6" s="1"/>
  <c r="S24" i="6" s="1"/>
  <c r="K19" i="6"/>
  <c r="K26" i="6"/>
  <c r="M26" i="6" s="1"/>
  <c r="I26" i="6" s="1"/>
  <c r="S26" i="6" s="1"/>
  <c r="AA10" i="40"/>
  <c r="U10" i="39"/>
  <c r="AC10" i="40"/>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73" i="43" l="1"/>
  <c r="B71" i="43" s="1"/>
  <c r="C28" i="43" s="1"/>
  <c r="C42" i="43" s="1"/>
  <c r="G42" i="43" s="1"/>
  <c r="I42" i="43" s="1"/>
  <c r="M19" i="6"/>
  <c r="K27" i="6"/>
  <c r="C17" i="4"/>
  <c r="B4" i="52" s="1"/>
  <c r="B43" i="72" s="1"/>
  <c r="L18" i="9"/>
  <c r="E6" i="6"/>
  <c r="M18" i="9"/>
  <c r="B118" i="9" s="1"/>
  <c r="B14" i="74" s="1"/>
  <c r="B1" i="74" s="1"/>
  <c r="D3" i="34"/>
  <c r="D19" i="11"/>
  <c r="C19" i="11" s="1"/>
  <c r="D37" i="11"/>
  <c r="C37" i="11" s="1"/>
  <c r="C33" i="11" s="1"/>
  <c r="D3" i="21"/>
  <c r="D14" i="12"/>
  <c r="D3" i="33"/>
  <c r="D3" i="37"/>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98" i="3"/>
  <c r="AY66" i="3"/>
  <c r="AY196" i="3"/>
  <c r="AY171" i="3"/>
  <c r="AY115" i="3"/>
  <c r="AY74" i="3"/>
  <c r="AY163" i="3"/>
  <c r="AY276" i="3"/>
  <c r="AY204" i="3"/>
  <c r="AY237" i="3"/>
  <c r="AY225" i="3"/>
  <c r="AY363" i="3"/>
  <c r="AY334" i="3"/>
  <c r="AY470" i="3"/>
  <c r="AY412" i="3"/>
  <c r="AY526" i="3"/>
  <c r="AY180" i="3"/>
  <c r="AY229" i="3"/>
  <c r="AY390" i="3"/>
  <c r="AY358" i="3"/>
  <c r="AY326" i="3"/>
  <c r="AY447" i="3"/>
  <c r="AY433" i="3"/>
  <c r="AY557" i="3"/>
  <c r="AY574" i="3"/>
  <c r="AY541" i="3"/>
  <c r="AY105" i="3"/>
  <c r="AY85" i="3"/>
  <c r="AY45" i="3"/>
  <c r="AY52" i="3"/>
  <c r="AY25" i="3"/>
  <c r="AY201" i="3"/>
  <c r="AY162" i="3"/>
  <c r="AY157" i="3"/>
  <c r="AY118" i="3"/>
  <c r="AY291" i="3"/>
  <c r="AY271" i="3"/>
  <c r="AY231" i="3"/>
  <c r="AY238" i="3"/>
  <c r="AY211" i="3"/>
  <c r="AY381" i="3"/>
  <c r="AY368" i="3"/>
  <c r="BI6" i="3"/>
  <c r="AY104" i="3"/>
  <c r="AY72" i="3"/>
  <c r="AY186" i="3"/>
  <c r="AY177" i="3"/>
  <c r="AY121" i="3"/>
  <c r="AY243" i="3"/>
  <c r="AY210" i="3"/>
  <c r="AY370" i="3"/>
  <c r="AY325" i="3"/>
  <c r="AY332" i="3"/>
  <c r="AY483" i="3"/>
  <c r="AY464" i="3"/>
  <c r="AY446" i="3"/>
  <c r="AY406" i="3"/>
  <c r="AY403" i="3"/>
  <c r="BM6" i="3"/>
  <c r="AY572"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50" i="3"/>
  <c r="AY191" i="3"/>
  <c r="AY155" i="3"/>
  <c r="AY289" i="3"/>
  <c r="AY31" i="3"/>
  <c r="AY131" i="3"/>
  <c r="AY261" i="3"/>
  <c r="AY147" i="3"/>
  <c r="AY268" i="3"/>
  <c r="AY209" i="3"/>
  <c r="AY350" i="3"/>
  <c r="AY318" i="3"/>
  <c r="AY455" i="3"/>
  <c r="AY425" i="3"/>
  <c r="AY106" i="3"/>
  <c r="AY116" i="3"/>
  <c r="AY244" i="3"/>
  <c r="AY395" i="3"/>
  <c r="AY343" i="3"/>
  <c r="AY481" i="3"/>
  <c r="AY452" i="3"/>
  <c r="AY417" i="3"/>
  <c r="AY562" i="3"/>
  <c r="AY569" i="3"/>
  <c r="AY539" i="3"/>
  <c r="AY89" i="3"/>
  <c r="AY77" i="3"/>
  <c r="AY84" i="3"/>
  <c r="AY36" i="3"/>
  <c r="AY206" i="3"/>
  <c r="AY193" i="3"/>
  <c r="AY146" i="3"/>
  <c r="AY149" i="3"/>
  <c r="AY134" i="3"/>
  <c r="AY302" i="3"/>
  <c r="AY263" i="3"/>
  <c r="AY270" i="3"/>
  <c r="AY222" i="3"/>
  <c r="AY392" i="3"/>
  <c r="AY373" i="3"/>
  <c r="BS6" i="3"/>
  <c r="BJ6" i="3"/>
  <c r="AY88" i="3"/>
  <c r="AY40" i="3"/>
  <c r="AY197" i="3"/>
  <c r="AY161" i="3"/>
  <c r="AY279" i="3"/>
  <c r="AY274" i="3"/>
  <c r="AY215" i="3"/>
  <c r="AY356" i="3"/>
  <c r="AY317" i="3"/>
  <c r="AY324" i="3"/>
  <c r="AY467" i="3"/>
  <c r="AY457" i="3"/>
  <c r="AY438" i="3"/>
  <c r="AY435" i="3"/>
  <c r="AY581" i="3"/>
  <c r="AY580" i="3"/>
  <c r="BN6"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8" i="3"/>
  <c r="AY176" i="3"/>
  <c r="AY139" i="3"/>
  <c r="AY90" i="3"/>
  <c r="AY188" i="3"/>
  <c r="AY123" i="3"/>
  <c r="AY75" i="3"/>
  <c r="AY297" i="3"/>
  <c r="AY252" i="3"/>
  <c r="AY387" i="3"/>
  <c r="AY335" i="3"/>
  <c r="AY489" i="3"/>
  <c r="AY444" i="3"/>
  <c r="AY409" i="3"/>
  <c r="AY43" i="3"/>
  <c r="AY269" i="3"/>
  <c r="AY228" i="3"/>
  <c r="AY379" i="3"/>
  <c r="AY311" i="3"/>
  <c r="AY465" i="3"/>
  <c r="AY436" i="3"/>
  <c r="AY535" i="3"/>
  <c r="BK6" i="3"/>
  <c r="AY540" i="3"/>
  <c r="AY555" i="3"/>
  <c r="AY108" i="3"/>
  <c r="AY69" i="3"/>
  <c r="AY68" i="3"/>
  <c r="AY28" i="3"/>
  <c r="AY198" i="3"/>
  <c r="AY178" i="3"/>
  <c r="AY138" i="3"/>
  <c r="AY141" i="3"/>
  <c r="AY117" i="3"/>
  <c r="AY294" i="3"/>
  <c r="AY255" i="3"/>
  <c r="AY254" i="3"/>
  <c r="AY214" i="3"/>
  <c r="AY384" i="3"/>
  <c r="AY365" i="3"/>
  <c r="AY554" i="3"/>
  <c r="BB6" i="3"/>
  <c r="AY57" i="3"/>
  <c r="AY24" i="3"/>
  <c r="AY181" i="3"/>
  <c r="AY130" i="3"/>
  <c r="AY290" i="3"/>
  <c r="AY258" i="3"/>
  <c r="AY393" i="3"/>
  <c r="AY349" i="3"/>
  <c r="AY309" i="3"/>
  <c r="AY308" i="3"/>
  <c r="AY488" i="3"/>
  <c r="AY449" i="3"/>
  <c r="AY422" i="3"/>
  <c r="AY427" i="3"/>
  <c r="AY503" i="3"/>
  <c r="AY516" i="3"/>
  <c r="BF6" i="3"/>
  <c r="AY520"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82" i="3"/>
  <c r="AY23" i="3"/>
  <c r="AY160" i="3"/>
  <c r="AY132" i="3"/>
  <c r="AY59" i="3"/>
  <c r="AY183" i="3"/>
  <c r="AY292" i="3"/>
  <c r="AY58" i="3"/>
  <c r="AY284" i="3"/>
  <c r="AY220" i="3"/>
  <c r="AY371" i="3"/>
  <c r="AY319" i="3"/>
  <c r="AY486" i="3"/>
  <c r="AY428" i="3"/>
  <c r="AY497" i="3"/>
  <c r="AY199" i="3"/>
  <c r="AY245" i="3"/>
  <c r="AY212" i="3"/>
  <c r="AY355" i="3"/>
  <c r="AY342" i="3"/>
  <c r="AY478" i="3"/>
  <c r="AY404" i="3"/>
  <c r="AY513" i="3"/>
  <c r="AY573" i="3"/>
  <c r="BO6" i="3"/>
  <c r="AY553" i="3"/>
  <c r="AY100" i="3"/>
  <c r="AY53" i="3"/>
  <c r="AY60" i="3"/>
  <c r="AY20" i="3"/>
  <c r="AY182" i="3"/>
  <c r="AY170" i="3"/>
  <c r="AY173" i="3"/>
  <c r="AY126" i="3"/>
  <c r="AY299" i="3"/>
  <c r="AY286" i="3"/>
  <c r="AY239" i="3"/>
  <c r="AY246" i="3"/>
  <c r="AY227" i="3"/>
  <c r="AY389" i="3"/>
  <c r="AY357" i="3"/>
  <c r="AY507" i="3"/>
  <c r="AY93" i="3"/>
  <c r="AY41" i="3"/>
  <c r="AY29" i="3"/>
  <c r="AY150" i="3"/>
  <c r="AY114" i="3"/>
  <c r="AY275" i="3"/>
  <c r="AY226" i="3"/>
  <c r="AY377" i="3"/>
  <c r="AY341" i="3"/>
  <c r="AY340" i="3"/>
  <c r="AY491" i="3"/>
  <c r="AY480" i="3"/>
  <c r="AY454" i="3"/>
  <c r="AY414" i="3"/>
  <c r="AY419" i="3"/>
  <c r="AY525" i="3"/>
  <c r="AY561" i="3"/>
  <c r="AY536"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C42" i="11"/>
  <c r="F41" i="68"/>
  <c r="C44" i="68"/>
  <c r="D41" i="68" s="1"/>
  <c r="C23" i="68"/>
  <c r="C26" i="68"/>
  <c r="D22" i="68" s="1"/>
  <c r="T4" i="43" l="1"/>
  <c r="V4" i="43" s="1"/>
  <c r="T15" i="43"/>
  <c r="V15" i="43" s="1"/>
  <c r="T11" i="43"/>
  <c r="V11" i="43" s="1"/>
  <c r="T5" i="43"/>
  <c r="V5" i="43" s="1"/>
  <c r="T14" i="43"/>
  <c r="V14" i="43" s="1"/>
  <c r="T10" i="43"/>
  <c r="V10" i="43" s="1"/>
  <c r="T16" i="43"/>
  <c r="V16" i="43" s="1"/>
  <c r="C38" i="43"/>
  <c r="G38" i="43" s="1"/>
  <c r="I38" i="43" s="1"/>
  <c r="T8" i="43"/>
  <c r="V8" i="43" s="1"/>
  <c r="T9" i="43"/>
  <c r="V9" i="43" s="1"/>
  <c r="T12" i="43"/>
  <c r="V12" i="43" s="1"/>
  <c r="T2" i="43"/>
  <c r="V2" i="43" s="1"/>
  <c r="C41" i="43"/>
  <c r="C37" i="43"/>
  <c r="T13" i="43"/>
  <c r="V13" i="43" s="1"/>
  <c r="C39" i="43"/>
  <c r="T3" i="43"/>
  <c r="V3" i="43" s="1"/>
  <c r="C33" i="43"/>
  <c r="T6" i="43"/>
  <c r="V6" i="43" s="1"/>
  <c r="C40" i="43"/>
  <c r="E40" i="43" s="1"/>
  <c r="T7" i="43"/>
  <c r="V7" i="43" s="1"/>
  <c r="E42" i="43"/>
  <c r="C39" i="11"/>
  <c r="C43" i="11" s="1"/>
  <c r="D20" i="12"/>
  <c r="C20" i="12" s="1"/>
  <c r="C18" i="12" s="1"/>
  <c r="D10" i="68"/>
  <c r="D10" i="11"/>
  <c r="C10" i="11" s="1"/>
  <c r="D10" i="69"/>
  <c r="D17" i="12"/>
  <c r="C17" i="12" s="1"/>
  <c r="C14" i="12"/>
  <c r="C16" i="12" s="1"/>
  <c r="C20" i="11"/>
  <c r="C25" i="11" s="1"/>
  <c r="C28" i="11"/>
  <c r="C27" i="11" s="1"/>
  <c r="I19" i="6"/>
  <c r="M27" i="6"/>
  <c r="D15" i="6"/>
  <c r="D21" i="6"/>
  <c r="D20" i="6"/>
  <c r="D6" i="6"/>
  <c r="D10" i="6"/>
  <c r="D29" i="6"/>
  <c r="H22" i="6"/>
  <c r="H24" i="6"/>
  <c r="M19" i="9"/>
  <c r="C118" i="9" s="1"/>
  <c r="C14" i="74" s="1"/>
  <c r="B2" i="74" s="1"/>
  <c r="D19" i="6"/>
  <c r="C18" i="4"/>
  <c r="D23" i="6"/>
  <c r="D12" i="6"/>
  <c r="D13" i="6"/>
  <c r="E61" i="40"/>
  <c r="H23" i="6"/>
  <c r="D25" i="6"/>
  <c r="R25" i="6" s="1"/>
  <c r="D22" i="6"/>
  <c r="D24" i="6"/>
  <c r="R24" i="6" s="1"/>
  <c r="D9" i="6"/>
  <c r="L19" i="9"/>
  <c r="H25" i="6"/>
  <c r="H21" i="6"/>
  <c r="H20" i="6"/>
  <c r="D26" i="6"/>
  <c r="D8" i="6"/>
  <c r="D16" i="6" s="1"/>
  <c r="D14" i="6"/>
  <c r="D5" i="6"/>
  <c r="D11" i="6"/>
  <c r="D28" i="6"/>
  <c r="D30" i="6" s="1"/>
  <c r="H26" i="6"/>
  <c r="H19" i="6"/>
  <c r="H27" i="6" s="1"/>
  <c r="C8" i="74"/>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41" i="11"/>
  <c r="C22" i="11"/>
  <c r="C31" i="11" s="1"/>
  <c r="Q49" i="67"/>
  <c r="J14" i="67"/>
  <c r="J13" i="67" s="1"/>
  <c r="J23" i="67" s="1"/>
  <c r="C29" i="15"/>
  <c r="C33" i="15" s="1"/>
  <c r="C31" i="15" s="1"/>
  <c r="J59" i="67"/>
  <c r="J60" i="67" s="1"/>
  <c r="L46" i="67" s="1"/>
  <c r="J19" i="67"/>
  <c r="J17" i="67" s="1"/>
  <c r="C57" i="67"/>
  <c r="C64" i="67" s="1"/>
  <c r="C22" i="68"/>
  <c r="B6" i="76"/>
  <c r="E6" i="76"/>
  <c r="E38" i="43" l="1"/>
  <c r="G40" i="43"/>
  <c r="I40" i="43" s="1"/>
  <c r="E41" i="43"/>
  <c r="G41" i="43"/>
  <c r="I41" i="43" s="1"/>
  <c r="E37" i="43"/>
  <c r="G37" i="43"/>
  <c r="I37" i="43" s="1"/>
  <c r="E39" i="43"/>
  <c r="G39" i="43"/>
  <c r="I39" i="43" s="1"/>
  <c r="E33" i="43"/>
  <c r="C34" i="43"/>
  <c r="E34" i="43" s="1"/>
  <c r="R23" i="6"/>
  <c r="C21" i="12"/>
  <c r="C10" i="68"/>
  <c r="D19" i="68"/>
  <c r="A10" i="51"/>
  <c r="B9" i="72" s="1"/>
  <c r="A7" i="51"/>
  <c r="B7" i="72" s="1"/>
  <c r="C4" i="52"/>
  <c r="B45" i="72" s="1"/>
  <c r="R20" i="6"/>
  <c r="S19" i="6"/>
  <c r="S27" i="6" s="1"/>
  <c r="I27" i="6"/>
  <c r="R26" i="6"/>
  <c r="R22" i="6"/>
  <c r="D27" i="6"/>
  <c r="D31" i="6" s="1"/>
  <c r="R19" i="6"/>
  <c r="R27" i="6" s="1"/>
  <c r="R21" i="6"/>
  <c r="C10" i="69"/>
  <c r="C8" i="69" s="1"/>
  <c r="C5" i="69" s="1"/>
  <c r="D19" i="69"/>
  <c r="D21" i="9"/>
  <c r="C21" i="9"/>
  <c r="G21" i="9"/>
  <c r="D8" i="74"/>
  <c r="D7" i="74"/>
  <c r="C46" i="11"/>
  <c r="C45" i="11" s="1"/>
  <c r="C49" i="11" s="1"/>
  <c r="C51" i="11" s="1"/>
  <c r="C52" i="11" s="1"/>
  <c r="B2" i="11" s="1"/>
  <c r="B3" i="11" s="1"/>
  <c r="B2" i="76"/>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31" i="43" l="1"/>
  <c r="C30" i="43"/>
  <c r="B2" i="43" s="1"/>
  <c r="B3" i="43" s="1"/>
  <c r="C19" i="69"/>
  <c r="D37" i="69"/>
  <c r="C37" i="69" s="1"/>
  <c r="C33" i="69" s="1"/>
  <c r="I6" i="6"/>
  <c r="I5" i="6"/>
  <c r="C22" i="12"/>
  <c r="C30" i="12" s="1"/>
  <c r="C28" i="12" s="1"/>
  <c r="C23" i="69"/>
  <c r="C22" i="69" s="1"/>
  <c r="C19" i="68"/>
  <c r="D37" i="68"/>
  <c r="C37" i="68" s="1"/>
  <c r="C33" i="68" s="1"/>
  <c r="B3" i="7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L51" i="67"/>
  <c r="L51" i="15"/>
  <c r="C27" i="12" l="1"/>
  <c r="C25" i="12" s="1"/>
  <c r="C32" i="12" s="1"/>
  <c r="B2" i="12" s="1"/>
  <c r="B3" i="12" s="1"/>
  <c r="Q67" i="67"/>
  <c r="L57" i="67"/>
  <c r="L60" i="67" s="1"/>
  <c r="Q57" i="67" s="1"/>
  <c r="E8" i="71"/>
  <c r="B7" i="71"/>
  <c r="C39" i="68"/>
  <c r="C43" i="68" s="1"/>
  <c r="C42" i="68"/>
  <c r="C41" i="68" s="1"/>
  <c r="C20" i="68"/>
  <c r="C24" i="68"/>
  <c r="C39" i="69"/>
  <c r="C42" i="69"/>
  <c r="C41" i="69" s="1"/>
  <c r="C20" i="69"/>
  <c r="C24" i="69"/>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l="1"/>
  <c r="Q75" i="67" s="1"/>
  <c r="C46" i="68"/>
  <c r="C45" i="68" s="1"/>
  <c r="C49" i="68" s="1"/>
  <c r="C51" i="68" s="1"/>
  <c r="C46" i="69"/>
  <c r="C45" i="69" s="1"/>
  <c r="C49" i="69" s="1"/>
  <c r="C51" i="69" s="1"/>
  <c r="C43" i="69"/>
  <c r="B6" i="71"/>
  <c r="E7" i="71"/>
  <c r="C25" i="69"/>
  <c r="C28" i="69"/>
  <c r="C27" i="69" s="1"/>
  <c r="C31" i="69" s="1"/>
  <c r="C28" i="68"/>
  <c r="C27" i="68" s="1"/>
  <c r="C31" i="68" s="1"/>
  <c r="C25" i="68"/>
  <c r="L63" i="40"/>
  <c r="K65" i="40"/>
  <c r="L68" i="39"/>
  <c r="K70" i="39"/>
  <c r="M52" i="37"/>
  <c r="U17" i="71"/>
  <c r="D17" i="71"/>
  <c r="V17" i="71" s="1"/>
  <c r="C16" i="71"/>
  <c r="C46" i="15"/>
  <c r="B2" i="67"/>
  <c r="Q62" i="67"/>
  <c r="Q56" i="15"/>
  <c r="Q57" i="15"/>
  <c r="B2" i="15"/>
  <c r="B3" i="15" s="1"/>
  <c r="Q47" i="15"/>
  <c r="Q53" i="15" s="1"/>
  <c r="Q65" i="15"/>
  <c r="Q75" i="15" s="1"/>
  <c r="C43" i="15"/>
  <c r="C83" i="15"/>
  <c r="C82" i="15" s="1"/>
  <c r="C52" i="68" l="1"/>
  <c r="B2" i="68" s="1"/>
  <c r="B3" i="68" s="1"/>
  <c r="E6" i="71"/>
  <c r="B5" i="71"/>
  <c r="E5" i="71" s="1"/>
  <c r="C52" i="69"/>
  <c r="B2" i="69" s="1"/>
  <c r="B3" i="69" s="1"/>
  <c r="M63" i="40"/>
  <c r="L65" i="40"/>
  <c r="N52" i="37"/>
  <c r="O52" i="37" s="1"/>
  <c r="L70" i="39"/>
  <c r="M68" i="39"/>
  <c r="D16" i="71"/>
  <c r="C15" i="71"/>
  <c r="Q62" i="15"/>
  <c r="C57" i="68" l="1"/>
  <c r="C56" i="68" s="1"/>
  <c r="C57" i="69"/>
  <c r="C56" i="69" s="1"/>
  <c r="F7" i="37"/>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B22" i="72"/>
  <c r="D6" i="53"/>
  <c r="C86" i="9"/>
  <c r="C93" i="9"/>
  <c r="M55" i="9"/>
  <c r="D59" i="9"/>
  <c r="D54" i="9"/>
  <c r="C64" i="9"/>
  <c r="C63" i="9"/>
  <c r="C67" i="9"/>
  <c r="C68" i="9"/>
  <c r="B21" i="72"/>
  <c r="D7" i="53"/>
  <c r="H102" i="9"/>
  <c r="B49" i="72"/>
  <c r="D5" i="52"/>
  <c r="D119" i="9"/>
  <c r="B47" i="72"/>
  <c r="D118" i="9"/>
  <c r="D4" i="52"/>
  <c r="E81" i="9"/>
  <c r="E80" i="9"/>
  <c r="C80" i="9"/>
  <c r="N61" i="9"/>
  <c r="N59" i="9"/>
  <c r="N60" i="9"/>
  <c r="B52" i="72"/>
  <c r="G4" i="52"/>
  <c r="C73" i="9"/>
  <c r="C78" i="9"/>
  <c r="B31" i="72"/>
  <c r="D15" i="53"/>
  <c r="H108" i="9"/>
  <c r="E97" i="9"/>
  <c r="E96" i="9"/>
  <c r="C96" i="9"/>
  <c r="D5" i="53"/>
  <c r="B20" i="72"/>
  <c r="H4" i="52"/>
  <c r="C104" i="9"/>
  <c r="B32" i="72"/>
  <c r="D14" i="53"/>
  <c r="B48" i="72"/>
  <c r="E118" i="9"/>
  <c r="E4" i="52"/>
  <c r="D6" i="74"/>
  <c r="G14" i="74"/>
  <c r="B6" i="74"/>
  <c r="C6" i="74"/>
  <c r="M48" i="9"/>
  <c r="M54" i="9"/>
  <c r="C85" i="9"/>
  <c r="C95" i="9"/>
  <c r="C97" i="9"/>
  <c r="D58" i="9"/>
  <c r="D56" i="9"/>
  <c r="C5" i="74"/>
  <c r="B5" i="74"/>
  <c r="D5" i="74"/>
  <c r="D8" i="52"/>
  <c r="C72" i="9"/>
  <c r="C79" i="9"/>
  <c r="C81" i="9"/>
  <c r="H119" i="9"/>
  <c r="H5" i="52"/>
  <c r="C105" i="9"/>
  <c r="I4" i="52"/>
  <c r="D13" i="53"/>
  <c r="B30" i="72"/>
  <c r="P57" i="9"/>
  <c r="D55" i="9"/>
  <c r="M53" i="9"/>
  <c r="N57" i="9"/>
  <c r="N58" i="9"/>
  <c r="F119" i="9"/>
  <c r="F5" i="52"/>
  <c r="B53" i="72"/>
  <c r="E14" i="74"/>
  <c r="D14" i="74"/>
  <c r="F14" i="74"/>
  <c r="H107" i="9"/>
  <c r="D122" i="9"/>
  <c r="D123" i="9"/>
  <c r="D9" i="52"/>
  <c r="D52" i="9"/>
  <c r="I118" i="9"/>
  <c r="H118" i="9"/>
  <c r="H101" i="9"/>
  <c r="D45" i="9"/>
  <c r="D53"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<sst xmlns="http://schemas.openxmlformats.org/spreadsheetml/2006/main" count="7686" uniqueCount="3126">
  <si>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</si>
  <si>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</si>
  <si>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</si>
  <si>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</si>
  <si>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</si>
  <si>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</si>
  <si>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</si>
  <si>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</si>
  <si>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</si>
  <si>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</si>
  <si>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</si>
  <si>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</si>
  <si>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</si>
  <si>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</si>
  <si>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</si>
  <si>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</si>
  <si>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</si>
  <si>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</si>
  <si>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</si>
  <si>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</si>
  <si>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</si>
  <si>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</si>
  <si>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</si>
  <si>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</si>
  <si>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</si>
  <si>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</si>
  <si>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</si>
  <si>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</si>
  <si>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</si>
  <si>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</si>
  <si>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</si>
  <si>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</si>
  <si>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</si>
  <si>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</si>
  <si>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</si>
  <si>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</si>
  <si>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</si>
  <si>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</si>
  <si>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</si>
  <si>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</si>
  <si>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</si>
  <si>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</si>
  <si>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</si>
  <si>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</si>
  <si>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</si>
  <si>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</si>
  <si>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</si>
  <si>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</si>
  <si>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</si>
  <si>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</si>
  <si>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</si>
  <si>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</si>
  <si>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</si>
  <si>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</si>
  <si>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</si>
  <si>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</si>
  <si>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</si>
  <si>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</si>
  <si>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</si>
  <si>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</si>
  <si>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</si>
  <si>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</si>
  <si>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</si>
  <si>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</si>
  <si>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</si>
  <si>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</si>
  <si>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</si>
  <si>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</si>
  <si>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</si>
  <si>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</si>
  <si>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</si>
  <si>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</si>
  <si>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</si>
  <si>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</si>
  <si>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</si>
  <si>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</si>
  <si>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</si>
  <si>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</si>
  <si>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</si>
  <si>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</si>
  <si>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</si>
  <si>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</si>
  <si>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</si>
  <si>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</si>
  <si>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</si>
  <si>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</si>
  <si>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</si>
  <si>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</si>
  <si>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</si>
  <si>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</si>
  <si>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</si>
  <si>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</si>
  <si>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</si>
  <si>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</si>
  <si>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</si>
  <si>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</si>
  <si>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</si>
  <si>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</si>
  <si>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</si>
  <si>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</si>
  <si>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</si>
  <si>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</si>
  <si>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</si>
  <si>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</si>
  <si>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</si>
  <si>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</si>
  <si>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</si>
  <si>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</si>
  <si>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</si>
  <si>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</si>
  <si>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</si>
  <si>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</si>
  <si>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</si>
  <si>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</si>
  <si>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</si>
  <si>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</si>
  <si>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</si>
  <si>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</si>
  <si>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</si>
  <si>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</si>
  <si>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</si>
  <si>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</si>
  <si>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</si>
  <si>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</si>
  <si>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</si>
  <si>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</si>
  <si>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</si>
  <si>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</si>
  <si>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</si>
  <si>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</si>
  <si>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</si>
  <si>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</si>
  <si>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</si>
  <si>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</si>
  <si>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</si>
  <si>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</si>
  <si>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</si>
  <si>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</si>
  <si>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</si>
  <si>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</si>
  <si>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</si>
  <si>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</si>
  <si>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</si>
  <si>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</si>
  <si>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</si>
  <si>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</si>
  <si>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</si>
  <si>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</si>
  <si>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</si>
  <si>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</si>
  <si>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</si>
  <si>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</si>
  <si>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</si>
  <si>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</si>
  <si>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</si>
  <si>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</si>
  <si>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</si>
  <si>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</si>
  <si>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</si>
  <si>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</si>
  <si>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</si>
  <si>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</si>
  <si>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</si>
  <si>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</si>
  <si>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</si>
  <si>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</si>
  <si>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</si>
  <si>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</si>
  <si>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</si>
  <si>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</si>
  <si>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</si>
  <si>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</si>
  <si>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</si>
  <si>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</si>
  <si>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</si>
  <si>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</si>
  <si>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</si>
  <si>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</si>
  <si>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</si>
  <si>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</si>
  <si>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</si>
  <si>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</si>
  <si>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</si>
  <si>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</si>
  <si>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</si>
  <si>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</si>
  <si>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</si>
  <si>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</si>
  <si>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</si>
  <si>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</si>
  <si>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</si>
  <si>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</si>
  <si>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</si>
  <si>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</si>
  <si>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</si>
  <si>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</si>
  <si>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</si>
  <si>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</si>
  <si>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</si>
  <si>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</si>
  <si>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</si>
  <si>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</si>
  <si>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</si>
  <si>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</si>
  <si>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</si>
  <si>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</si>
  <si>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</si>
  <si>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</si>
  <si>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</si>
  <si>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</si>
  <si>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</si>
  <si>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</si>
  <si>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</si>
  <si>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</si>
  <si>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</si>
  <si>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</si>
  <si>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</si>
  <si>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</si>
  <si>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</si>
  <si>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</si>
  <si>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</si>
  <si>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</si>
  <si>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</si>
  <si>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</si>
  <si>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</si>
  <si>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</si>
  <si>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</si>
  <si>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</si>
  <si>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</si>
  <si>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</si>
  <si>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</si>
  <si>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</si>
  <si>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</si>
  <si>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</si>
  <si>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</si>
  <si>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</si>
  <si>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</si>
  <si>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</si>
  <si>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</si>
  <si>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</si>
  <si>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</si>
  <si>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</si>
  <si>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</si>
  <si>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</si>
  <si>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</si>
  <si>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</si>
  <si>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</si>
  <si>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</si>
  <si>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</si>
  <si>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</si>
  <si>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</si>
  <si>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</si>
  <si>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</si>
  <si>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</si>
  <si>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</si>
  <si>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</si>
  <si>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</si>
  <si>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</si>
  <si>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</si>
  <si>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</si>
  <si>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</si>
  <si>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</si>
  <si>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</si>
  <si>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</si>
  <si>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</si>
  <si>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</si>
  <si>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</si>
  <si>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</si>
  <si>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</si>
  <si>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</si>
  <si>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</si>
  <si>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</si>
  <si>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</si>
  <si>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</si>
  <si>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</si>
  <si>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</si>
  <si>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</si>
  <si>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</si>
  <si>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</si>
  <si>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</si>
  <si>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</si>
  <si>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</si>
  <si>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</si>
  <si>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</si>
  <si>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</si>
  <si>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</si>
  <si>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</si>
  <si>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</si>
  <si>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</si>
  <si>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</si>
  <si>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</si>
  <si>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</si>
  <si>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</si>
  <si>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</si>
  <si>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</si>
  <si>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</si>
  <si>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</si>
  <si>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</si>
  <si>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</si>
  <si>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</si>
  <si>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</si>
  <si>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</si>
  <si>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</si>
  <si>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</si>
  <si>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</si>
  <si>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</si>
  <si>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</si>
  <si>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</si>
  <si>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</si>
  <si>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</si>
  <si>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</si>
  <si>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</si>
  <si>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</si>
  <si>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</si>
  <si>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</si>
  <si>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</si>
  <si>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</si>
  <si>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</si>
  <si>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</si>
  <si>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</si>
  <si>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</si>
  <si>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</si>
  <si>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</si>
  <si>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</si>
  <si>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</si>
  <si>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</si>
  <si>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</si>
  <si>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</si>
  <si>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</si>
  <si>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</si>
  <si>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</si>
  <si>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</si>
  <si>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</si>
  <si>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</si>
  <si>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</si>
  <si>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</si>
  <si>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</si>
  <si>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</si>
  <si>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</si>
  <si>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</si>
  <si>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</si>
  <si>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</si>
  <si>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</si>
  <si>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</si>
  <si>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</si>
  <si>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</si>
  <si>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</si>
  <si>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</si>
  <si>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</si>
  <si>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</si>
  <si>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</si>
  <si>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</si>
  <si>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</si>
  <si>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</si>
  <si>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</si>
  <si>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</si>
  <si>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</si>
  <si>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</si>
  <si>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</si>
  <si>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</si>
  <si>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</si>
  <si>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</si>
  <si>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</si>
  <si>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</si>
  <si>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</si>
  <si>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</si>
  <si>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</si>
  <si>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</si>
  <si>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</si>
  <si>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</si>
  <si>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</si>
  <si>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</si>
  <si>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</si>
  <si>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</si>
  <si>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</si>
  <si>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</si>
  <si>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</si>
  <si>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</si>
  <si>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</si>
  <si>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</si>
  <si>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</si>
  <si>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</si>
  <si>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</si>
  <si>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</si>
  <si>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</si>
  <si>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</si>
  <si>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</si>
  <si>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</si>
  <si>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</si>
  <si>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</si>
  <si>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</si>
  <si>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</si>
  <si>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</si>
  <si>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</si>
  <si>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</si>
  <si>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</si>
  <si>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</si>
  <si>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</si>
  <si>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</si>
  <si>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</si>
  <si>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</si>
  <si>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</si>
  <si>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</si>
  <si>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</si>
  <si>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</si>
  <si>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</si>
  <si>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</si>
  <si>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</si>
  <si>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</si>
  <si>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</si>
  <si>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</si>
  <si>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</si>
  <si>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</si>
  <si>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</si>
  <si>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</si>
  <si>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</si>
  <si>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</si>
  <si>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</si>
  <si>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</si>
  <si>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</si>
  <si>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</si>
  <si>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</si>
  <si>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</si>
  <si>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</si>
  <si>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</si>
  <si>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</si>
  <si>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</si>
  <si>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</si>
  <si>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</si>
  <si>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</si>
  <si>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</si>
  <si>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</si>
  <si>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</si>
  <si>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</si>
  <si>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</si>
  <si>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</si>
  <si>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</si>
  <si>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</si>
  <si>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</si>
  <si>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</si>
  <si>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</si>
  <si>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</si>
  <si>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</si>
  <si>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</si>
  <si>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</si>
  <si>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</si>
  <si>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</si>
  <si>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</si>
  <si>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</si>
  <si>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</si>
  <si>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</si>
  <si>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</si>
  <si>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</si>
  <si>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</si>
  <si>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</si>
  <si>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</si>
  <si>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</si>
  <si>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</si>
  <si>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</si>
  <si>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</si>
  <si>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</si>
  <si>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</si>
  <si>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</si>
  <si>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</si>
  <si>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</si>
  <si>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</si>
  <si>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</si>
  <si>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</si>
  <si>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</si>
  <si>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</si>
  <si>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</si>
  <si>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</si>
  <si>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</si>
  <si>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</si>
  <si>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</si>
  <si>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</si>
  <si>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</si>
  <si>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</si>
  <si>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</si>
  <si>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</si>
  <si>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</si>
  <si>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</si>
  <si>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</si>
  <si>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</si>
  <si>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</si>
  <si>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</si>
  <si>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</si>
  <si>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</si>
  <si>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</si>
  <si>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</si>
  <si>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</si>
  <si>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</si>
  <si>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</si>
  <si>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</si>
  <si>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</si>
  <si>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</si>
  <si>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</si>
  <si>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</si>
  <si>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</si>
  <si>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</si>
  <si>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</si>
  <si>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</si>
  <si>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</si>
  <si>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</si>
  <si>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</si>
  <si>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</si>
  <si>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</si>
  <si>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</si>
  <si>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</si>
  <si>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</si>
  <si>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</si>
  <si>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</si>
  <si>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</si>
  <si>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</si>
  <si>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</si>
  <si>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</si>
  <si>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</si>
  <si>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</si>
  <si>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</si>
  <si>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</si>
  <si>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</si>
  <si>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</si>
  <si>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</si>
  <si>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</si>
  <si>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</si>
  <si>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</si>
  <si>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</si>
  <si>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</si>
  <si>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</si>
  <si>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</si>
  <si>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</si>
  <si>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</si>
  <si>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</si>
  <si>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</si>
  <si>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</si>
  <si>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</si>
  <si>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</si>
  <si>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</si>
  <si>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</si>
  <si>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</si>
  <si>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</si>
  <si>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</si>
  <si>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</si>
  <si>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</si>
  <si>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</si>
  <si>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</si>
  <si>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</si>
  <si>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</si>
  <si>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</si>
  <si>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</si>
  <si>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</si>
  <si>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</si>
  <si>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</si>
  <si>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</si>
  <si>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</si>
  <si>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</si>
  <si>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</si>
  <si>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</si>
  <si>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</si>
  <si>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</si>
  <si>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</si>
  <si>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</si>
  <si>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</si>
  <si>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</si>
  <si>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</si>
  <si>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</si>
  <si>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</si>
  <si>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</si>
  <si>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</si>
  <si>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</si>
  <si>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</si>
  <si>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</si>
  <si>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</si>
  <si>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</si>
  <si>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</si>
  <si>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</si>
  <si>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</si>
  <si>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</si>
  <si>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</si>
  <si>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</si>
  <si>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</si>
  <si>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</si>
  <si>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</si>
  <si>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</si>
  <si>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</si>
  <si>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</si>
  <si>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</si>
  <si>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</si>
  <si>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</si>
  <si>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</si>
  <si>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</si>
  <si>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</si>
  <si>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</si>
  <si>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</si>
  <si>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</si>
  <si>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</si>
  <si>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</si>
  <si>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</si>
  <si>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</si>
  <si>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</si>
  <si>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</si>
  <si>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</si>
  <si>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</si>
  <si>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</si>
  <si>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</si>
  <si>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</si>
  <si>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</si>
  <si>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</si>
  <si>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</si>
  <si>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</si>
  <si>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</si>
  <si>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</si>
  <si>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</si>
  <si>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</si>
  <si>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</si>
  <si>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</si>
  <si>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</si>
  <si>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</si>
  <si>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</si>
  <si>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</si>
  <si>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</si>
  <si>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</si>
  <si>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</si>
  <si>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</si>
  <si>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</si>
  <si>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</si>
  <si>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</si>
  <si>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</si>
  <si>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</si>
  <si>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</si>
  <si>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</si>
  <si>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</si>
  <si>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</si>
  <si>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</si>
  <si>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</si>
  <si>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</si>
  <si>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</si>
  <si>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</si>
  <si>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</si>
  <si>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</si>
  <si>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</si>
  <si>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</si>
  <si>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</si>
  <si>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</si>
  <si>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</si>
  <si>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</si>
  <si>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</si>
  <si>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</si>
  <si>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</si>
  <si>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</si>
  <si>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</si>
  <si>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</si>
  <si>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</si>
  <si>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</si>
  <si>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</si>
  <si>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</si>
  <si>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</si>
  <si>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</si>
  <si>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</si>
  <si>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</si>
  <si>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</si>
  <si>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</si>
  <si>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</si>
  <si>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</si>
  <si>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</si>
  <si>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</si>
  <si>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</si>
  <si>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</si>
  <si>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</si>
  <si>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</si>
  <si>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</si>
  <si>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</si>
  <si>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</si>
  <si>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</si>
  <si>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</si>
  <si>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</si>
  <si>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</si>
  <si>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</si>
  <si>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</si>
  <si>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</si>
  <si>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</si>
  <si>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</si>
  <si>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</si>
  <si>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</si>
  <si>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</si>
  <si>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</si>
  <si>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</si>
  <si>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</si>
  <si>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</si>
  <si>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</si>
  <si>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</si>
  <si>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</si>
  <si>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</si>
  <si>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</si>
  <si>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</si>
  <si>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</si>
  <si>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</si>
  <si>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</si>
  <si>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</si>
  <si>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</si>
  <si>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</si>
  <si>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</si>
  <si>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</si>
  <si>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</si>
  <si>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</si>
  <si>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</si>
  <si>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</si>
  <si>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</si>
  <si>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</si>
  <si>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</si>
  <si>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</si>
  <si>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</si>
  <si>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</si>
  <si>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</si>
  <si>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</si>
  <si>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</si>
  <si>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</si>
  <si>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</si>
  <si>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</si>
  <si>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</si>
  <si>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</si>
  <si>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</si>
  <si>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</si>
  <si>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</si>
  <si>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</si>
  <si>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</si>
  <si>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</si>
  <si>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</si>
  <si>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</si>
  <si>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</si>
  <si>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</si>
  <si>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</si>
  <si>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</si>
  <si>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</si>
  <si>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</si>
  <si>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</si>
  <si>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</si>
  <si>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</si>
  <si>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</si>
  <si>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</si>
  <si>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</si>
  <si>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</si>
  <si>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</si>
  <si>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</si>
  <si>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</si>
  <si>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</si>
  <si>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</si>
  <si>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</si>
  <si>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</si>
  <si>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</si>
  <si>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</si>
  <si>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</si>
  <si>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</si>
  <si>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</si>
  <si>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</si>
  <si>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</si>
  <si>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</si>
  <si>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</si>
  <si>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</si>
  <si>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</si>
  <si>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</si>
  <si>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</si>
  <si>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</si>
  <si>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</si>
  <si>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</si>
  <si>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</si>
  <si>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</si>
  <si>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</si>
  <si>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</si>
  <si>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</si>
  <si>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</si>
  <si>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</si>
  <si>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</si>
  <si>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</si>
  <si>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</si>
  <si>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</si>
  <si>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</si>
  <si>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</si>
  <si>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</si>
  <si>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</si>
  <si>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</si>
  <si>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</si>
  <si>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</si>
  <si>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</si>
  <si>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</si>
  <si>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</si>
  <si>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</si>
  <si>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</si>
  <si>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</si>
  <si>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</si>
  <si>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</si>
  <si>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</si>
  <si>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</si>
  <si>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</si>
  <si>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</si>
  <si>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</si>
  <si>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</si>
  <si>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</si>
  <si>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</si>
  <si>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</si>
  <si>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</si>
  <si>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</si>
  <si>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</si>
  <si>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</si>
  <si>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</si>
  <si>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</si>
  <si>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</si>
  <si>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</si>
  <si>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</si>
  <si>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</si>
  <si>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</si>
  <si>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</si>
  <si>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</si>
  <si>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</si>
  <si>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</si>
  <si>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</si>
  <si>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</si>
  <si>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</si>
  <si>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</si>
  <si>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</si>
  <si>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</si>
  <si>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</si>
  <si>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</si>
  <si>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</si>
  <si>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</si>
  <si>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</si>
  <si>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</si>
  <si>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</si>
  <si>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</si>
  <si>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</si>
  <si>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</si>
  <si>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</si>
  <si>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</si>
  <si>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</si>
  <si>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</si>
  <si>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</si>
  <si>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</si>
  <si>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</si>
  <si>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</si>
  <si>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</si>
  <si>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</si>
  <si>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</si>
  <si>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</si>
  <si>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</si>
  <si>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</si>
  <si>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</si>
  <si>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</si>
  <si>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</si>
  <si>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</si>
  <si>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</si>
  <si>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</si>
  <si>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</si>
  <si>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</si>
  <si>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</si>
  <si>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</si>
  <si>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</si>
  <si>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</si>
  <si>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</si>
  <si>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</si>
  <si>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</si>
  <si>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</si>
  <si>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</si>
  <si>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</si>
  <si>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</si>
  <si>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</si>
  <si>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</si>
  <si>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</si>
  <si>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</si>
  <si>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</si>
  <si>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</si>
  <si>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</si>
  <si>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</si>
  <si>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</si>
  <si>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</si>
  <si>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</si>
  <si>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</si>
  <si>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</si>
  <si>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</si>
  <si>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</si>
  <si>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</si>
  <si>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</si>
  <si>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</si>
  <si>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</si>
  <si>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</si>
  <si>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</si>
  <si>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</si>
  <si>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</si>
  <si>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</si>
  <si>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</si>
  <si>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</si>
  <si>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</si>
  <si>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</si>
  <si>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</si>
  <si>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</si>
  <si>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</si>
  <si>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</si>
  <si>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</si>
  <si>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</si>
  <si>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</si>
  <si>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</si>
  <si>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</si>
  <si>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</si>
  <si>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</si>
  <si>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</si>
  <si>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</si>
  <si>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</si>
  <si>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</si>
  <si>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</si>
  <si>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</si>
  <si>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</si>
  <si>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</si>
  <si>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</si>
  <si>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</si>
  <si>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</si>
  <si>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</si>
  <si>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</si>
  <si>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</si>
  <si>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</si>
  <si>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</si>
  <si>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</si>
  <si>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</si>
  <si>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</si>
  <si>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</si>
  <si>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</si>
  <si>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</si>
  <si>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</si>
  <si>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</si>
  <si>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</si>
  <si>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</si>
  <si>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</si>
  <si>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</si>
  <si>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</si>
  <si>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</si>
  <si>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</si>
  <si>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</si>
  <si>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</si>
  <si>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</si>
  <si>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</si>
  <si>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</si>
  <si>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</si>
  <si>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</si>
  <si>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</si>
  <si>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</si>
  <si>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</si>
  <si>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</si>
  <si>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</si>
  <si>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</si>
  <si>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</si>
  <si>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</si>
  <si>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</si>
  <si>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</si>
  <si>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</si>
  <si>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</si>
  <si>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</si>
  <si>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</si>
  <si>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</si>
  <si>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</si>
  <si>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</si>
  <si>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</si>
  <si>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</si>
  <si>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</si>
  <si>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</si>
  <si>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</si>
  <si>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</si>
  <si>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</si>
  <si>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</si>
  <si>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</si>
  <si>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</si>
  <si>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</si>
  <si>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</si>
  <si>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</si>
  <si>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</si>
  <si>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</si>
  <si>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</si>
  <si>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</si>
  <si>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</si>
  <si>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</si>
  <si>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</si>
  <si>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</si>
  <si>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</si>
  <si>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</si>
  <si>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</si>
  <si>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</si>
  <si>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</si>
  <si>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</si>
  <si>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</si>
  <si>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</si>
  <si>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</si>
  <si>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</si>
  <si>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</si>
  <si>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</si>
  <si>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</si>
  <si>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</si>
  <si>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</si>
  <si>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</si>
  <si>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</si>
  <si>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</si>
  <si>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</si>
  <si>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</si>
  <si>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</si>
  <si>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</si>
  <si>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</si>
  <si>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</si>
  <si>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</si>
  <si>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</si>
  <si>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</si>
  <si>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</si>
  <si>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</si>
  <si>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</si>
  <si>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</si>
  <si>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</si>
  <si>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</si>
  <si>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</si>
  <si>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</si>
  <si>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</si>
  <si>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</si>
  <si>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</si>
  <si>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</si>
  <si>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</si>
  <si>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</si>
  <si>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</si>
  <si>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</si>
  <si>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</si>
  <si>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</si>
  <si>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</si>
  <si>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</si>
  <si>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</si>
  <si>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</si>
  <si>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</si>
  <si>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</si>
  <si>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</si>
  <si>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</si>
  <si>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</si>
  <si>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</si>
  <si>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</si>
  <si>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</si>
  <si>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</si>
  <si>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</si>
  <si>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</si>
  <si>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</si>
  <si>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</si>
  <si>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</si>
  <si>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</si>
  <si>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</si>
  <si>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</si>
  <si>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</si>
  <si>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</si>
  <si>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</si>
  <si>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</si>
  <si>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</si>
  <si>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</si>
  <si>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</si>
  <si>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</si>
  <si>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</si>
  <si>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</si>
  <si>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</si>
  <si>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</si>
  <si>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</si>
  <si>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</si>
  <si>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</si>
  <si>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</si>
  <si>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</si>
  <si>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</si>
  <si>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</si>
  <si>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</si>
  <si>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</si>
  <si>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</si>
  <si>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</si>
  <si>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</si>
  <si>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</si>
  <si>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</si>
  <si>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</si>
  <si>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</si>
  <si>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</si>
  <si>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</si>
  <si>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</si>
  <si>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</si>
  <si>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</si>
  <si>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</si>
  <si>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</si>
  <si>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</si>
  <si>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</si>
  <si>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</si>
  <si>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</si>
  <si>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</si>
  <si>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</si>
  <si>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</si>
  <si>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</si>
  <si>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</si>
  <si>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</si>
  <si>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</si>
  <si>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</si>
  <si>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</si>
  <si>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</si>
  <si>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</si>
  <si>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</si>
  <si>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</si>
  <si>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</si>
  <si>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</si>
  <si>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</si>
  <si>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</si>
  <si>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</si>
  <si>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</si>
  <si>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</si>
  <si>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</si>
  <si>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</si>
  <si>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</si>
  <si>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</si>
  <si>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</si>
  <si>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</si>
  <si>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</si>
  <si>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</si>
  <si>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</si>
  <si>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</si>
  <si>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</si>
  <si>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</si>
  <si>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</si>
  <si>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</si>
  <si>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</si>
  <si>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</si>
  <si>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</si>
  <si>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</si>
  <si>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</si>
  <si>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</si>
  <si>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</si>
  <si>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</si>
  <si>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</si>
  <si>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</si>
  <si>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</si>
  <si>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</si>
  <si>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</si>
  <si>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</si>
  <si>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</si>
  <si>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</si>
  <si>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</si>
  <si>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</si>
  <si>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</si>
  <si>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</si>
  <si>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</si>
  <si>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</si>
  <si>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</si>
  <si>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</si>
  <si>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</si>
  <si>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</si>
  <si>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</si>
  <si>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</si>
  <si>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</si>
  <si>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</si>
  <si>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</si>
  <si>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</si>
  <si>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</si>
  <si>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</si>
  <si>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</si>
  <si>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</si>
  <si>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</si>
  <si>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</si>
  <si>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</si>
  <si>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</si>
  <si>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</si>
  <si>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</si>
  <si>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</si>
  <si>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</si>
  <si>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</si>
  <si>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</si>
  <si>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</si>
  <si>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</si>
  <si>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</si>
  <si>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</si>
  <si>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</si>
  <si>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</si>
  <si>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</si>
  <si>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</si>
  <si>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</si>
  <si>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</si>
  <si>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</si>
  <si>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</si>
  <si>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</si>
  <si>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</si>
  <si>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</si>
  <si>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</si>
  <si>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</si>
  <si>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</si>
  <si>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</si>
  <si>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</si>
  <si>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</si>
  <si>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</si>
  <si>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</si>
  <si>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</si>
  <si>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</si>
  <si>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</si>
  <si>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</si>
  <si>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</si>
  <si>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</si>
  <si>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</si>
  <si>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</si>
  <si>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</si>
  <si>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</si>
  <si>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</si>
  <si>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</si>
  <si>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</si>
  <si>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</si>
  <si>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</si>
  <si>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</si>
  <si>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</si>
  <si>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</si>
  <si>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</si>
  <si>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</si>
  <si>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</si>
  <si>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</si>
  <si>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</si>
  <si>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</si>
  <si>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</si>
  <si>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</si>
  <si>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</si>
  <si>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</si>
  <si>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</si>
  <si>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</si>
  <si>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</si>
  <si>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</si>
  <si>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</si>
  <si>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</si>
  <si>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</si>
  <si>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</si>
  <si>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</si>
  <si>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</si>
  <si>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</si>
  <si>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</si>
  <si>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</si>
  <si>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</si>
  <si>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</si>
  <si>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</si>
  <si>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</si>
  <si>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</si>
  <si>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</si>
  <si>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</si>
  <si>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</si>
  <si>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</si>
  <si>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</si>
  <si>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</si>
  <si>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</si>
  <si>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</si>
  <si>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</si>
  <si>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</si>
  <si>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</si>
  <si>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</si>
  <si>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</si>
  <si>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</si>
  <si>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</si>
  <si>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</si>
  <si>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</si>
  <si>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</si>
  <si>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</si>
  <si>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</si>
  <si>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</si>
  <si>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</si>
  <si>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</si>
  <si>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</si>
  <si>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</si>
  <si>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</si>
  <si>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</si>
  <si>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</si>
  <si>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</si>
  <si>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</si>
  <si>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</si>
  <si>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</si>
  <si>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</si>
  <si>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</si>
  <si>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</si>
  <si>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</si>
  <si>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</si>
  <si>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</si>
  <si>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</si>
  <si>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</si>
  <si>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</si>
  <si>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</si>
  <si>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</si>
  <si>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</si>
  <si>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</si>
  <si>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</si>
  <si>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</si>
  <si>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</si>
  <si>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</si>
  <si>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</si>
  <si>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</si>
  <si>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</si>
  <si>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</si>
  <si>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</si>
  <si>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</si>
  <si>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</si>
  <si>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</si>
  <si>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</si>
  <si>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</si>
  <si>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</si>
  <si>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</si>
  <si>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</si>
  <si>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</si>
  <si>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</si>
  <si>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</si>
  <si>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</si>
  <si>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</si>
  <si>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</si>
  <si>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</si>
  <si>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</si>
  <si>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</si>
  <si>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</si>
  <si>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</si>
  <si>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</si>
  <si>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</si>
  <si>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</si>
  <si>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</si>
  <si>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</si>
  <si>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</si>
  <si>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</si>
  <si>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</si>
  <si>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</si>
  <si>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</si>
  <si>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</si>
  <si>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</si>
  <si>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</si>
  <si>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</si>
  <si>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</si>
  <si>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</si>
  <si>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</si>
  <si>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</si>
  <si>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</si>
  <si>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</si>
  <si>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</si>
  <si>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</si>
  <si>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</si>
  <si>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</si>
  <si>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</si>
  <si>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</si>
  <si>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</si>
  <si>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</si>
  <si>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</si>
  <si>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</si>
  <si>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</si>
  <si>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</si>
  <si>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</si>
  <si>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</si>
  <si>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</si>
  <si>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</si>
  <si>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</si>
  <si>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</si>
  <si>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</si>
  <si>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</si>
  <si>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</si>
  <si>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</si>
  <si>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</si>
  <si>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</si>
  <si>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</si>
  <si>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</si>
  <si>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</si>
  <si>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</si>
  <si>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</si>
  <si>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</si>
  <si>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</si>
  <si>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</si>
  <si>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</si>
  <si>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</si>
  <si>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</si>
  <si>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</si>
  <si>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</si>
  <si>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</si>
  <si>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</si>
  <si>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</si>
  <si>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</si>
  <si>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</si>
  <si>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</si>
  <si>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</si>
  <si>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</si>
  <si>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</si>
  <si>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</si>
  <si>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</si>
  <si>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</si>
  <si>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</si>
  <si>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</si>
  <si>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</si>
  <si>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</si>
  <si>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</si>
  <si>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</si>
  <si>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</si>
  <si>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</si>
  <si>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</si>
  <si>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</si>
  <si>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</si>
  <si>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</si>
  <si>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</si>
  <si>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</si>
  <si>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</si>
  <si>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</si>
  <si>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</si>
  <si>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</si>
  <si>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</si>
  <si>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</si>
  <si>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</si>
  <si>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</si>
  <si>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</si>
  <si>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</si>
  <si>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</si>
  <si>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</si>
  <si>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</si>
  <si>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</si>
  <si>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</si>
  <si>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</si>
  <si>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</si>
  <si>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</si>
  <si>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</si>
  <si>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</si>
  <si>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</si>
  <si>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</si>
  <si>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</si>
  <si>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</si>
  <si>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</si>
  <si>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</si>
  <si>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</si>
  <si>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</si>
  <si>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</si>
  <si>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</si>
  <si>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</si>
  <si>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</si>
  <si>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</si>
  <si>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</si>
  <si>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</si>
  <si>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</si>
  <si>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</si>
  <si>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</si>
  <si>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</si>
  <si>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</si>
  <si>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</si>
  <si>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</si>
  <si>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</si>
  <si>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</si>
  <si>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</si>
  <si>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</si>
  <si>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</si>
  <si>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</si>
  <si>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</si>
  <si>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</si>
  <si>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</si>
  <si>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</si>
  <si>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</si>
  <si>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</si>
  <si>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</si>
  <si>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</si>
  <si>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</si>
  <si>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</si>
  <si>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</si>
  <si>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</si>
  <si>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</si>
  <si>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</si>
  <si>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</si>
  <si>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</si>
  <si>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</si>
  <si>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</si>
  <si>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</si>
  <si>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</si>
  <si>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</si>
  <si>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</si>
  <si>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</si>
  <si>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</si>
  <si>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</si>
  <si>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</si>
  <si>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</si>
  <si>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</si>
  <si>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</si>
  <si>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</si>
  <si>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</si>
  <si>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</si>
  <si>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</si>
  <si>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</si>
  <si>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</si>
  <si>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</si>
  <si>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</si>
  <si>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</si>
  <si>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</si>
  <si>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</si>
  <si>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</si>
  <si>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</si>
  <si>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</si>
  <si>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</si>
  <si>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</si>
  <si>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</si>
  <si>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</si>
  <si>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</si>
  <si>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</si>
  <si>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</si>
  <si>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</si>
  <si>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</si>
  <si>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</si>
  <si>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</si>
  <si>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</si>
  <si>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</si>
  <si>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</si>
  <si>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</si>
  <si>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</si>
  <si>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</si>
  <si>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</si>
  <si>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</si>
  <si>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</si>
  <si>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</si>
  <si>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</si>
  <si>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</si>
  <si>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</si>
  <si>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</si>
  <si>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</si>
  <si>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</si>
  <si>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</si>
  <si>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</si>
  <si>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</si>
  <si>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</si>
  <si>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</si>
  <si>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</si>
  <si>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</si>
  <si>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</si>
  <si>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</si>
  <si>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</si>
  <si>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</si>
  <si>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</si>
  <si>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</si>
  <si>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</si>
  <si>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</si>
  <si>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</si>
  <si>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</si>
  <si>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</si>
  <si>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</si>
  <si>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</si>
  <si>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</si>
  <si>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</si>
  <si>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</si>
  <si>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</si>
  <si>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</si>
  <si>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</si>
  <si>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</si>
  <si>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</si>
  <si>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</si>
  <si>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</si>
  <si>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</si>
  <si>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</si>
  <si>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</si>
  <si>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</si>
  <si>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</si>
  <si>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</si>
  <si>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</si>
  <si>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</si>
  <si>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</si>
  <si>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</si>
  <si>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</si>
  <si>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</si>
  <si>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</si>
  <si>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</si>
  <si>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</si>
  <si>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</si>
  <si>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</si>
  <si>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</si>
  <si>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</si>
  <si>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</si>
  <si>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</si>
  <si>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</si>
  <si>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</si>
  <si>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</si>
  <si>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</si>
  <si>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</si>
  <si>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</si>
  <si>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</si>
  <si>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</si>
  <si>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</si>
  <si>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</si>
  <si>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</si>
  <si>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</si>
  <si>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</si>
  <si>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</si>
  <si>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</si>
  <si>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</si>
  <si>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</si>
  <si>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</si>
  <si>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</si>
  <si>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</si>
  <si>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</si>
  <si>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</si>
  <si>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</si>
  <si>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</si>
  <si>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</si>
  <si>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</si>
  <si>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</si>
  <si>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</si>
  <si>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</si>
  <si>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</si>
  <si>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</si>
  <si>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</si>
  <si>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</si>
  <si>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</si>
  <si>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</si>
  <si>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</si>
  <si>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</si>
  <si>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</si>
  <si>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</si>
  <si>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</si>
  <si>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</si>
  <si>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</si>
  <si>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</si>
  <si>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</si>
  <si>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</si>
  <si>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</si>
  <si>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</si>
  <si>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</si>
  <si>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</si>
  <si>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</si>
  <si>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</si>
  <si>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</si>
  <si>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</si>
  <si>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</si>
  <si>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</si>
  <si>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</si>
  <si>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</si>
  <si>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</si>
  <si>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</si>
  <si>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</si>
  <si>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</si>
  <si>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</si>
  <si>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</si>
  <si>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</si>
  <si>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</si>
  <si>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</si>
  <si>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</si>
  <si>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</si>
  <si>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</si>
  <si>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</si>
  <si>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</si>
  <si>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</si>
  <si>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</si>
  <si>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</si>
  <si>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</si>
  <si>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</si>
  <si>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</si>
  <si>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</si>
  <si>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</si>
  <si>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</si>
  <si>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</si>
  <si>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</si>
  <si>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</si>
  <si>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</si>
  <si>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</si>
  <si>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</si>
  <si>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</si>
  <si>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</si>
  <si>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</si>
  <si>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</si>
  <si>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</si>
  <si>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</si>
  <si>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</si>
  <si>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</si>
  <si>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</si>
  <si>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</si>
  <si>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</si>
  <si>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</si>
  <si>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</si>
  <si>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</si>
  <si>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</si>
  <si>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</si>
  <si>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</si>
  <si>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</si>
  <si>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</si>
  <si>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</si>
  <si>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</si>
  <si>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</si>
  <si>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</si>
  <si>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</si>
  <si>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</si>
  <si>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</si>
  <si>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</si>
  <si>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</si>
  <si>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</si>
  <si>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</si>
  <si>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</si>
  <si>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</si>
  <si>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</si>
  <si>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</si>
  <si>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</si>
  <si>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</si>
  <si>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</si>
  <si>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</si>
  <si>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</si>
  <si>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</si>
  <si>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</si>
  <si>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</si>
  <si>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</si>
  <si>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</si>
  <si>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</si>
  <si>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</si>
  <si>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</si>
  <si>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</si>
  <si>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</si>
  <si>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</si>
  <si>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</si>
  <si>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</si>
  <si>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</si>
  <si>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</si>
  <si>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</si>
  <si>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</si>
  <si>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</si>
  <si>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</si>
  <si>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</si>
  <si>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</si>
  <si>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</si>
  <si>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</si>
  <si>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</si>
  <si>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</si>
  <si>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</si>
  <si>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</si>
  <si>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</si>
  <si>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</si>
  <si>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</si>
  <si>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</si>
  <si>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</si>
  <si>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</si>
  <si>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</si>
  <si>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</si>
  <si>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</si>
  <si>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</si>
  <si>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</si>
  <si>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</si>
  <si>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</si>
  <si>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</si>
  <si>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</si>
  <si>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</si>
  <si>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</si>
  <si>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</si>
  <si>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</si>
  <si>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</si>
  <si>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</si>
  <si>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</si>
  <si>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</si>
  <si>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</si>
  <si>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</si>
  <si>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</si>
  <si>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</si>
  <si>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</si>
  <si>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</si>
  <si>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</si>
  <si>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</si>
  <si>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</si>
  <si>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</si>
  <si>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</si>
  <si>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</si>
  <si>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</si>
  <si>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</si>
  <si>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</si>
  <si>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</si>
  <si>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</si>
  <si>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</si>
  <si>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</si>
  <si>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</si>
  <si>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</si>
  <si>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</si>
  <si>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</si>
  <si>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</si>
  <si>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</si>
  <si>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</si>
  <si>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</si>
  <si>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</si>
  <si>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</si>
  <si>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</si>
  <si>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</si>
  <si>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</si>
  <si>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</si>
  <si>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</si>
  <si>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</si>
  <si>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</si>
  <si>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</si>
  <si>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</si>
  <si>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</si>
  <si>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</si>
  <si>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</si>
  <si>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</si>
  <si>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</si>
  <si>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</si>
  <si>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</si>
  <si>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</si>
  <si>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</si>
  <si>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</si>
  <si>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</si>
  <si>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</si>
  <si>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</si>
  <si>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</si>
  <si>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</si>
  <si>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</si>
  <si>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</si>
  <si>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</si>
  <si>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</si>
  <si>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</si>
  <si>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</si>
  <si>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</si>
  <si>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</si>
  <si>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</si>
  <si>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</si>
  <si>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</si>
  <si>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</si>
  <si>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</si>
  <si>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</si>
  <si>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</si>
  <si>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</si>
  <si>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</si>
  <si>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</si>
  <si>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</si>
  <si>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</si>
  <si>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</si>
  <si>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</si>
  <si>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</si>
  <si>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</si>
  <si>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</si>
  <si>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</si>
  <si>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</si>
  <si>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</si>
  <si>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</si>
  <si>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</si>
  <si>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</si>
  <si>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</si>
  <si>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</si>
  <si>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</si>
  <si>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</si>
  <si>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</si>
  <si>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</si>
  <si>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</si>
  <si>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</si>
  <si>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</si>
  <si>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</si>
  <si>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</si>
  <si>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</si>
  <si>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</si>
  <si>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</si>
  <si>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</si>
  <si>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</si>
  <si>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</si>
  <si>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</si>
  <si>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</si>
  <si>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</si>
  <si>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</si>
  <si>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</si>
  <si>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</si>
  <si>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</si>
  <si>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</si>
  <si>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</si>
  <si>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</si>
  <si>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</si>
  <si>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</si>
  <si>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</si>
  <si>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</si>
  <si>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</si>
  <si>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</si>
  <si>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</si>
  <si>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</si>
  <si>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</si>
  <si>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</si>
  <si>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</si>
  <si>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</si>
  <si>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</si>
  <si>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</si>
  <si>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</si>
  <si>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</si>
  <si>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</si>
  <si>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</si>
  <si>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</si>
  <si>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</si>
  <si>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</si>
  <si>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</si>
  <si>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</si>
  <si>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</si>
  <si>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</si>
  <si>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</si>
  <si>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</si>
  <si>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</si>
  <si>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</si>
  <si>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</si>
  <si>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</si>
  <si>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</si>
  <si>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</si>
  <si>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</si>
  <si>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</si>
  <si>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</si>
  <si>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</si>
  <si>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</si>
  <si>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</si>
  <si>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</si>
  <si>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</si>
  <si>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</si>
  <si>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</si>
  <si>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</si>
  <si>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</si>
  <si>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</si>
  <si>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</si>
  <si>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</si>
  <si>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</si>
  <si>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</si>
  <si>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</si>
  <si>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</si>
  <si>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</si>
  <si>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</si>
  <si>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</si>
  <si>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</si>
  <si>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</si>
  <si>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</si>
  <si>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</si>
  <si>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</si>
  <si>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</si>
  <si>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</si>
  <si>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</si>
  <si>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</si>
  <si>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</si>
  <si>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</si>
  <si>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</si>
  <si>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</si>
  <si>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</si>
  <si>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</si>
  <si>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</si>
  <si>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</si>
  <si>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</si>
  <si>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</si>
  <si>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</si>
  <si>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</si>
  <si>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</si>
  <si>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</si>
  <si>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</si>
  <si>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</si>
  <si>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</si>
  <si>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</si>
  <si>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</si>
  <si>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</si>
  <si>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</si>
  <si>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</si>
  <si>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</si>
  <si>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</si>
  <si>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</si>
  <si>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</si>
  <si>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</si>
  <si>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</si>
  <si>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</si>
  <si>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</si>
  <si>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</si>
  <si>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</si>
  <si>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</si>
  <si>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</si>
  <si>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</si>
  <si>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</si>
  <si>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</si>
  <si>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</si>
  <si>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</si>
  <si>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</si>
  <si>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</si>
  <si>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</si>
  <si>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</si>
  <si>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</si>
  <si>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</si>
  <si>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</si>
  <si>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</si>
  <si>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</si>
  <si>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</si>
  <si>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</si>
  <si>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</si>
  <si>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</si>
  <si>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</si>
  <si>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</si>
  <si>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</si>
  <si>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</si>
  <si>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</si>
  <si>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</si>
  <si>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</si>
  <si>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</si>
  <si>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</si>
  <si>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</si>
  <si>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</si>
  <si>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</si>
  <si>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</si>
  <si>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</si>
  <si>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</si>
  <si>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</si>
  <si>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</si>
  <si>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</si>
  <si>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</si>
  <si>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</si>
  <si>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</si>
  <si>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</si>
  <si>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</si>
  <si>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</si>
  <si>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</si>
  <si>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</si>
  <si>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</si>
  <si>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</si>
  <si>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</si>
  <si>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</si>
  <si>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</si>
  <si>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</si>
  <si>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</si>
  <si>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</si>
  <si>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</si>
  <si>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</si>
  <si>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</si>
  <si>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</si>
  <si>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</si>
  <si>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</si>
  <si>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</si>
  <si>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</si>
  <si>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</si>
  <si>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</si>
  <si>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</si>
  <si>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</si>
  <si>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</si>
  <si>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</si>
  <si>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</si>
  <si>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</si>
  <si>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</si>
  <si>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</si>
  <si>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</si>
  <si>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</si>
  <si>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</si>
  <si>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</si>
  <si>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</si>
  <si>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</si>
  <si>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</si>
  <si>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</si>
  <si>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</si>
  <si>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</si>
  <si>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</si>
  <si>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</si>
  <si>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</si>
  <si>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</si>
  <si>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</si>
  <si>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</si>
  <si>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</si>
  <si>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</si>
  <si>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</si>
  <si>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</si>
  <si>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</si>
  <si>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</si>
  <si>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</si>
  <si>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</si>
  <si>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</si>
  <si>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</si>
  <si>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</si>
  <si>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</si>
  <si>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</si>
  <si>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</si>
  <si>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</si>
  <si>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</si>
  <si>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</si>
  <si>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</si>
  <si>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</si>
  <si>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</si>
  <si>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</si>
  <si>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</si>
  <si>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</si>
  <si>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</si>
  <si>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</si>
  <si>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</si>
  <si>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</si>
  <si>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</si>
  <si>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</si>
  <si>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</si>
  <si>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</si>
  <si>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</si>
  <si>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</si>
  <si>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</si>
  <si>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</si>
  <si>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</si>
  <si>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</si>
  <si>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</si>
  <si>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</si>
  <si>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</si>
  <si>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</si>
  <si>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</si>
  <si>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</si>
  <si>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</si>
  <si>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</si>
  <si>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</si>
  <si>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</si>
  <si>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</si>
  <si>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</si>
  <si>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</si>
  <si>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</si>
  <si>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</si>
  <si>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</si>
  <si>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</si>
  <si>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</si>
  <si>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</si>
  <si>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</si>
  <si>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</si>
  <si>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</si>
  <si>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</si>
  <si>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</si>
  <si>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</si>
  <si>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</si>
  <si>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</si>
  <si>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</si>
  <si>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</si>
  <si>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</si>
  <si>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</si>
  <si>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</si>
  <si>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</si>
  <si>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</si>
  <si>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</si>
  <si>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</si>
  <si>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</si>
  <si>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</si>
  <si>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</si>
  <si>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</si>
  <si>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</si>
  <si>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</si>
  <si>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</si>
  <si>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</si>
  <si>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</si>
  <si>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</si>
  <si>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</si>
  <si>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</si>
  <si>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</si>
  <si>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</si>
  <si>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</si>
  <si>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</si>
  <si>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</si>
  <si>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</si>
  <si>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</si>
  <si>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</si>
  <si>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</si>
  <si>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</si>
  <si>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</si>
  <si>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</si>
  <si>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</si>
  <si>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</si>
  <si>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</si>
  <si>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</si>
  <si>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</si>
  <si>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</si>
  <si>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</si>
  <si>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</si>
  <si>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</si>
  <si>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</si>
  <si>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</si>
  <si>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</si>
  <si>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</si>
  <si>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</si>
  <si>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</si>
  <si>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</si>
  <si>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</si>
  <si>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</si>
  <si>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</si>
  <si>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</si>
  <si>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</si>
  <si>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</si>
  <si>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</si>
  <si>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</si>
  <si>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</si>
  <si>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</si>
  <si>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</si>
  <si>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</si>
  <si>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</si>
  <si>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</si>
  <si>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</si>
  <si>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</si>
  <si>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</si>
  <si>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</si>
  <si>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</si>
  <si>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</si>
  <si>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</si>
  <si>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</si>
  <si>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</si>
  <si>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</si>
  <si>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</si>
  <si>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</si>
  <si>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</si>
  <si>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</si>
  <si>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</si>
  <si>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</si>
  <si>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</si>
  <si>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</si>
  <si>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</si>
  <si>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</si>
  <si>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</si>
  <si>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</si>
  <si>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</si>
  <si>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</si>
  <si>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</si>
  <si>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</si>
  <si>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</si>
  <si>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</si>
  <si>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</si>
  <si>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</si>
  <si>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</si>
  <si>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</si>
  <si>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</si>
  <si>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</si>
  <si>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</si>
  <si>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</si>
  <si>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</si>
  <si>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</si>
  <si>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</si>
  <si>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</si>
  <si>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</si>
  <si>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</si>
  <si>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</si>
  <si>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</si>
  <si>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</si>
  <si>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</si>
  <si>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</si>
  <si>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</si>
  <si>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</si>
  <si>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</si>
  <si>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</si>
  <si>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</si>
  <si>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</si>
  <si>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</si>
  <si>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</si>
  <si>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</si>
  <si>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</si>
  <si>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</si>
  <si>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</si>
  <si>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</si>
  <si>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</si>
  <si>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</si>
  <si>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</si>
  <si>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</si>
  <si>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</si>
  <si>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</si>
  <si>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</si>
  <si>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</si>
  <si>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</si>
  <si>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</si>
  <si>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</si>
  <si>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</si>
  <si>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</si>
  <si>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</si>
  <si>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</si>
  <si>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</si>
  <si>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</si>
  <si>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</si>
  <si>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</si>
  <si>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</si>
  <si>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</si>
  <si>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</si>
  <si>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</si>
  <si>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</si>
  <si>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</si>
  <si>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</si>
  <si>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</si>
  <si>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</si>
  <si>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</si>
  <si>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</si>
  <si>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</si>
  <si>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</si>
  <si>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</si>
  <si>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</si>
  <si>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</si>
  <si>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</si>
  <si>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</si>
  <si>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</si>
  <si>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</si>
  <si>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</si>
  <si>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</si>
  <si>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</si>
  <si>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</si>
  <si>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</si>
  <si>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</si>
  <si>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</si>
  <si>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</si>
  <si>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</si>
  <si>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</si>
  <si>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</si>
  <si>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</si>
  <si>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</si>
  <si>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</si>
  <si>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</si>
  <si>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</si>
  <si>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</si>
  <si>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</si>
  <si>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</si>
  <si>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</si>
  <si>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</si>
  <si>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</si>
  <si>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</si>
  <si>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</si>
  <si>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</si>
  <si>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</si>
  <si>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</si>
  <si>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</si>
  <si>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</si>
  <si>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</si>
  <si>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</si>
  <si>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</si>
  <si>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</si>
  <si>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</si>
  <si>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</si>
  <si>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</si>
  <si>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</si>
  <si>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</si>
  <si>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</si>
  <si>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</si>
  <si>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</si>
  <si>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</si>
  <si>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</si>
  <si>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</si>
  <si>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</si>
  <si>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</si>
  <si>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</si>
  <si>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</si>
  <si>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</si>
  <si>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</si>
  <si>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</si>
  <si>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</si>
  <si>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</si>
  <si>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</si>
  <si>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</si>
  <si>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</si>
  <si>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</si>
  <si>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</si>
  <si>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</si>
  <si>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</si>
  <si>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</si>
  <si>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</si>
  <si>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</si>
  <si>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</si>
  <si>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</si>
  <si>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</si>
  <si>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</si>
  <si>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</si>
  <si>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</si>
  <si>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</si>
  <si>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</si>
  <si>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</si>
  <si>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</si>
  <si>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</si>
  <si>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</si>
  <si>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</si>
  <si>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</si>
  <si>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</si>
  <si>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</si>
  <si>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</si>
  <si>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</si>
  <si>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</si>
  <si>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</si>
  <si>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</si>
  <si>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</si>
  <si>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</si>
  <si>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</si>
  <si>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</si>
  <si>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</si>
  <si>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</si>
  <si>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</si>
  <si>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</si>
  <si>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</si>
  <si>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</si>
  <si>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</si>
  <si>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</si>
  <si>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</si>
  <si>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</si>
  <si>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</si>
  <si>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</si>
  <si>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</si>
  <si>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</si>
  <si>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</si>
  <si>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</si>
  <si>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</si>
  <si>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</si>
  <si>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</si>
  <si>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</si>
  <si>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</si>
  <si>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</si>
  <si>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</si>
  <si>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</si>
  <si>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</si>
  <si>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</si>
  <si>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</si>
  <si>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</si>
  <si>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</si>
  <si>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</si>
  <si>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</si>
  <si>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</si>
  <si>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</si>
  <si>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</si>
  <si>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</si>
  <si>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</si>
  <si>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</si>
  <si>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</si>
  <si>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</si>
  <si>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</si>
  <si>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</si>
  <si>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</si>
  <si>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</si>
  <si>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</si>
  <si>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</si>
  <si>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</si>
  <si>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</si>
  <si>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</si>
  <si>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</si>
  <si>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</si>
  <si>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</si>
  <si>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</si>
  <si>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</si>
  <si>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</si>
  <si>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</si>
  <si>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</si>
  <si>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</si>
  <si>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</si>
  <si>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</si>
  <si>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</si>
  <si>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</si>
  <si>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</si>
  <si>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</si>
  <si>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</si>
  <si>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</si>
  <si>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</si>
  <si>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</si>
  <si>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</si>
  <si>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</si>
  <si>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</si>
  <si>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</si>
  <si>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</si>
  <si>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</si>
  <si>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</si>
  <si>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</si>
  <si>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</si>
  <si>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</si>
  <si>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</si>
  <si>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</si>
  <si>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</si>
  <si>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</si>
  <si>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</si>
  <si>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</si>
  <si>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</si>
  <si>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</si>
  <si>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</si>
  <si>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</si>
  <si>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</si>
  <si>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</si>
  <si>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</si>
  <si>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</si>
  <si>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</si>
  <si>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</si>
  <si>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</si>
  <si>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</si>
  <si>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</si>
  <si>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</si>
  <si>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</si>
  <si>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</si>
  <si>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</si>
  <si>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</si>
  <si>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</si>
  <si>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</si>
  <si>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</si>
  <si>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</si>
  <si>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</si>
  <si>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</si>
  <si>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</si>
  <si>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</si>
  <si>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</si>
  <si>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</si>
  <si>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</si>
  <si>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</si>
  <si>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</si>
  <si>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</si>
  <si>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</si>
  <si>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</si>
  <si>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</si>
  <si>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</si>
  <si>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</si>
  <si>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</si>
  <si>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</si>
  <si>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</si>
  <si>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</si>
  <si>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</si>
  <si>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</si>
  <si>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</si>
  <si>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</si>
  <si>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</si>
  <si>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</si>
  <si>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</si>
  <si>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</si>
  <si>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</si>
  <si>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</si>
  <si>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</si>
  <si>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</si>
  <si>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</si>
  <si>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</si>
  <si>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</si>
  <si>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</si>
  <si>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</si>
  <si>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</si>
  <si>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</si>
  <si>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</si>
  <si>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</si>
  <si>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</si>
  <si>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</si>
  <si>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</si>
  <si>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</si>
  <si>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</si>
  <si>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</si>
  <si>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</si>
  <si>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</si>
  <si>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</si>
  <si>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</si>
  <si>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</si>
  <si>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</si>
  <si>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</si>
  <si>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</si>
  <si>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</si>
  <si>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</si>
  <si>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</si>
  <si>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</si>
  <si>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</si>
  <si>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</si>
  <si>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</si>
  <si>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</si>
  <si>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</si>
  <si>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</si>
  <si>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</si>
  <si>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</si>
  <si>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</si>
  <si>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</si>
  <si>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</si>
  <si>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</si>
  <si>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</si>
  <si>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</si>
  <si>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</si>
  <si>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</si>
  <si>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</si>
  <si>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</si>
  <si>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</si>
  <si>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</si>
  <si>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</si>
  <si>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</si>
  <si>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</si>
  <si>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</si>
  <si>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</si>
  <si>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</si>
  <si>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</si>
  <si>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</si>
  <si>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</si>
  <si>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</si>
  <si>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</si>
  <si>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</si>
  <si>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</si>
  <si>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</si>
  <si>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</si>
  <si>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</si>
  <si>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</si>
  <si>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</si>
  <si>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</si>
  <si>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</si>
  <si>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</si>
  <si>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</si>
  <si>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</si>
  <si>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</si>
  <si>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</si>
  <si>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</si>
  <si>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</si>
  <si>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</si>
  <si>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</si>
  <si>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</si>
  <si>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</si>
  <si>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</si>
  <si>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</si>
  <si>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</si>
  <si>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</si>
  <si>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</si>
  <si>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</si>
  <si>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</si>
  <si>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</si>
  <si>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</si>
  <si>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</si>
  <si>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</si>
  <si>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</si>
  <si>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</si>
  <si>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</si>
  <si>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</si>
  <si>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</si>
  <si>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</si>
  <si>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</si>
  <si>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</si>
  <si>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</si>
  <si>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</si>
  <si>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</si>
  <si>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</si>
  <si>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</si>
  <si>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</si>
  <si>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</si>
  <si>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</si>
  <si>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</si>
  <si>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</si>
  <si>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</si>
  <si>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</si>
  <si>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</si>
  <si>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</si>
  <si>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</si>
  <si>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</si>
  <si>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</si>
  <si>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</si>
  <si>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</si>
  <si>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</si>
  <si>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</si>
  <si>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</si>
  <si>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</si>
  <si>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</si>
  <si>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</si>
  <si>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</si>
  <si>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</si>
  <si>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</si>
  <si>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</si>
  <si>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</si>
  <si>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</si>
  <si>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</si>
  <si>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</si>
  <si>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</si>
  <si>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</si>
  <si>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</si>
  <si>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</si>
  <si>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</si>
  <si>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</si>
  <si>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</si>
  <si>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</si>
  <si>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</si>
  <si>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</si>
  <si>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</si>
  <si>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</si>
  <si>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</si>
  <si>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</si>
  <si>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</si>
  <si>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</si>
  <si>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</si>
  <si>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</si>
  <si>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</si>
  <si>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</si>
  <si>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</si>
  <si>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</si>
  <si>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</si>
  <si>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</si>
  <si>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</si>
  <si>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</si>
  <si>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</si>
  <si>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</si>
  <si>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</si>
  <si>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</si>
  <si>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</si>
  <si>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</si>
  <si>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</si>
  <si>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</si>
  <si>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</si>
  <si>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</si>
  <si>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</si>
  <si>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</si>
  <si>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</si>
  <si>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</si>
  <si>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</si>
  <si>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</si>
  <si>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</si>
  <si>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</si>
  <si>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</si>
  <si>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</si>
  <si>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</si>
  <si>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</si>
  <si>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</si>
  <si>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</si>
  <si>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</si>
  <si>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</si>
  <si>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</si>
  <si>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</si>
  <si>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</si>
  <si>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</si>
  <si>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</si>
  <si>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</si>
  <si>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</si>
  <si>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</si>
  <si>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</si>
  <si>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</si>
  <si>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</si>
  <si>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</si>
  <si>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</si>
  <si>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</si>
  <si>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</si>
  <si>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</si>
  <si>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</si>
  <si>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</si>
  <si>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</si>
  <si>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</si>
  <si>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</si>
  <si>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</si>
  <si>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</si>
  <si>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</si>
  <si>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</si>
  <si>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</si>
  <si>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</si>
  <si>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</si>
  <si>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</si>
  <si>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</si>
  <si>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</si>
  <si>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</si>
  <si>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</si>
  <si>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</si>
  <si>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</si>
  <si>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</si>
  <si>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</si>
  <si>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</si>
  <si>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</si>
  <si>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</si>
  <si>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</si>
  <si>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</si>
  <si>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</si>
  <si>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</si>
  <si>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</si>
  <si>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</si>
  <si>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</si>
  <si>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</si>
  <si>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</si>
  <si>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</si>
  <si>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</si>
  <si>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</si>
  <si>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</si>
  <si>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</si>
  <si>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</si>
  <si>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</si>
  <si>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</si>
  <si>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</si>
  <si>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</si>
  <si>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</si>
  <si>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</si>
  <si>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</si>
  <si>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</si>
  <si>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</si>
  <si>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</si>
  <si>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</si>
  <si>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</si>
  <si>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</si>
  <si>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</si>
  <si>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</si>
  <si>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</si>
  <si>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</si>
  <si>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</si>
  <si>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</si>
  <si>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</si>
  <si>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</si>
  <si>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</si>
  <si>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</si>
  <si>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</si>
  <si>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</si>
  <si>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</si>
  <si>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</si>
  <si>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</si>
  <si>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</si>
  <si>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</si>
  <si>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</si>
  <si>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</si>
  <si>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</si>
  <si>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</si>
  <si>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</si>
  <si>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</si>
  <si>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</si>
  <si>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</si>
  <si>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</si>
  <si>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</si>
  <si>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</si>
  <si>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</si>
  <si>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</si>
  <si>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</si>
  <si>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</si>
  <si>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</si>
  <si>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</si>
  <si>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</si>
  <si>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</si>
  <si>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</si>
  <si>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</si>
  <si>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</si>
  <si>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</si>
  <si>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</si>
  <si>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</si>
  <si>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</si>
  <si>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</si>
  <si>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</si>
  <si>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</si>
  <si>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</si>
  <si>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</si>
  <si>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</si>
  <si>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</si>
  <si>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</si>
  <si>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</si>
  <si>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</si>
  <si>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</si>
  <si>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</si>
  <si>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</si>
  <si>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</si>
  <si>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</si>
  <si>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</si>
  <si>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</si>
  <si>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</si>
  <si>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</si>
  <si>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</si>
  <si>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</si>
  <si>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</si>
  <si>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</si>
  <si>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</si>
  <si>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</si>
  <si>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</si>
  <si>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</si>
  <si>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</si>
  <si>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</si>
  <si>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</si>
  <si>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</si>
  <si>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</si>
  <si>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</si>
  <si>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</si>
  <si>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</si>
  <si>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</si>
  <si>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</si>
  <si>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</si>
  <si>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</si>
  <si>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</si>
  <si>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</si>
  <si>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</si>
  <si>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</si>
  <si>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</si>
  <si>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</si>
  <si>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</si>
  <si>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</si>
  <si>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</si>
  <si>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</si>
  <si>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</si>
  <si>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</si>
  <si>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</si>
  <si>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</si>
  <si>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</si>
  <si>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</si>
  <si>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</si>
  <si>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</si>
  <si>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</si>
  <si>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</si>
  <si>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</si>
  <si>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</si>
  <si>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</si>
  <si>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</si>
  <si>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</si>
  <si>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</si>
  <si>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</si>
  <si>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</si>
  <si>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</si>
  <si>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</si>
  <si>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</si>
  <si>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</si>
  <si>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</si>
  <si>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</si>
  <si>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</si>
  <si>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</si>
  <si>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</si>
  <si>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</si>
  <si>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</si>
  <si>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</si>
  <si>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</si>
  <si>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</si>
  <si>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</si>
  <si>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</si>
  <si>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</si>
  <si>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</si>
  <si>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</si>
  <si>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</si>
  <si>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</si>
  <si>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</si>
  <si>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</si>
  <si>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</si>
  <si>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</si>
  <si>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</si>
  <si>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</si>
  <si>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</si>
  <si>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</si>
  <si>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</si>
  <si>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</si>
  <si>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</si>
  <si>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</si>
  <si>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</si>
  <si>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</si>
  <si>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</si>
  <si>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</si>
  <si>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</si>
  <si>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</si>
  <si>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</si>
  <si>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</si>
  <si>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</si>
  <si>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</si>
  <si>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</si>
  <si>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</si>
  <si>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</si>
  <si>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</si>
  <si>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</si>
  <si>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</si>
  <si>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</si>
  <si>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</si>
  <si>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</si>
  <si>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</si>
  <si>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</si>
  <si>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</si>
  <si>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</si>
  <si>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</si>
  <si>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</si>
  <si>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</si>
  <si>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</si>
  <si>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</si>
  <si>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</si>
  <si>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</si>
  <si>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</si>
  <si>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</si>
  <si>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</si>
  <si>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</si>
  <si>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</si>
  <si>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</si>
  <si>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</si>
  <si>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</si>
  <si>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</si>
  <si>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</si>
  <si>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</si>
  <si>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</si>
  <si>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</si>
  <si>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</si>
  <si>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</si>
  <si>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</si>
  <si>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</si>
  <si>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</si>
  <si>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</si>
  <si>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</si>
  <si>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</si>
  <si>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</si>
  <si>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</si>
  <si>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</si>
  <si>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</si>
  <si>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</si>
  <si>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</si>
  <si>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</si>
  <si>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</si>
  <si>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</si>
  <si>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</si>
  <si>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</si>
  <si>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</si>
  <si>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</si>
  <si>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</si>
  <si>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</si>
  <si>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</si>
  <si>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</si>
  <si>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</si>
  <si>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</si>
  <si>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</si>
  <si>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</si>
  <si>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</si>
  <si>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</si>
  <si>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</si>
  <si>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</si>
  <si>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</si>
  <si>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</si>
  <si>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</si>
  <si>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</si>
  <si>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</si>
  <si>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</si>
  <si>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</si>
  <si>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</si>
  <si>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</si>
  <si>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</si>
  <si>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</si>
  <si>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</si>
  <si>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</si>
  <si>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</si>
  <si>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</si>
  <si>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</si>
  <si>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</si>
  <si>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</si>
  <si>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</si>
  <si>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</si>
  <si>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</si>
  <si>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</si>
  <si>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</si>
  <si>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</si>
  <si>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</si>
  <si>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</si>
  <si>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</si>
  <si>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</si>
  <si>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</si>
  <si>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</si>
  <si>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</si>
  <si>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</si>
  <si>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</si>
  <si>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</si>
  <si>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</si>
  <si>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</si>
  <si>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</si>
  <si>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</si>
  <si>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</si>
  <si>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</si>
  <si>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</si>
  <si>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</si>
  <si>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</si>
  <si>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</si>
  <si>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</si>
  <si>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</si>
  <si>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</si>
  <si>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</si>
  <si>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</si>
  <si>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</si>
  <si>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</si>
  <si>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</si>
  <si>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</si>
  <si>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</si>
  <si>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</si>
  <si>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</si>
  <si>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</si>
  <si>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</si>
  <si>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</si>
  <si>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</si>
  <si>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</si>
  <si>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</si>
  <si>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</si>
  <si>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</si>
  <si>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</si>
  <si>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</si>
  <si>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</si>
  <si>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</si>
  <si>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</si>
  <si>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</si>
  <si>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</si>
  <si>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</si>
  <si>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</si>
  <si>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</si>
  <si>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</si>
  <si>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</si>
  <si>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</si>
  <si>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</si>
  <si>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</si>
  <si>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</si>
  <si>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</si>
  <si>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</si>
  <si>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</si>
  <si>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</si>
  <si>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</si>
  <si>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</si>
  <si>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</si>
  <si>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</si>
  <si>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</si>
  <si>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</si>
  <si>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</si>
  <si>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</si>
  <si>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</si>
  <si>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</si>
  <si>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</si>
  <si>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</si>
  <si>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</si>
  <si>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</si>
  <si>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</si>
  <si>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</si>
  <si>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</si>
  <si>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</si>
  <si>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</si>
  <si>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</si>
  <si>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</si>
  <si>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</si>
  <si>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</si>
  <si>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</si>
  <si>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</si>
  <si>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</si>
  <si>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</si>
  <si>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</si>
  <si>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</si>
  <si>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</si>
  <si>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</si>
  <si>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</si>
  <si>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</si>
  <si>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</si>
  <si>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</si>
  <si>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</si>
  <si>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</si>
  <si>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</si>
  <si>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</si>
  <si>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</si>
  <si>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</si>
  <si>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</si>
  <si>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</si>
  <si>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</si>
  <si>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</si>
  <si>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</si>
  <si>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</si>
  <si>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</si>
  <si>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</si>
  <si>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</si>
  <si>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</si>
  <si>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</si>
  <si>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</si>
  <si>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</si>
  <si>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</si>
  <si>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</si>
  <si>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</si>
  <si>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</si>
  <si>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</si>
  <si>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</si>
  <si>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</si>
  <si>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</si>
  <si>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</si>
  <si>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</si>
  <si>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</si>
  <si>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</si>
  <si>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</si>
  <si>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</si>
  <si>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</si>
  <si>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</si>
  <si>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</si>
  <si>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</si>
  <si>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</si>
  <si>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</si>
  <si>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</si>
  <si>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</si>
  <si>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</si>
  <si>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</si>
  <si>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土地</t>
  </si>
  <si>
    <t>企业</t>
  </si>
  <si>
    <t>北京市</t>
  </si>
  <si>
    <t>出让</t>
  </si>
  <si>
    <t>宗地容积率</t>
  </si>
  <si>
    <t>无</t>
  </si>
  <si>
    <t>通路</t>
  </si>
  <si>
    <t>通电</t>
  </si>
  <si>
    <t>通上水</t>
  </si>
  <si>
    <t>通下水</t>
  </si>
  <si>
    <t>平整</t>
  </si>
  <si>
    <t>容积率修正</t>
  </si>
  <si>
    <t>一般</t>
  </si>
  <si>
    <t>较好</t>
  </si>
  <si>
    <t>Ⅸ-通1</t>
  </si>
  <si>
    <t>通讯</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</si>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</sst>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20110;&#23478;&#21153;&#24037;&#19994;&#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3">
          <cell r="I13">
            <v>55743</v>
          </cell>
        </row>
      </sheetData>
      <sheetData sheetId="11"/>
      <sheetData sheetId="12"/>
      <sheetData sheetId="13">
        <row r="3">
          <cell r="D3">
            <v>23335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98" customWidth="1"/>
    <col min="2" max="2" width="81" style="1215" customWidth="1"/>
    <col min="3" max="16384" width="9" style="1213"/>
  </cols>
  <sheetData>
    <row r="1" spans="1:2" s="1201" customFormat="1" ht="16" thickBot="1">
      <c r="A1" s="1200" t="s">
        <v>759</v>
      </c>
      <c r="B1" s="1199" t="s">
        <v>838</v>
      </c>
    </row>
    <row r="2" spans="1:2" s="1204" customFormat="1" ht="15.5" thickTop="1">
      <c r="A2" s="1202" t="s">
        <v>760</v>
      </c>
      <c r="B2" s="1203" t="str">
        <f>'预评函-封皮'!B37:I37</f>
        <v>北京市预评估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5" thickBot="1">
      <c r="A5" s="1208" t="s">
        <v>763</v>
      </c>
      <c r="B5" s="1209" t="str">
        <f>'预评函-封皮'!B49</f>
        <v>康正预评字号</v>
      </c>
    </row>
    <row r="6" spans="1:2" s="1204" customFormat="1" ht="15.5" thickTop="1">
      <c r="A6" s="1202" t="s">
        <v>764</v>
      </c>
      <c r="B6" s="1203" t="str">
        <f>'预评函-1'!A4</f>
        <v>受贵公司委托，我公司对北京市进行了预评估。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2022年11月7日</v>
      </c>
    </row>
    <row r="13" spans="1:2" s="1207" customFormat="1">
      <c r="A13" s="1205" t="s">
        <v>767</v>
      </c>
      <c r="B13" s="1206"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5" thickBot="1">
      <c r="A18" s="1208" t="s">
        <v>772</v>
      </c>
      <c r="B18" s="1209" t="str">
        <f>'预评函-1'!A24</f>
        <v>本次评估采用的主估价方法为基准地价系数修正法和基准地价系数修正法。</v>
      </c>
    </row>
    <row r="19" spans="1:2" s="1204" customFormat="1" ht="15.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ht="30">
      <c r="A42" s="1205" t="s">
        <v>828</v>
      </c>
      <c r="B42" s="1206" t="str">
        <f>'预评函-3'!B2</f>
        <v>建筑面积</v>
      </c>
    </row>
    <row r="43" spans="1:2" s="1207" customFormat="1">
      <c r="A43" s="1205" t="s">
        <v>829</v>
      </c>
      <c r="B43" s="1206">
        <f>'预评函-3'!B4</f>
        <v>0</v>
      </c>
    </row>
    <row r="44" spans="1:2" s="1207" customFormat="1" ht="30">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5" thickBot="1">
      <c r="A57" s="1208" t="s">
        <v>837</v>
      </c>
      <c r="B57" s="1209" t="str">
        <f>'预评函-3'!A6</f>
        <v>估价师知悉的法定优先受偿款</v>
      </c>
    </row>
    <row r="58" spans="1:2" s="1204" customFormat="1" ht="15.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5" thickBot="1">
      <c r="A69" s="1208" t="s">
        <v>799</v>
      </c>
      <c r="B69" s="1210">
        <f>'预评函-4'!C31</f>
        <v>42551</v>
      </c>
    </row>
    <row r="70" spans="1:2" ht="15.5" thickTop="1">
      <c r="A70" s="1211" t="s">
        <v>800</v>
      </c>
      <c r="B70" s="1212">
        <f>'预评函-4'!A4</f>
        <v>0</v>
      </c>
    </row>
    <row r="71" spans="1:2">
      <c r="A71" s="1205" t="s">
        <v>801</v>
      </c>
      <c r="B71" s="1206">
        <f>'预评函-4'!B4</f>
        <v>0</v>
      </c>
    </row>
    <row r="72" spans="1:2">
      <c r="A72" s="1205" t="s">
        <v>802</v>
      </c>
      <c r="B72" s="1214">
        <f>'预评函-4'!A5</f>
        <v>0</v>
      </c>
    </row>
    <row r="73" spans="1:2" s="1201" customFormat="1" ht="15.5" thickBot="1">
      <c r="A73" s="1208" t="s">
        <v>803</v>
      </c>
      <c r="B73" s="1209">
        <f>'预评函-4'!B5</f>
        <v>0</v>
      </c>
    </row>
    <row r="74" spans="1:2" ht="15.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549" customWidth="1"/>
    <col min="2" max="2" width="23.26953125" style="1500" customWidth="1"/>
    <col min="3" max="3" width="13" style="1544" customWidth="1"/>
    <col min="4" max="4" width="5.7265625" style="1541" customWidth="1"/>
    <col min="5" max="5" width="7.08984375" style="1541" customWidth="1"/>
    <col min="6" max="6" width="10.6328125" style="1541" customWidth="1"/>
    <col min="7" max="7" width="7.453125" style="1541" customWidth="1"/>
    <col min="8" max="8" width="9" style="1544" customWidth="1"/>
    <col min="9" max="9" width="11.6328125" style="1544" customWidth="1"/>
    <col min="10" max="10" width="9" style="1544" customWidth="1"/>
    <col min="11" max="19" width="9" style="1541" customWidth="1"/>
    <col min="20" max="23" width="9" style="1544" customWidth="1"/>
    <col min="24" max="24" width="21.08984375" style="1500" customWidth="1"/>
    <col min="25" max="16384" width="9" style="1500"/>
  </cols>
  <sheetData>
    <row r="1" spans="1:23" s="1538" customFormat="1" ht="2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D4" sqref="D4"/>
    </sheetView>
  </sheetViews>
  <sheetFormatPr defaultColWidth="10" defaultRowHeight="12.5"/>
  <cols>
    <col min="1" max="1" width="16.90625" style="1739" customWidth="1"/>
    <col min="2" max="2" width="10" style="1739" customWidth="1"/>
    <col min="3" max="3" width="11.453125" style="1739" customWidth="1"/>
    <col min="4" max="4" width="12.26953125" style="1739" customWidth="1"/>
    <col min="5" max="5" width="12.6328125" style="1739" customWidth="1"/>
    <col min="6" max="6" width="10" style="1739" customWidth="1"/>
    <col min="7" max="7" width="10.7265625" style="1739" customWidth="1"/>
    <col min="8" max="8" width="10" style="1739" customWidth="1"/>
    <col min="9" max="9" width="11.0898437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v>
      </c>
      <c r="T1" s="1739"/>
      <c r="U1" s="1739"/>
      <c r="V1" s="1739"/>
      <c r="W1" s="1739"/>
      <c r="X1" s="1739"/>
      <c r="Y1" s="1739"/>
      <c r="Z1" s="1739"/>
      <c r="AA1" s="1739"/>
      <c r="AB1" s="1739"/>
    </row>
    <row r="2" spans="1:28" ht="13">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ht="13">
      <c r="A3" s="304" t="s">
        <v>2458</v>
      </c>
      <c r="B3" s="2197"/>
      <c r="C3" s="2198" t="s">
        <v>2459</v>
      </c>
      <c r="D3" s="2197">
        <v>44872</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ht="13">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ht="13">
      <c r="A7" s="2207" t="s">
        <v>2463</v>
      </c>
      <c r="B7" s="2211"/>
      <c r="C7" s="2209"/>
      <c r="D7" s="2210"/>
      <c r="E7" s="2489"/>
      <c r="F7" s="2491"/>
      <c r="G7" s="2491"/>
      <c r="H7" s="2491"/>
      <c r="I7" s="2491"/>
      <c r="J7" s="2265"/>
      <c r="K7" s="2442"/>
      <c r="L7" s="2439"/>
      <c r="M7" s="2439"/>
      <c r="N7" s="2265"/>
      <c r="O7" s="2276"/>
      <c r="P7" s="2265"/>
      <c r="Q7" s="2265"/>
      <c r="R7" s="2265"/>
    </row>
    <row r="8" spans="1:28" ht="13">
      <c r="A8" s="2212" t="s">
        <v>2464</v>
      </c>
      <c r="B8" s="2213" t="s">
        <v>3092</v>
      </c>
      <c r="C8" s="2214"/>
      <c r="D8" s="3426" t="s">
        <v>2465</v>
      </c>
      <c r="E8" s="2215"/>
      <c r="F8" s="2216"/>
      <c r="G8" s="2490"/>
      <c r="H8" s="2490"/>
      <c r="I8" s="2490"/>
      <c r="J8" s="2265"/>
      <c r="K8" s="2440"/>
      <c r="L8" s="2439"/>
      <c r="M8" s="2439"/>
      <c r="N8" s="2265"/>
      <c r="O8" s="2276"/>
      <c r="P8" s="2265"/>
      <c r="Q8" s="2265"/>
      <c r="R8" s="2265"/>
    </row>
    <row r="9" spans="1:28" ht="13.5" thickBot="1">
      <c r="A9" s="2217" t="s">
        <v>2466</v>
      </c>
      <c r="B9" s="2218"/>
      <c r="C9" s="2219"/>
      <c r="D9" s="3427"/>
      <c r="E9" s="2218"/>
      <c r="F9" s="2220"/>
      <c r="G9" s="2492"/>
      <c r="H9" s="2492"/>
      <c r="I9" s="2492"/>
      <c r="J9" s="2265"/>
      <c r="K9" s="2442"/>
      <c r="L9" s="2439"/>
      <c r="M9" s="2439"/>
      <c r="N9" s="2265"/>
      <c r="O9" s="2276"/>
      <c r="P9" s="2265"/>
      <c r="Q9" s="2265"/>
      <c r="R9" s="2265"/>
    </row>
    <row r="10" spans="1:28" ht="13.5" thickTop="1">
      <c r="A10" s="2221" t="s">
        <v>2467</v>
      </c>
      <c r="B10" s="2222" t="s">
        <v>3111</v>
      </c>
      <c r="C10" s="2223"/>
      <c r="D10" s="2206"/>
      <c r="E10" s="2224" t="s">
        <v>2468</v>
      </c>
      <c r="F10" s="2493"/>
      <c r="G10" s="2494"/>
      <c r="H10" s="2495"/>
      <c r="I10" s="2496"/>
      <c r="J10" s="2265"/>
      <c r="K10" s="2442"/>
      <c r="L10" s="2439"/>
      <c r="M10" s="2439"/>
      <c r="N10" s="2265"/>
      <c r="O10" s="2276"/>
      <c r="P10" s="2265"/>
      <c r="Q10" s="2265"/>
      <c r="R10" s="2265"/>
    </row>
    <row r="11" spans="1:28" ht="13">
      <c r="A11" s="2225" t="s">
        <v>2469</v>
      </c>
      <c r="B11" s="2226" t="s">
        <v>3110</v>
      </c>
      <c r="C11" s="2227"/>
      <c r="D11" s="2228"/>
      <c r="E11" s="2194"/>
      <c r="F11" s="2194"/>
      <c r="G11" s="2194"/>
      <c r="H11" s="2194"/>
      <c r="I11" s="2194"/>
      <c r="J11" s="2265"/>
      <c r="K11" s="2442"/>
      <c r="L11" s="2439"/>
      <c r="M11" s="2439"/>
      <c r="N11" s="2265"/>
      <c r="O11" s="2276"/>
      <c r="P11" s="2265"/>
      <c r="Q11" s="2265"/>
      <c r="R11" s="2265"/>
    </row>
    <row r="12" spans="1:28" ht="13">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ht="13">
      <c r="A13" s="1088"/>
      <c r="B13" s="2231"/>
      <c r="C13" s="2232" t="s">
        <v>2478</v>
      </c>
      <c r="D13" s="870"/>
      <c r="E13" s="870"/>
      <c r="F13" s="870"/>
      <c r="G13" s="870"/>
      <c r="H13" s="870"/>
      <c r="I13" s="870">
        <f>[2]项目基本情况!$I$13</f>
        <v>55743</v>
      </c>
      <c r="J13" s="2265"/>
      <c r="K13" s="2442"/>
      <c r="L13" s="2439"/>
      <c r="M13" s="2439"/>
      <c r="N13" s="2265"/>
      <c r="O13" s="2276"/>
      <c r="P13" s="2265"/>
      <c r="Q13" s="2265"/>
      <c r="R13" s="2265"/>
    </row>
    <row r="14" spans="1:28" ht="13">
      <c r="A14" s="1088"/>
      <c r="B14" s="2231"/>
      <c r="C14" s="2232" t="s">
        <v>2479</v>
      </c>
      <c r="D14" s="2233"/>
      <c r="E14" s="2233"/>
      <c r="F14" s="2233"/>
      <c r="G14" s="2233"/>
      <c r="H14" s="2233"/>
      <c r="I14" s="2233">
        <v>50</v>
      </c>
      <c r="J14" s="2265"/>
      <c r="K14" s="2443"/>
      <c r="L14" s="2439"/>
      <c r="M14" s="2439"/>
      <c r="N14" s="2265"/>
      <c r="O14" s="2276"/>
      <c r="P14" s="2265"/>
      <c r="Q14" s="2265"/>
      <c r="R14" s="2265"/>
    </row>
    <row r="15" spans="1:28" ht="13">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29.78</v>
      </c>
      <c r="J15" s="2265"/>
      <c r="K15" s="2444"/>
      <c r="L15" s="2277"/>
      <c r="M15" s="2277"/>
      <c r="N15" s="2335"/>
      <c r="O15" s="2277"/>
      <c r="P15" s="2335"/>
      <c r="Q15" s="2265"/>
      <c r="R15" s="2265"/>
    </row>
    <row r="16" spans="1:28" ht="13">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ht="13">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6.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7"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ht="13">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6.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6.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ht="13">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ht="13">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ht="13">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ht="13">
      <c r="A28" s="3416"/>
      <c r="B28" s="304" t="s">
        <v>2504</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ht="13">
      <c r="A29" s="3416"/>
      <c r="B29" s="304" t="s">
        <v>2505</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ht="13">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t="s">
        <v>3109</v>
      </c>
      <c r="C31" s="2146" t="str">
        <f>IF(B31="现房","成新及维护状况正常否",IF(B31="在建","工程状态是否正常",IF(B31="土地","是否闲置","-")))</f>
        <v>是否闲置</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ht="13">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5"/>
      <c r="T35" s="331" t="str">
        <f>IF(T34="一通",L35,IF(T34="二通",M35,IF(T34="三通",N35,IF(T34="四通",O35,IF(T34="五通",P35,IF(T34="六通",Q35,R35))))))</f>
        <v>、、、、、、</v>
      </c>
      <c r="U35" s="2265"/>
      <c r="V35" s="2265"/>
    </row>
    <row r="36" spans="1:30" ht="13">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ht="13">
      <c r="A37" s="2457" t="s">
        <v>2518</v>
      </c>
      <c r="B37" s="2257"/>
      <c r="C37" s="2257"/>
      <c r="D37" s="2257"/>
      <c r="E37" s="2257" t="s">
        <v>448</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3123</v>
      </c>
      <c r="F38" s="2258"/>
      <c r="G38" s="2492"/>
      <c r="H38" s="2492"/>
      <c r="I38" s="2492"/>
      <c r="J38" s="2265"/>
      <c r="K38" s="2442"/>
      <c r="L38" s="2439"/>
      <c r="M38" s="2439"/>
      <c r="N38" s="2265"/>
      <c r="O38" s="2276"/>
      <c r="P38" s="2265"/>
      <c r="Q38" s="2265"/>
      <c r="R38" s="2265"/>
      <c r="S38" s="2265"/>
      <c r="T38" s="2265"/>
      <c r="U38" s="2265"/>
      <c r="V38" s="2265"/>
    </row>
    <row r="39" spans="1:30" s="2261" customFormat="1" ht="14"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ht="13">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6">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90625" defaultRowHeight="14"/>
  <cols>
    <col min="1" max="1" width="10.6328125" style="1566" customWidth="1"/>
    <col min="2" max="2" width="11" style="1566" customWidth="1"/>
    <col min="3" max="3" width="10.36328125" style="1566" customWidth="1"/>
    <col min="4" max="4" width="9.08984375" style="1566" customWidth="1"/>
    <col min="5" max="6" width="10" style="1627" customWidth="1"/>
    <col min="7" max="8" width="10" style="1566" customWidth="1"/>
    <col min="9" max="9" width="10.6328125" style="1566" customWidth="1"/>
    <col min="10" max="10" width="9.453125" style="1566" customWidth="1"/>
    <col min="11" max="11" width="11" style="1566" customWidth="1"/>
    <col min="12" max="14" width="9.453125" style="1566" customWidth="1"/>
    <col min="15" max="15" width="9.90625" style="1566" customWidth="1"/>
    <col min="16" max="16" width="9.7265625" style="1566" customWidth="1"/>
    <col min="17" max="17" width="9.36328125" style="1566" customWidth="1"/>
    <col min="18" max="18" width="9.26953125" style="1566" customWidth="1"/>
    <col min="19" max="19" width="10.90625" style="1566" customWidth="1"/>
    <col min="20" max="21" width="10.7265625" style="1566" customWidth="1"/>
    <col min="22" max="22" width="10.90625" style="1566" customWidth="1"/>
    <col min="23" max="27" width="10.7265625" style="1566" customWidth="1"/>
    <col min="28" max="28" width="10.90625" style="1566" customWidth="1"/>
    <col min="29" max="29" width="11" style="1566" bestFit="1" customWidth="1"/>
    <col min="30" max="30" width="10" style="1566" bestFit="1" customWidth="1"/>
    <col min="31" max="31" width="9.7265625" style="1566" customWidth="1"/>
    <col min="32" max="46" width="9.453125" style="1566" customWidth="1"/>
    <col min="47" max="47" width="18.08984375" style="1566" customWidth="1"/>
    <col min="48" max="50" width="9.7265625" style="1566" customWidth="1"/>
    <col min="51" max="55" width="10.453125" style="1566" bestFit="1" customWidth="1"/>
    <col min="56" max="56" width="9.453125" style="1566" bestFit="1" customWidth="1"/>
    <col min="57" max="63" width="9.08984375" style="1566" bestFit="1" customWidth="1"/>
    <col min="64" max="64" width="9.453125" style="1566" bestFit="1" customWidth="1"/>
    <col min="65" max="65" width="9.08984375" style="1566" bestFit="1" customWidth="1"/>
    <col min="66" max="66" width="9.453125" style="1566" bestFit="1" customWidth="1"/>
    <col min="67" max="69" width="9.08984375" style="1566" bestFit="1" customWidth="1"/>
    <col min="70" max="70" width="9.453125" style="1566" bestFit="1" customWidth="1"/>
    <col min="71" max="71" width="9" style="1566" customWidth="1"/>
    <col min="72" max="72" width="9.08984375" style="1566" bestFit="1" customWidth="1"/>
    <col min="73" max="16384" width="8.9062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6">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6">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6">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45">
      <c r="A3" s="3445"/>
      <c r="B3" s="3445"/>
      <c r="C3" s="3445"/>
      <c r="D3" s="3446"/>
      <c r="E3" s="344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6953125" defaultRowHeight="14"/>
  <cols>
    <col min="1" max="1" width="12.08984375" style="1631" customWidth="1"/>
    <col min="2" max="2" width="10.26953125" style="1631" customWidth="1"/>
    <col min="3" max="3" width="18.453125" style="1631" customWidth="1"/>
    <col min="4" max="4" width="11.6328125" style="1631" customWidth="1"/>
    <col min="5" max="5" width="13.36328125" style="1631" customWidth="1"/>
    <col min="6" max="8" width="11.453125" style="1631" customWidth="1"/>
    <col min="9" max="9" width="11.08984375" style="1631" customWidth="1"/>
    <col min="10" max="10" width="3.08984375" style="2476" customWidth="1"/>
    <col min="11" max="16" width="10" style="1631" customWidth="1"/>
    <col min="17" max="17" width="2.6328125" style="1631" customWidth="1"/>
    <col min="18" max="18" width="9.36328125" style="1631" bestFit="1" customWidth="1"/>
    <col min="19" max="19" width="10.453125" style="1631" bestFit="1" customWidth="1"/>
    <col min="20" max="16384" width="9.26953125" style="1631"/>
  </cols>
  <sheetData>
    <row r="1" spans="1:16" ht="18.5" thickBot="1">
      <c r="A1" s="1630" t="s">
        <v>1379</v>
      </c>
      <c r="B1" s="1145"/>
      <c r="C1" s="1145"/>
      <c r="D1" s="1145"/>
      <c r="E1" s="1145"/>
      <c r="F1" s="1145"/>
      <c r="G1" s="1145"/>
      <c r="H1" s="1145"/>
      <c r="I1" s="1145"/>
      <c r="J1" s="1145"/>
      <c r="K1" s="1145"/>
      <c r="L1" s="1145"/>
      <c r="M1" s="1145"/>
      <c r="N1" s="1145"/>
      <c r="O1" s="1145"/>
      <c r="P1" s="1145"/>
    </row>
    <row r="2" spans="1:16">
      <c r="A2" s="3456" t="s">
        <v>1380</v>
      </c>
      <c r="B2" s="3456"/>
      <c r="C2" s="3456"/>
      <c r="D2" s="810" t="s">
        <v>1356</v>
      </c>
      <c r="E2" s="1632" t="s">
        <v>1357</v>
      </c>
      <c r="F2" s="2486"/>
      <c r="G2" s="2477"/>
      <c r="H2" s="2478"/>
      <c r="I2" s="2148" t="s">
        <v>1381</v>
      </c>
      <c r="J2" s="2486"/>
      <c r="K2" s="2486"/>
      <c r="L2" s="2486"/>
      <c r="M2" s="2486"/>
      <c r="N2" s="2488"/>
      <c r="O2" s="2486"/>
      <c r="P2" s="2486"/>
    </row>
    <row r="3" spans="1:16" ht="14.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4.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4.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4.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4.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4.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4.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739" customWidth="1"/>
    <col min="2" max="2" width="12" style="1676" customWidth="1"/>
    <col min="3" max="3" width="12.7265625" style="1676" customWidth="1"/>
    <col min="4" max="4" width="9.08984375" style="1740" customWidth="1"/>
    <col min="5" max="5" width="15" style="1676" bestFit="1" customWidth="1"/>
    <col min="6" max="10" width="8.90625" style="1676" customWidth="1"/>
    <col min="11" max="12" width="12.36328125" style="1594" customWidth="1"/>
    <col min="13" max="13" width="8.6328125" style="1676" customWidth="1"/>
    <col min="14" max="14" width="11.90625" style="1676" customWidth="1"/>
    <col min="15" max="15" width="8.453125" style="1676" customWidth="1"/>
    <col min="16" max="17" width="10.90625" style="1676" customWidth="1"/>
    <col min="18" max="19" width="12.453125" style="1676" customWidth="1"/>
    <col min="20" max="20" width="12.08984375" style="1676" customWidth="1"/>
    <col min="21" max="21" width="7.453125" style="1676" customWidth="1"/>
    <col min="22" max="22" width="6.36328125" style="1676" customWidth="1"/>
    <col min="23" max="30" width="6.7265625" style="1676" customWidth="1"/>
    <col min="31" max="31" width="8" style="1676" customWidth="1"/>
    <col min="32" max="34" width="7.26953125" style="1676" customWidth="1"/>
    <col min="35" max="39" width="8" style="1676" customWidth="1"/>
    <col min="40" max="40" width="13.7265625" style="1675"/>
    <col min="41" max="41" width="11.6328125" style="1675" customWidth="1"/>
    <col min="42" max="42" width="9.7265625" style="1675" customWidth="1"/>
    <col min="43" max="67" width="13.7265625" style="1675"/>
    <col min="68" max="16384" width="13.726562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 thickBot="1">
      <c r="A2" s="1677" t="s">
        <v>1410</v>
      </c>
      <c r="B2" s="1055">
        <f>项目基本情况!D3</f>
        <v>44872</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4.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3">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4.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4.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4.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4.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4.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8.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8.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4.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4.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4.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4.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8">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4.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0" customWidth="1"/>
    <col min="2" max="2" width="24.453125" style="1565" customWidth="1"/>
    <col min="3" max="3" width="24.453125" style="2336" customWidth="1"/>
    <col min="4" max="4" width="2.6328125" style="2336" customWidth="1"/>
    <col min="5" max="5" width="5.90625" style="2336" customWidth="1"/>
    <col min="6" max="6" width="27" style="1565" customWidth="1"/>
    <col min="7" max="7" width="27" style="2337" customWidth="1"/>
    <col min="8" max="8" width="11.90625" style="2317" customWidth="1"/>
    <col min="9" max="9" width="16.7265625" style="2318" customWidth="1"/>
    <col min="10" max="10" width="2.6328125" style="2317" customWidth="1"/>
    <col min="11" max="11" width="11.90625" style="2317" customWidth="1"/>
    <col min="12" max="12" width="16.7265625" style="2318" customWidth="1"/>
    <col min="13" max="13" width="2.6328125" style="2317" customWidth="1"/>
    <col min="14" max="14" width="11.90625" style="2317" customWidth="1"/>
    <col min="15" max="15" width="16.7265625" style="2318" customWidth="1"/>
    <col min="16" max="16" width="2.6328125" style="2317" customWidth="1"/>
    <col min="17" max="17" width="11.90625" style="2317" customWidth="1"/>
    <col min="18" max="18" width="16.7265625" style="2319" customWidth="1"/>
    <col min="19" max="29" width="9" style="813"/>
    <col min="30" max="16384" width="9" style="1680"/>
  </cols>
  <sheetData>
    <row r="1" spans="1:29" s="2283" customFormat="1" ht="18.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4.5" thickBot="1">
      <c r="A2" s="2284"/>
      <c r="B2" s="2285"/>
      <c r="C2" s="2286" t="s">
        <v>2569</v>
      </c>
      <c r="D2" s="2287"/>
      <c r="E2" s="2284"/>
      <c r="F2" s="2288"/>
      <c r="G2" s="2286" t="s">
        <v>2570</v>
      </c>
      <c r="H2" s="813"/>
      <c r="I2" s="813"/>
      <c r="J2" s="813"/>
      <c r="K2" s="813"/>
      <c r="L2" s="813"/>
      <c r="M2" s="813"/>
      <c r="N2" s="813"/>
      <c r="O2" s="813"/>
      <c r="P2" s="813"/>
      <c r="Q2" s="813"/>
      <c r="R2" s="813"/>
    </row>
    <row r="3" spans="1:29" ht="52">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9">
      <c r="A4" s="2268"/>
      <c r="B4" s="325" t="s">
        <v>2542</v>
      </c>
      <c r="C4" s="2294" t="s">
        <v>2543</v>
      </c>
      <c r="D4" s="2291"/>
      <c r="E4" s="2295"/>
      <c r="F4" s="1365" t="s">
        <v>2544</v>
      </c>
      <c r="G4" s="2296" t="s">
        <v>2545</v>
      </c>
      <c r="H4" s="813"/>
      <c r="I4" s="813"/>
      <c r="J4" s="813"/>
      <c r="K4" s="813"/>
      <c r="L4" s="813"/>
      <c r="M4" s="813"/>
      <c r="N4" s="813"/>
      <c r="O4" s="813"/>
      <c r="P4" s="813"/>
      <c r="Q4" s="813"/>
      <c r="R4" s="813"/>
    </row>
    <row r="5" spans="1:29" ht="39">
      <c r="A5" s="2268"/>
      <c r="B5" s="325" t="s">
        <v>2546</v>
      </c>
      <c r="C5" s="2294" t="s">
        <v>2547</v>
      </c>
      <c r="D5" s="2291"/>
      <c r="E5" s="2295"/>
      <c r="F5" s="325" t="s">
        <v>2548</v>
      </c>
      <c r="G5" s="2296" t="s">
        <v>2549</v>
      </c>
      <c r="H5" s="813"/>
      <c r="I5" s="813"/>
      <c r="J5" s="813"/>
      <c r="K5" s="813"/>
      <c r="L5" s="813"/>
      <c r="M5" s="813"/>
      <c r="N5" s="813"/>
      <c r="O5" s="813"/>
      <c r="P5" s="813"/>
      <c r="Q5" s="813"/>
      <c r="R5" s="813"/>
    </row>
    <row r="6" spans="1:29" ht="39">
      <c r="A6" s="2268"/>
      <c r="B6" s="325" t="s">
        <v>2550</v>
      </c>
      <c r="C6" s="2296" t="s">
        <v>2545</v>
      </c>
      <c r="D6" s="2291"/>
      <c r="E6" s="2295"/>
      <c r="F6" s="325" t="s">
        <v>2551</v>
      </c>
      <c r="G6" s="2296" t="s">
        <v>2552</v>
      </c>
      <c r="H6" s="813"/>
      <c r="I6" s="813"/>
      <c r="J6" s="813"/>
      <c r="K6" s="813"/>
      <c r="L6" s="813"/>
      <c r="M6" s="813"/>
      <c r="N6" s="813"/>
      <c r="O6" s="813"/>
      <c r="P6" s="813"/>
      <c r="Q6" s="813"/>
      <c r="R6" s="813"/>
    </row>
    <row r="7" spans="1:29" ht="39.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ht="26">
      <c r="A8" s="2268"/>
      <c r="B8" s="325" t="s">
        <v>2551</v>
      </c>
      <c r="C8" s="2296" t="s">
        <v>2552</v>
      </c>
      <c r="D8" s="2297"/>
      <c r="E8" s="2297"/>
      <c r="F8" s="2301"/>
      <c r="G8" s="2301"/>
      <c r="H8" s="813"/>
      <c r="I8" s="813"/>
      <c r="J8" s="813"/>
      <c r="K8" s="813"/>
      <c r="L8" s="813"/>
      <c r="M8" s="813"/>
      <c r="N8" s="813"/>
      <c r="O8" s="813"/>
      <c r="P8" s="813"/>
      <c r="Q8" s="813"/>
      <c r="R8" s="813"/>
    </row>
    <row r="9" spans="1:29" ht="26">
      <c r="A9" s="2268"/>
      <c r="B9" s="325" t="s">
        <v>2555</v>
      </c>
      <c r="C9" s="2294" t="s">
        <v>2556</v>
      </c>
      <c r="D9" s="2291"/>
      <c r="E9" s="2297"/>
      <c r="F9" s="2301"/>
      <c r="G9" s="2301"/>
      <c r="H9" s="813"/>
      <c r="I9" s="813"/>
      <c r="J9" s="813"/>
      <c r="K9" s="813"/>
      <c r="L9" s="813"/>
      <c r="M9" s="813"/>
      <c r="N9" s="813"/>
      <c r="O9" s="813"/>
      <c r="P9" s="813"/>
      <c r="Q9" s="813"/>
      <c r="R9" s="813"/>
    </row>
    <row r="10" spans="1:29" s="2307" customFormat="1" ht="14.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4.5" thickBot="1">
      <c r="A13" s="2316" t="s">
        <v>2575</v>
      </c>
      <c r="B13" s="2310"/>
      <c r="C13" s="2310"/>
      <c r="D13" s="2308"/>
      <c r="E13" s="2310"/>
      <c r="F13" s="2310"/>
      <c r="G13" s="2310"/>
    </row>
    <row r="14" spans="1:29" ht="14.5" thickBot="1">
      <c r="A14" s="2320"/>
      <c r="B14" s="2320"/>
      <c r="C14" s="2321" t="s">
        <v>2558</v>
      </c>
      <c r="D14" s="2291"/>
      <c r="E14" s="2322"/>
      <c r="F14" s="2322"/>
      <c r="G14" s="2286" t="s">
        <v>2559</v>
      </c>
    </row>
    <row r="15" spans="1:29" ht="50">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7.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7.5">
      <c r="A17" s="2272"/>
      <c r="B17" s="2326" t="s">
        <v>2546</v>
      </c>
      <c r="C17" s="2327" t="str">
        <f>C5</f>
        <v>估价对象位于XX商圈，周边办公楼项目较多，入驻率高，办公集聚程度较好</v>
      </c>
      <c r="D17" s="2297"/>
      <c r="E17" s="2273"/>
      <c r="F17" s="2328" t="s">
        <v>2563</v>
      </c>
      <c r="G17" s="2330"/>
    </row>
    <row r="18" spans="1:18" ht="37.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
      <c r="A19" s="2272"/>
      <c r="B19" s="2328" t="s">
        <v>2564</v>
      </c>
      <c r="C19" s="2330"/>
      <c r="D19" s="2291"/>
      <c r="E19" s="2273"/>
      <c r="F19" s="325" t="s">
        <v>2548</v>
      </c>
      <c r="G19" s="2329" t="str">
        <f>G5</f>
        <v>估价对象所在区域公共配套设施齐备情况</v>
      </c>
    </row>
    <row r="20" spans="1:18" ht="25">
      <c r="A20" s="2272"/>
      <c r="B20" s="2328" t="s">
        <v>2565</v>
      </c>
      <c r="C20" s="2327" t="str">
        <f>C9</f>
        <v>区域自然环境：；人文环境；综合评价环境状况一般</v>
      </c>
      <c r="D20" s="2297"/>
      <c r="E20" s="2273"/>
      <c r="F20" s="325" t="s">
        <v>2551</v>
      </c>
      <c r="G20" s="2329" t="str">
        <f>G6</f>
        <v>估价对象所在区域基础设施水平</v>
      </c>
    </row>
    <row r="21" spans="1:18" ht="2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4.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4.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339" customWidth="1"/>
    <col min="2" max="9" width="15.726562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44872</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747"/>
    <col min="3" max="4" width="12.6328125" style="1747" customWidth="1"/>
    <col min="5" max="9" width="12.6328125" style="1747"/>
    <col min="10" max="11" width="12.6328125" style="729" customWidth="1"/>
    <col min="12" max="12" width="12.6328125" style="729"/>
    <col min="13" max="13" width="14.08984375" style="729" bestFit="1" customWidth="1"/>
    <col min="14" max="26" width="12.6328125" style="729"/>
    <col min="27" max="35" width="12.6328125" style="1746"/>
    <col min="36" max="16384" width="12.63281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3">
      <c r="A3" s="3502" t="s">
        <v>1514</v>
      </c>
      <c r="B3" s="3503"/>
      <c r="C3" s="3503"/>
      <c r="D3" s="3503"/>
      <c r="E3" s="3503"/>
      <c r="F3" s="3503"/>
      <c r="G3" s="3503"/>
      <c r="H3" s="3503"/>
      <c r="I3" s="3503"/>
    </row>
    <row r="4" spans="1:12" ht="14">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478" t="s">
        <v>1518</v>
      </c>
      <c r="B5" s="3465">
        <v>25</v>
      </c>
      <c r="C5" s="3481"/>
      <c r="D5" s="3501"/>
      <c r="E5" s="135" t="s">
        <v>1519</v>
      </c>
      <c r="F5" s="1751"/>
      <c r="G5" s="1751"/>
      <c r="H5" s="1751"/>
      <c r="I5" s="1365"/>
    </row>
    <row r="6" spans="1:12" ht="13">
      <c r="A6" s="3478"/>
      <c r="B6" s="3465"/>
      <c r="C6" s="3482"/>
      <c r="D6" s="3501"/>
      <c r="E6" s="135" t="s">
        <v>1520</v>
      </c>
      <c r="F6" s="1751"/>
      <c r="G6" s="1751"/>
      <c r="H6" s="1751"/>
      <c r="I6" s="1365"/>
    </row>
    <row r="7" spans="1:12" ht="13">
      <c r="A7" s="3478"/>
      <c r="B7" s="3465"/>
      <c r="C7" s="3483"/>
      <c r="D7" s="3501"/>
      <c r="E7" s="135" t="s">
        <v>1521</v>
      </c>
      <c r="F7" s="1751"/>
      <c r="G7" s="1751"/>
      <c r="H7" s="1751"/>
      <c r="I7" s="1365"/>
    </row>
    <row r="8" spans="1:12" ht="13">
      <c r="A8" s="3478" t="s">
        <v>1522</v>
      </c>
      <c r="B8" s="3465">
        <v>15</v>
      </c>
      <c r="C8" s="3481"/>
      <c r="D8" s="3501"/>
      <c r="E8" s="135" t="s">
        <v>1523</v>
      </c>
      <c r="F8" s="1751"/>
      <c r="G8" s="1751"/>
      <c r="H8" s="1751"/>
      <c r="I8" s="1365"/>
    </row>
    <row r="9" spans="1:12" ht="13">
      <c r="A9" s="3478"/>
      <c r="B9" s="3465"/>
      <c r="C9" s="3483"/>
      <c r="D9" s="3501"/>
      <c r="E9" s="135" t="s">
        <v>1524</v>
      </c>
      <c r="F9" s="1751"/>
      <c r="G9" s="1751"/>
      <c r="H9" s="1751"/>
      <c r="I9" s="1365"/>
    </row>
    <row r="10" spans="1:12" ht="13">
      <c r="A10" s="3478" t="s">
        <v>1525</v>
      </c>
      <c r="B10" s="3465">
        <v>15</v>
      </c>
      <c r="C10" s="3481"/>
      <c r="D10" s="3501"/>
      <c r="E10" s="135" t="s">
        <v>1526</v>
      </c>
      <c r="F10" s="1751"/>
      <c r="G10" s="1751"/>
      <c r="H10" s="1751"/>
      <c r="I10" s="1365"/>
    </row>
    <row r="11" spans="1:12" ht="13">
      <c r="A11" s="3478"/>
      <c r="B11" s="3465"/>
      <c r="C11" s="3483"/>
      <c r="D11" s="3501"/>
      <c r="E11" s="135" t="s">
        <v>1527</v>
      </c>
      <c r="F11" s="1751"/>
      <c r="G11" s="1751"/>
      <c r="H11" s="1751"/>
      <c r="I11" s="1365"/>
    </row>
    <row r="12" spans="1:12" ht="13">
      <c r="A12" s="3478" t="s">
        <v>1528</v>
      </c>
      <c r="B12" s="3465">
        <v>15</v>
      </c>
      <c r="C12" s="3481"/>
      <c r="D12" s="3501"/>
      <c r="E12" s="135" t="s">
        <v>1529</v>
      </c>
      <c r="F12" s="1751"/>
      <c r="G12" s="1751"/>
      <c r="H12" s="1751"/>
      <c r="I12" s="1365"/>
    </row>
    <row r="13" spans="1:12" ht="13">
      <c r="A13" s="3478"/>
      <c r="B13" s="3465"/>
      <c r="C13" s="3483"/>
      <c r="D13" s="3501"/>
      <c r="E13" s="135" t="s">
        <v>1530</v>
      </c>
      <c r="F13" s="1751"/>
      <c r="G13" s="1751"/>
      <c r="H13" s="1751"/>
      <c r="I13" s="1365"/>
    </row>
    <row r="14" spans="1:12" ht="13">
      <c r="A14" s="3478" t="s">
        <v>1531</v>
      </c>
      <c r="B14" s="3465">
        <v>30</v>
      </c>
      <c r="C14" s="3481"/>
      <c r="D14" s="3501"/>
      <c r="E14" s="135" t="s">
        <v>1532</v>
      </c>
      <c r="F14" s="1751"/>
      <c r="G14" s="1751"/>
      <c r="H14" s="1751"/>
      <c r="I14" s="1365"/>
    </row>
    <row r="15" spans="1:12" ht="13">
      <c r="A15" s="3478"/>
      <c r="B15" s="3465"/>
      <c r="C15" s="3482"/>
      <c r="D15" s="3501"/>
      <c r="E15" s="135" t="s">
        <v>1533</v>
      </c>
      <c r="F15" s="1751"/>
      <c r="G15" s="1751"/>
      <c r="H15" s="1751"/>
      <c r="I15" s="1365"/>
    </row>
    <row r="16" spans="1:12" ht="13">
      <c r="A16" s="3478"/>
      <c r="B16" s="3465"/>
      <c r="C16" s="3483"/>
      <c r="D16" s="3501"/>
      <c r="E16" s="135" t="s">
        <v>1534</v>
      </c>
      <c r="F16" s="1751"/>
      <c r="G16" s="1751"/>
      <c r="H16" s="1751"/>
      <c r="I16" s="1365"/>
    </row>
    <row r="17" spans="1:36" ht="14">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4.5" thickBot="1">
      <c r="A22" s="1682" t="s">
        <v>1548</v>
      </c>
      <c r="B22" s="1761"/>
      <c r="C22" s="1762"/>
      <c r="D22" s="725" t="e">
        <f ca="1">IF(C19&lt;D19,D19/C19-1,C19/D19-1)</f>
        <v>#REF!</v>
      </c>
      <c r="E22" s="133"/>
      <c r="F22" s="133"/>
      <c r="G22" s="133"/>
      <c r="H22" s="133"/>
      <c r="I22" s="133"/>
    </row>
    <row r="23" spans="1:36" ht="13" thickBot="1">
      <c r="A23" s="1741"/>
      <c r="B23" s="1741"/>
      <c r="C23" s="1741"/>
      <c r="D23" s="1741"/>
      <c r="E23" s="133"/>
      <c r="F23" s="133"/>
      <c r="G23" s="133"/>
      <c r="H23" s="133"/>
      <c r="I23" s="133"/>
    </row>
    <row r="24" spans="1:36" ht="14">
      <c r="A24" s="3472" t="s">
        <v>1549</v>
      </c>
      <c r="B24" s="1756" t="s">
        <v>1541</v>
      </c>
      <c r="C24" s="140">
        <f>IF(B30=0,0,D30)</f>
        <v>0</v>
      </c>
      <c r="D24" s="1763"/>
      <c r="E24" s="133"/>
      <c r="F24" s="133"/>
      <c r="G24" s="133"/>
      <c r="H24" s="133"/>
      <c r="I24" s="133"/>
    </row>
    <row r="25" spans="1:36" ht="14">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
      <c r="A27" s="1765"/>
      <c r="B27" s="146">
        <v>0</v>
      </c>
      <c r="C27" s="146">
        <v>0</v>
      </c>
      <c r="D27" s="147">
        <f>ROUND(C27*B27/10000,0)</f>
        <v>0</v>
      </c>
      <c r="E27" s="133"/>
      <c r="F27" s="133"/>
      <c r="G27" s="133"/>
      <c r="H27" s="133"/>
      <c r="I27" s="133"/>
    </row>
    <row r="28" spans="1:36" ht="14">
      <c r="A28" s="1765"/>
      <c r="B28" s="146"/>
      <c r="C28" s="146"/>
      <c r="D28" s="147"/>
      <c r="E28" s="133"/>
      <c r="F28" s="133"/>
      <c r="G28" s="133"/>
      <c r="H28" s="133"/>
      <c r="I28" s="133"/>
    </row>
    <row r="29" spans="1:36" ht="14">
      <c r="A29" s="1765"/>
      <c r="B29" s="146"/>
      <c r="C29" s="146"/>
      <c r="D29" s="147"/>
      <c r="E29" s="133"/>
      <c r="F29" s="133"/>
      <c r="G29" s="133"/>
      <c r="H29" s="133"/>
      <c r="I29" s="133"/>
    </row>
    <row r="30" spans="1:36" ht="14.5" thickBot="1">
      <c r="A30" s="146" t="s">
        <v>1554</v>
      </c>
      <c r="B30" s="146"/>
      <c r="C30" s="146"/>
      <c r="D30" s="146"/>
      <c r="E30" s="2122" t="s">
        <v>2416</v>
      </c>
      <c r="F30" s="133"/>
      <c r="G30" s="133"/>
      <c r="H30" s="133"/>
      <c r="I30" s="133"/>
    </row>
    <row r="31" spans="1:36" s="2128" customFormat="1" ht="26.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 thickTop="1" thickBot="1">
      <c r="A32" s="1767" t="s">
        <v>1555</v>
      </c>
      <c r="B32" s="1768"/>
      <c r="C32" s="148" t="e">
        <f ca="1">IF(D32="总价",G19-C24,G20-C25)</f>
        <v>#REF!</v>
      </c>
      <c r="D32" s="1769"/>
      <c r="E32" s="133"/>
      <c r="F32" s="133"/>
      <c r="G32" s="133"/>
      <c r="H32" s="133"/>
      <c r="I32" s="133"/>
    </row>
    <row r="33" spans="1:15" ht="14">
      <c r="A33" s="800" t="s">
        <v>1556</v>
      </c>
      <c r="B33" s="1770"/>
      <c r="C33" s="1771"/>
      <c r="D33" s="1772"/>
      <c r="E33" s="1773" t="s">
        <v>1557</v>
      </c>
      <c r="F33" s="1774" t="str">
        <f>IF(D32="楼面单价","取值（单价）","取值（总价）")</f>
        <v>取值（总价）</v>
      </c>
      <c r="G33" s="133"/>
      <c r="H33" s="133"/>
      <c r="I33" s="133"/>
    </row>
    <row r="34" spans="1:15" ht="1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4.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4.5" thickBot="1">
      <c r="A36" s="3492" t="s">
        <v>1562</v>
      </c>
      <c r="B36" s="1781" t="s">
        <v>1563</v>
      </c>
      <c r="C36" s="149"/>
      <c r="D36" s="1782"/>
      <c r="E36" s="1783"/>
      <c r="F36" s="1784"/>
      <c r="G36" s="133"/>
      <c r="H36" s="133"/>
      <c r="I36" s="133"/>
    </row>
    <row r="37" spans="1:15" ht="14.5" thickBot="1">
      <c r="A37" s="3493"/>
      <c r="B37" s="1668" t="s">
        <v>1564</v>
      </c>
      <c r="C37" s="151"/>
      <c r="D37" s="1145"/>
      <c r="E37" s="1145"/>
      <c r="F37" s="1784"/>
      <c r="G37" s="133"/>
      <c r="H37" s="133"/>
      <c r="I37" s="133"/>
    </row>
    <row r="38" spans="1:15" ht="14.5" thickBot="1">
      <c r="A38" s="3494"/>
      <c r="B38" s="1785" t="s">
        <v>1565</v>
      </c>
      <c r="C38" s="678"/>
      <c r="D38" s="1786" t="s">
        <v>1566</v>
      </c>
      <c r="E38" s="1145"/>
      <c r="F38" s="1784"/>
      <c r="G38" s="133"/>
      <c r="H38" s="133"/>
      <c r="I38" s="133"/>
    </row>
    <row r="39" spans="1:15" ht="14">
      <c r="A39" s="1758" t="s">
        <v>1567</v>
      </c>
      <c r="B39" s="1787" t="s">
        <v>1568</v>
      </c>
      <c r="C39" s="1788" t="s">
        <v>1569</v>
      </c>
      <c r="D39" s="1788" t="s">
        <v>1570</v>
      </c>
      <c r="E39" s="1789" t="s">
        <v>1571</v>
      </c>
      <c r="F39" s="1784"/>
      <c r="G39" s="133"/>
      <c r="H39" s="133"/>
      <c r="I39" s="133"/>
    </row>
    <row r="40" spans="1:15" ht="14">
      <c r="A40" s="1790" t="s">
        <v>1572</v>
      </c>
      <c r="B40" s="153"/>
      <c r="C40" s="154"/>
      <c r="D40" s="154"/>
      <c r="E40" s="155"/>
      <c r="F40" s="1784"/>
      <c r="G40" s="133"/>
      <c r="H40" s="133"/>
      <c r="I40" s="133"/>
    </row>
    <row r="41" spans="1:15" ht="14">
      <c r="A41" s="1790" t="s">
        <v>1573</v>
      </c>
      <c r="B41" s="153"/>
      <c r="C41" s="154"/>
      <c r="D41" s="154"/>
      <c r="E41" s="155"/>
      <c r="F41" s="1784"/>
      <c r="G41" s="133"/>
      <c r="H41" s="133"/>
      <c r="I41" s="133"/>
    </row>
    <row r="42" spans="1:15" ht="14.5" thickBot="1">
      <c r="A42" s="1791"/>
      <c r="B42" s="156"/>
      <c r="C42" s="157"/>
      <c r="D42" s="157"/>
      <c r="E42" s="158"/>
      <c r="F42" s="1784"/>
      <c r="G42" s="133"/>
      <c r="H42" s="133"/>
      <c r="I42" s="133"/>
    </row>
    <row r="43" spans="1:15" ht="12.5">
      <c r="A43" s="1570"/>
      <c r="B43" s="1570"/>
      <c r="C43" s="1570"/>
      <c r="D43" s="1570"/>
      <c r="E43" s="1570"/>
      <c r="F43" s="1792"/>
      <c r="G43" s="1792"/>
      <c r="H43" s="1792"/>
      <c r="I43" s="1793"/>
    </row>
    <row r="44" spans="1:15" ht="18">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44872</v>
      </c>
      <c r="N47" s="3552"/>
      <c r="O47" s="3552"/>
    </row>
    <row r="48" spans="1:15" ht="26">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抵押担保权已注销时的房地产抵押价值</v>
      </c>
      <c r="L49" s="3531"/>
      <c r="M49" s="3553" t="str">
        <f>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6">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3">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6">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6.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3">
      <c r="A62" s="3495" t="s">
        <v>1625</v>
      </c>
      <c r="B62" s="3496"/>
      <c r="C62" s="1995"/>
      <c r="D62" s="1995" t="s">
        <v>1626</v>
      </c>
      <c r="E62" s="170" t="s">
        <v>1627</v>
      </c>
      <c r="F62" s="1802"/>
      <c r="G62" s="1802"/>
      <c r="H62" s="1804"/>
      <c r="I62" s="133"/>
    </row>
    <row r="63" spans="1:35" ht="13">
      <c r="A63" s="177" t="s">
        <v>563</v>
      </c>
      <c r="B63" s="171" t="s">
        <v>1628</v>
      </c>
      <c r="C63" s="2390" t="e">
        <f ca="1">ROUND((C64+C65)/(1+'数据-取费表'!C42),0)</f>
        <v>#REF!</v>
      </c>
      <c r="D63" s="171"/>
      <c r="E63" s="172"/>
      <c r="F63" s="1802"/>
      <c r="G63" s="1802"/>
      <c r="H63" s="1804"/>
      <c r="I63" s="133"/>
      <c r="J63" s="3557" t="s">
        <v>1629</v>
      </c>
      <c r="K63" s="1328" t="s">
        <v>1630</v>
      </c>
      <c r="L63" s="1328" t="e">
        <f>IF(M49&gt;10000,M49*0.5%,IF(AND(M49&gt;1000,M49&lt;=10000),M49*1%,IF(AND(M49&gt;100,M49&lt;=1000),M49*3%,IF(AND(M49&gt;10,M49&lt;=100),M49*5%,M49*8%))))</f>
        <v>#VALUE!</v>
      </c>
      <c r="M63" s="304" t="e">
        <f>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IF(M49&gt;1000,M49*0.1%,IF(AND(M49&gt;500,M49&lt;=1000),M49*0.5%,IF(AND(M49&gt;50,M49&lt;=500),M49*1%,IF(AND(M49&gt;1,M49&lt;=50),M49*1.5%))))</f>
        <v>#VALUE!</v>
      </c>
      <c r="M65" s="304" t="e">
        <f t="shared"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M49*0.5%</f>
        <v>#VALUE!</v>
      </c>
      <c r="M66" s="304" t="e">
        <f>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IF(M49&gt;10000,M49*0.5%,IF(AND(M49&gt;5000,M49&lt;=10000),M49*1%,IF(AND(M49&gt;1000,M49&lt;=5000),M49*2%,IF(AND(M49&gt;200,M49&lt;=1000),M49*3%,M49*5%))))</f>
        <v>#VALUE!</v>
      </c>
      <c r="M68" s="304" t="e">
        <f>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ROUND(SUM(M63:M68),0)</f>
        <v>#VALUE!</v>
      </c>
      <c r="N69" s="2371"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6">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6">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6.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6">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6.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254" width="9" style="253" customWidth="1"/>
    <col min="255" max="16384" width="8.36328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ht="13">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6">
      <c r="A25" s="794" t="s">
        <v>1758</v>
      </c>
      <c r="B25" s="217" t="s">
        <v>1759</v>
      </c>
      <c r="C25" s="1112" t="e">
        <f ca="1">ROUND(IF('数据-取费表'!B22&lt;=1,C20*F22*'数据-取费表'!B23/2,C20*(POWER((1+F22),'数据-取费表'!B23/2)-1)),0)</f>
        <v>#VALUE!</v>
      </c>
      <c r="D25" s="240"/>
      <c r="E25" s="243"/>
      <c r="F25" s="241"/>
      <c r="G25" s="244" t="s">
        <v>1760</v>
      </c>
    </row>
    <row r="26" spans="1:7" s="216" customFormat="1" ht="13">
      <c r="A26" s="794" t="s">
        <v>583</v>
      </c>
      <c r="B26" s="217" t="s">
        <v>1761</v>
      </c>
      <c r="C26" s="240" t="e">
        <f ca="1">ROUND(IF('数据-取费表'!B22&lt;=1,F21*F22*'数据-取费表'!B23/2,F21*(POWER((1+F22),'数据-取费表'!B23/2)-1)),4)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6">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3.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8" width="10.7265625" style="253" customWidth="1"/>
    <col min="9" max="254" width="9" style="253" customWidth="1"/>
    <col min="255" max="16384" width="8.36328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ht="13">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6">
      <c r="A25" s="794" t="s">
        <v>1726</v>
      </c>
      <c r="B25" s="217" t="s">
        <v>1837</v>
      </c>
      <c r="C25" s="1134" t="e">
        <f ca="1">ROUND(IF('数据-取费表'!B22&lt;=1,C20*F22*'数据-取费表'!B22/2,C20*(POWER((1+F22),'数据-取费表'!B22/2)-1)),0)</f>
        <v>#VALUE!</v>
      </c>
      <c r="D25" s="240"/>
      <c r="E25" s="243"/>
      <c r="F25" s="241"/>
      <c r="G25" s="244" t="s">
        <v>1838</v>
      </c>
    </row>
    <row r="26" spans="1:7" s="216" customFormat="1" ht="13">
      <c r="A26" s="794" t="s">
        <v>583</v>
      </c>
      <c r="B26" s="217" t="s">
        <v>1761</v>
      </c>
      <c r="C26" s="240" t="e">
        <f ca="1">ROUND(IF('数据-取费表'!B22&lt;=1,F21*F22*'数据-取费表'!B22/2,F21*(POWER((1+F22),'数据-取费表'!B22/2)-1)),4)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ht="13.5">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2" customWidth="1"/>
    <col min="2" max="2" width="25.7265625" style="795" customWidth="1"/>
    <col min="3" max="3" width="10.36328125" style="838" customWidth="1"/>
    <col min="4" max="4" width="9.90625" style="795" customWidth="1"/>
    <col min="5" max="5" width="9.453125" style="732" customWidth="1"/>
    <col min="6" max="6" width="10.08984375" style="795" customWidth="1"/>
    <col min="7" max="7" width="10.7265625" style="795" customWidth="1"/>
    <col min="8" max="8" width="10" style="795" customWidth="1"/>
    <col min="9" max="11" width="9.453125" style="795" customWidth="1"/>
    <col min="12" max="12" width="9" style="795" customWidth="1"/>
    <col min="13" max="13" width="10.453125" style="795" bestFit="1" customWidth="1"/>
    <col min="14" max="254" width="9" style="795" customWidth="1"/>
    <col min="255" max="16384" width="6.6328125" style="795"/>
  </cols>
  <sheetData>
    <row r="1" spans="1:33" ht="21">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6">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7265625" style="260" customWidth="1"/>
    <col min="6" max="6" width="10.6328125" style="260" customWidth="1"/>
    <col min="7" max="7" width="4.90625" style="260" customWidth="1"/>
    <col min="8" max="8" width="8.453125" style="260" customWidth="1"/>
    <col min="9" max="9" width="21.26953125" style="260" customWidth="1"/>
    <col min="10" max="10" width="12.26953125" style="260" customWidth="1"/>
    <col min="11" max="11" width="45.08984375" style="1460" customWidth="1"/>
    <col min="12" max="12" width="16.36328125" style="260" customWidth="1"/>
    <col min="13" max="13" width="13" style="260" customWidth="1"/>
    <col min="14" max="14" width="13.7265625" style="1376" customWidth="1"/>
    <col min="15" max="15" width="5.08984375" style="1376" customWidth="1"/>
    <col min="16" max="16" width="25.7265625" style="1376" customWidth="1"/>
    <col min="17" max="17" width="13.7265625" style="1376" customWidth="1"/>
    <col min="18" max="18" width="20.453125" style="1376" customWidth="1"/>
    <col min="19" max="19" width="13.269531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3">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5"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4"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6.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26.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40"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7265625" style="260" customWidth="1"/>
    <col min="6" max="6" width="10.6328125" style="260" customWidth="1"/>
    <col min="7" max="7" width="4.90625" style="260" customWidth="1"/>
    <col min="8" max="8" width="8.453125" style="260" customWidth="1"/>
    <col min="9" max="9" width="21.26953125" style="260" customWidth="1"/>
    <col min="10" max="10" width="12.26953125" style="260" customWidth="1"/>
    <col min="11" max="11" width="40.08984375" style="1460" customWidth="1"/>
    <col min="12" max="12" width="16.36328125" style="260" customWidth="1"/>
    <col min="13" max="13" width="13" style="260" customWidth="1"/>
    <col min="14" max="14" width="13.7265625" style="1376" customWidth="1"/>
    <col min="15" max="15" width="5.08984375" style="1376" customWidth="1"/>
    <col min="16" max="16" width="25.7265625" style="1376" customWidth="1"/>
    <col min="17" max="17" width="13.7265625" style="1376" customWidth="1"/>
    <col min="18" max="18" width="20.453125" style="1376" customWidth="1"/>
    <col min="19" max="19" width="13.269531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5"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4"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665" customWidth="1"/>
    <col min="2" max="2" width="8.90625" style="2665"/>
    <col min="3" max="5" width="12.90625" style="2665" customWidth="1"/>
    <col min="6" max="6" width="47.453125" style="2665" customWidth="1"/>
    <col min="7" max="7" width="13" style="2824" customWidth="1"/>
    <col min="8" max="8" width="8.90625" style="2659"/>
    <col min="9" max="9" width="8.90625" style="2660"/>
    <col min="10" max="10" width="5.7265625" style="2825" customWidth="1"/>
    <col min="11" max="11" width="11.7265625" style="2825" customWidth="1"/>
    <col min="12" max="13" width="10.7265625" style="2825" customWidth="1"/>
    <col min="14" max="14" width="10" style="2825" customWidth="1"/>
    <col min="15" max="16" width="10.453125" style="2825" bestFit="1" customWidth="1"/>
    <col min="17" max="17" width="10" style="2825" customWidth="1"/>
    <col min="18" max="18" width="10.08984375" style="2825" customWidth="1"/>
    <col min="19" max="19" width="10" style="2825" customWidth="1"/>
    <col min="20" max="20" width="26.08984375" style="2825" customWidth="1"/>
    <col min="21" max="21" width="8.90625" style="2825"/>
    <col min="22" max="22" width="8.90625" style="2660"/>
    <col min="23" max="256" width="8.90625" style="2665"/>
    <col min="257" max="257" width="9.453125" style="2665" customWidth="1"/>
    <col min="258" max="258" width="8.90625" style="2665"/>
    <col min="259" max="261" width="12.90625" style="2665" customWidth="1"/>
    <col min="262" max="262" width="47.453125" style="2665" customWidth="1"/>
    <col min="263" max="263" width="13" style="2665" customWidth="1"/>
    <col min="264" max="265" width="8.90625" style="2665"/>
    <col min="266" max="266" width="5.7265625" style="2665" customWidth="1"/>
    <col min="267" max="267" width="11.7265625" style="2665" customWidth="1"/>
    <col min="268" max="269" width="10.7265625" style="2665" customWidth="1"/>
    <col min="270" max="270" width="10" style="2665" customWidth="1"/>
    <col min="271" max="272" width="10.453125" style="2665" bestFit="1" customWidth="1"/>
    <col min="273" max="273" width="10" style="2665" customWidth="1"/>
    <col min="274" max="274" width="10.08984375" style="2665" customWidth="1"/>
    <col min="275" max="275" width="10" style="2665" customWidth="1"/>
    <col min="276" max="276" width="26.08984375" style="2665" customWidth="1"/>
    <col min="277" max="512" width="8.90625" style="2665"/>
    <col min="513" max="513" width="9.453125" style="2665" customWidth="1"/>
    <col min="514" max="514" width="8.90625" style="2665"/>
    <col min="515" max="517" width="12.90625" style="2665" customWidth="1"/>
    <col min="518" max="518" width="47.453125" style="2665" customWidth="1"/>
    <col min="519" max="519" width="13" style="2665" customWidth="1"/>
    <col min="520" max="521" width="8.90625" style="2665"/>
    <col min="522" max="522" width="5.7265625" style="2665" customWidth="1"/>
    <col min="523" max="523" width="11.7265625" style="2665" customWidth="1"/>
    <col min="524" max="525" width="10.7265625" style="2665" customWidth="1"/>
    <col min="526" max="526" width="10" style="2665" customWidth="1"/>
    <col min="527" max="528" width="10.453125" style="2665" bestFit="1" customWidth="1"/>
    <col min="529" max="529" width="10" style="2665" customWidth="1"/>
    <col min="530" max="530" width="10.08984375" style="2665" customWidth="1"/>
    <col min="531" max="531" width="10" style="2665" customWidth="1"/>
    <col min="532" max="532" width="26.08984375" style="2665" customWidth="1"/>
    <col min="533" max="768" width="8.90625" style="2665"/>
    <col min="769" max="769" width="9.453125" style="2665" customWidth="1"/>
    <col min="770" max="770" width="8.90625" style="2665"/>
    <col min="771" max="773" width="12.90625" style="2665" customWidth="1"/>
    <col min="774" max="774" width="47.453125" style="2665" customWidth="1"/>
    <col min="775" max="775" width="13" style="2665" customWidth="1"/>
    <col min="776" max="777" width="8.90625" style="2665"/>
    <col min="778" max="778" width="5.7265625" style="2665" customWidth="1"/>
    <col min="779" max="779" width="11.7265625" style="2665" customWidth="1"/>
    <col min="780" max="781" width="10.7265625" style="2665" customWidth="1"/>
    <col min="782" max="782" width="10" style="2665" customWidth="1"/>
    <col min="783" max="784" width="10.453125" style="2665" bestFit="1" customWidth="1"/>
    <col min="785" max="785" width="10" style="2665" customWidth="1"/>
    <col min="786" max="786" width="10.08984375" style="2665" customWidth="1"/>
    <col min="787" max="787" width="10" style="2665" customWidth="1"/>
    <col min="788" max="788" width="26.08984375" style="2665" customWidth="1"/>
    <col min="789" max="1024" width="8.90625" style="2665"/>
    <col min="1025" max="1025" width="9.453125" style="2665" customWidth="1"/>
    <col min="1026" max="1026" width="8.90625" style="2665"/>
    <col min="1027" max="1029" width="12.90625" style="2665" customWidth="1"/>
    <col min="1030" max="1030" width="47.453125" style="2665" customWidth="1"/>
    <col min="1031" max="1031" width="13" style="2665" customWidth="1"/>
    <col min="1032" max="1033" width="8.90625" style="2665"/>
    <col min="1034" max="1034" width="5.7265625" style="2665" customWidth="1"/>
    <col min="1035" max="1035" width="11.7265625" style="2665" customWidth="1"/>
    <col min="1036" max="1037" width="10.7265625" style="2665" customWidth="1"/>
    <col min="1038" max="1038" width="10" style="2665" customWidth="1"/>
    <col min="1039" max="1040" width="10.453125" style="2665" bestFit="1" customWidth="1"/>
    <col min="1041" max="1041" width="10" style="2665" customWidth="1"/>
    <col min="1042" max="1042" width="10.08984375" style="2665" customWidth="1"/>
    <col min="1043" max="1043" width="10" style="2665" customWidth="1"/>
    <col min="1044" max="1044" width="26.08984375" style="2665" customWidth="1"/>
    <col min="1045" max="1280" width="8.90625" style="2665"/>
    <col min="1281" max="1281" width="9.453125" style="2665" customWidth="1"/>
    <col min="1282" max="1282" width="8.90625" style="2665"/>
    <col min="1283" max="1285" width="12.90625" style="2665" customWidth="1"/>
    <col min="1286" max="1286" width="47.453125" style="2665" customWidth="1"/>
    <col min="1287" max="1287" width="13" style="2665" customWidth="1"/>
    <col min="1288" max="1289" width="8.90625" style="2665"/>
    <col min="1290" max="1290" width="5.7265625" style="2665" customWidth="1"/>
    <col min="1291" max="1291" width="11.7265625" style="2665" customWidth="1"/>
    <col min="1292" max="1293" width="10.7265625" style="2665" customWidth="1"/>
    <col min="1294" max="1294" width="10" style="2665" customWidth="1"/>
    <col min="1295" max="1296" width="10.453125" style="2665" bestFit="1" customWidth="1"/>
    <col min="1297" max="1297" width="10" style="2665" customWidth="1"/>
    <col min="1298" max="1298" width="10.08984375" style="2665" customWidth="1"/>
    <col min="1299" max="1299" width="10" style="2665" customWidth="1"/>
    <col min="1300" max="1300" width="26.08984375" style="2665" customWidth="1"/>
    <col min="1301" max="1536" width="8.90625" style="2665"/>
    <col min="1537" max="1537" width="9.453125" style="2665" customWidth="1"/>
    <col min="1538" max="1538" width="8.90625" style="2665"/>
    <col min="1539" max="1541" width="12.90625" style="2665" customWidth="1"/>
    <col min="1542" max="1542" width="47.453125" style="2665" customWidth="1"/>
    <col min="1543" max="1543" width="13" style="2665" customWidth="1"/>
    <col min="1544" max="1545" width="8.90625" style="2665"/>
    <col min="1546" max="1546" width="5.7265625" style="2665" customWidth="1"/>
    <col min="1547" max="1547" width="11.7265625" style="2665" customWidth="1"/>
    <col min="1548" max="1549" width="10.7265625" style="2665" customWidth="1"/>
    <col min="1550" max="1550" width="10" style="2665" customWidth="1"/>
    <col min="1551" max="1552" width="10.453125" style="2665" bestFit="1" customWidth="1"/>
    <col min="1553" max="1553" width="10" style="2665" customWidth="1"/>
    <col min="1554" max="1554" width="10.08984375" style="2665" customWidth="1"/>
    <col min="1555" max="1555" width="10" style="2665" customWidth="1"/>
    <col min="1556" max="1556" width="26.08984375" style="2665" customWidth="1"/>
    <col min="1557" max="1792" width="8.90625" style="2665"/>
    <col min="1793" max="1793" width="9.453125" style="2665" customWidth="1"/>
    <col min="1794" max="1794" width="8.90625" style="2665"/>
    <col min="1795" max="1797" width="12.90625" style="2665" customWidth="1"/>
    <col min="1798" max="1798" width="47.453125" style="2665" customWidth="1"/>
    <col min="1799" max="1799" width="13" style="2665" customWidth="1"/>
    <col min="1800" max="1801" width="8.90625" style="2665"/>
    <col min="1802" max="1802" width="5.7265625" style="2665" customWidth="1"/>
    <col min="1803" max="1803" width="11.7265625" style="2665" customWidth="1"/>
    <col min="1804" max="1805" width="10.7265625" style="2665" customWidth="1"/>
    <col min="1806" max="1806" width="10" style="2665" customWidth="1"/>
    <col min="1807" max="1808" width="10.453125" style="2665" bestFit="1" customWidth="1"/>
    <col min="1809" max="1809" width="10" style="2665" customWidth="1"/>
    <col min="1810" max="1810" width="10.08984375" style="2665" customWidth="1"/>
    <col min="1811" max="1811" width="10" style="2665" customWidth="1"/>
    <col min="1812" max="1812" width="26.08984375" style="2665" customWidth="1"/>
    <col min="1813" max="2048" width="8.90625" style="2665"/>
    <col min="2049" max="2049" width="9.453125" style="2665" customWidth="1"/>
    <col min="2050" max="2050" width="8.90625" style="2665"/>
    <col min="2051" max="2053" width="12.90625" style="2665" customWidth="1"/>
    <col min="2054" max="2054" width="47.453125" style="2665" customWidth="1"/>
    <col min="2055" max="2055" width="13" style="2665" customWidth="1"/>
    <col min="2056" max="2057" width="8.90625" style="2665"/>
    <col min="2058" max="2058" width="5.7265625" style="2665" customWidth="1"/>
    <col min="2059" max="2059" width="11.7265625" style="2665" customWidth="1"/>
    <col min="2060" max="2061" width="10.7265625" style="2665" customWidth="1"/>
    <col min="2062" max="2062" width="10" style="2665" customWidth="1"/>
    <col min="2063" max="2064" width="10.453125" style="2665" bestFit="1" customWidth="1"/>
    <col min="2065" max="2065" width="10" style="2665" customWidth="1"/>
    <col min="2066" max="2066" width="10.08984375" style="2665" customWidth="1"/>
    <col min="2067" max="2067" width="10" style="2665" customWidth="1"/>
    <col min="2068" max="2068" width="26.08984375" style="2665" customWidth="1"/>
    <col min="2069" max="2304" width="8.90625" style="2665"/>
    <col min="2305" max="2305" width="9.453125" style="2665" customWidth="1"/>
    <col min="2306" max="2306" width="8.90625" style="2665"/>
    <col min="2307" max="2309" width="12.90625" style="2665" customWidth="1"/>
    <col min="2310" max="2310" width="47.453125" style="2665" customWidth="1"/>
    <col min="2311" max="2311" width="13" style="2665" customWidth="1"/>
    <col min="2312" max="2313" width="8.90625" style="2665"/>
    <col min="2314" max="2314" width="5.7265625" style="2665" customWidth="1"/>
    <col min="2315" max="2315" width="11.7265625" style="2665" customWidth="1"/>
    <col min="2316" max="2317" width="10.7265625" style="2665" customWidth="1"/>
    <col min="2318" max="2318" width="10" style="2665" customWidth="1"/>
    <col min="2319" max="2320" width="10.453125" style="2665" bestFit="1" customWidth="1"/>
    <col min="2321" max="2321" width="10" style="2665" customWidth="1"/>
    <col min="2322" max="2322" width="10.08984375" style="2665" customWidth="1"/>
    <col min="2323" max="2323" width="10" style="2665" customWidth="1"/>
    <col min="2324" max="2324" width="26.08984375" style="2665" customWidth="1"/>
    <col min="2325" max="2560" width="8.90625" style="2665"/>
    <col min="2561" max="2561" width="9.453125" style="2665" customWidth="1"/>
    <col min="2562" max="2562" width="8.90625" style="2665"/>
    <col min="2563" max="2565" width="12.90625" style="2665" customWidth="1"/>
    <col min="2566" max="2566" width="47.453125" style="2665" customWidth="1"/>
    <col min="2567" max="2567" width="13" style="2665" customWidth="1"/>
    <col min="2568" max="2569" width="8.90625" style="2665"/>
    <col min="2570" max="2570" width="5.7265625" style="2665" customWidth="1"/>
    <col min="2571" max="2571" width="11.7265625" style="2665" customWidth="1"/>
    <col min="2572" max="2573" width="10.7265625" style="2665" customWidth="1"/>
    <col min="2574" max="2574" width="10" style="2665" customWidth="1"/>
    <col min="2575" max="2576" width="10.453125" style="2665" bestFit="1" customWidth="1"/>
    <col min="2577" max="2577" width="10" style="2665" customWidth="1"/>
    <col min="2578" max="2578" width="10.08984375" style="2665" customWidth="1"/>
    <col min="2579" max="2579" width="10" style="2665" customWidth="1"/>
    <col min="2580" max="2580" width="26.08984375" style="2665" customWidth="1"/>
    <col min="2581" max="2816" width="8.90625" style="2665"/>
    <col min="2817" max="2817" width="9.453125" style="2665" customWidth="1"/>
    <col min="2818" max="2818" width="8.90625" style="2665"/>
    <col min="2819" max="2821" width="12.90625" style="2665" customWidth="1"/>
    <col min="2822" max="2822" width="47.453125" style="2665" customWidth="1"/>
    <col min="2823" max="2823" width="13" style="2665" customWidth="1"/>
    <col min="2824" max="2825" width="8.90625" style="2665"/>
    <col min="2826" max="2826" width="5.7265625" style="2665" customWidth="1"/>
    <col min="2827" max="2827" width="11.7265625" style="2665" customWidth="1"/>
    <col min="2828" max="2829" width="10.7265625" style="2665" customWidth="1"/>
    <col min="2830" max="2830" width="10" style="2665" customWidth="1"/>
    <col min="2831" max="2832" width="10.453125" style="2665" bestFit="1" customWidth="1"/>
    <col min="2833" max="2833" width="10" style="2665" customWidth="1"/>
    <col min="2834" max="2834" width="10.08984375" style="2665" customWidth="1"/>
    <col min="2835" max="2835" width="10" style="2665" customWidth="1"/>
    <col min="2836" max="2836" width="26.08984375" style="2665" customWidth="1"/>
    <col min="2837" max="3072" width="8.90625" style="2665"/>
    <col min="3073" max="3073" width="9.453125" style="2665" customWidth="1"/>
    <col min="3074" max="3074" width="8.90625" style="2665"/>
    <col min="3075" max="3077" width="12.90625" style="2665" customWidth="1"/>
    <col min="3078" max="3078" width="47.453125" style="2665" customWidth="1"/>
    <col min="3079" max="3079" width="13" style="2665" customWidth="1"/>
    <col min="3080" max="3081" width="8.90625" style="2665"/>
    <col min="3082" max="3082" width="5.7265625" style="2665" customWidth="1"/>
    <col min="3083" max="3083" width="11.7265625" style="2665" customWidth="1"/>
    <col min="3084" max="3085" width="10.7265625" style="2665" customWidth="1"/>
    <col min="3086" max="3086" width="10" style="2665" customWidth="1"/>
    <col min="3087" max="3088" width="10.453125" style="2665" bestFit="1" customWidth="1"/>
    <col min="3089" max="3089" width="10" style="2665" customWidth="1"/>
    <col min="3090" max="3090" width="10.08984375" style="2665" customWidth="1"/>
    <col min="3091" max="3091" width="10" style="2665" customWidth="1"/>
    <col min="3092" max="3092" width="26.08984375" style="2665" customWidth="1"/>
    <col min="3093" max="3328" width="8.90625" style="2665"/>
    <col min="3329" max="3329" width="9.453125" style="2665" customWidth="1"/>
    <col min="3330" max="3330" width="8.90625" style="2665"/>
    <col min="3331" max="3333" width="12.90625" style="2665" customWidth="1"/>
    <col min="3334" max="3334" width="47.453125" style="2665" customWidth="1"/>
    <col min="3335" max="3335" width="13" style="2665" customWidth="1"/>
    <col min="3336" max="3337" width="8.90625" style="2665"/>
    <col min="3338" max="3338" width="5.7265625" style="2665" customWidth="1"/>
    <col min="3339" max="3339" width="11.7265625" style="2665" customWidth="1"/>
    <col min="3340" max="3341" width="10.7265625" style="2665" customWidth="1"/>
    <col min="3342" max="3342" width="10" style="2665" customWidth="1"/>
    <col min="3343" max="3344" width="10.453125" style="2665" bestFit="1" customWidth="1"/>
    <col min="3345" max="3345" width="10" style="2665" customWidth="1"/>
    <col min="3346" max="3346" width="10.08984375" style="2665" customWidth="1"/>
    <col min="3347" max="3347" width="10" style="2665" customWidth="1"/>
    <col min="3348" max="3348" width="26.08984375" style="2665" customWidth="1"/>
    <col min="3349" max="3584" width="8.90625" style="2665"/>
    <col min="3585" max="3585" width="9.453125" style="2665" customWidth="1"/>
    <col min="3586" max="3586" width="8.90625" style="2665"/>
    <col min="3587" max="3589" width="12.90625" style="2665" customWidth="1"/>
    <col min="3590" max="3590" width="47.453125" style="2665" customWidth="1"/>
    <col min="3591" max="3591" width="13" style="2665" customWidth="1"/>
    <col min="3592" max="3593" width="8.90625" style="2665"/>
    <col min="3594" max="3594" width="5.7265625" style="2665" customWidth="1"/>
    <col min="3595" max="3595" width="11.7265625" style="2665" customWidth="1"/>
    <col min="3596" max="3597" width="10.7265625" style="2665" customWidth="1"/>
    <col min="3598" max="3598" width="10" style="2665" customWidth="1"/>
    <col min="3599" max="3600" width="10.453125" style="2665" bestFit="1" customWidth="1"/>
    <col min="3601" max="3601" width="10" style="2665" customWidth="1"/>
    <col min="3602" max="3602" width="10.08984375" style="2665" customWidth="1"/>
    <col min="3603" max="3603" width="10" style="2665" customWidth="1"/>
    <col min="3604" max="3604" width="26.08984375" style="2665" customWidth="1"/>
    <col min="3605" max="3840" width="8.90625" style="2665"/>
    <col min="3841" max="3841" width="9.453125" style="2665" customWidth="1"/>
    <col min="3842" max="3842" width="8.90625" style="2665"/>
    <col min="3843" max="3845" width="12.90625" style="2665" customWidth="1"/>
    <col min="3846" max="3846" width="47.453125" style="2665" customWidth="1"/>
    <col min="3847" max="3847" width="13" style="2665" customWidth="1"/>
    <col min="3848" max="3849" width="8.90625" style="2665"/>
    <col min="3850" max="3850" width="5.7265625" style="2665" customWidth="1"/>
    <col min="3851" max="3851" width="11.7265625" style="2665" customWidth="1"/>
    <col min="3852" max="3853" width="10.7265625" style="2665" customWidth="1"/>
    <col min="3854" max="3854" width="10" style="2665" customWidth="1"/>
    <col min="3855" max="3856" width="10.453125" style="2665" bestFit="1" customWidth="1"/>
    <col min="3857" max="3857" width="10" style="2665" customWidth="1"/>
    <col min="3858" max="3858" width="10.08984375" style="2665" customWidth="1"/>
    <col min="3859" max="3859" width="10" style="2665" customWidth="1"/>
    <col min="3860" max="3860" width="26.08984375" style="2665" customWidth="1"/>
    <col min="3861" max="4096" width="8.90625" style="2665"/>
    <col min="4097" max="4097" width="9.453125" style="2665" customWidth="1"/>
    <col min="4098" max="4098" width="8.90625" style="2665"/>
    <col min="4099" max="4101" width="12.90625" style="2665" customWidth="1"/>
    <col min="4102" max="4102" width="47.453125" style="2665" customWidth="1"/>
    <col min="4103" max="4103" width="13" style="2665" customWidth="1"/>
    <col min="4104" max="4105" width="8.90625" style="2665"/>
    <col min="4106" max="4106" width="5.7265625" style="2665" customWidth="1"/>
    <col min="4107" max="4107" width="11.7265625" style="2665" customWidth="1"/>
    <col min="4108" max="4109" width="10.7265625" style="2665" customWidth="1"/>
    <col min="4110" max="4110" width="10" style="2665" customWidth="1"/>
    <col min="4111" max="4112" width="10.453125" style="2665" bestFit="1" customWidth="1"/>
    <col min="4113" max="4113" width="10" style="2665" customWidth="1"/>
    <col min="4114" max="4114" width="10.08984375" style="2665" customWidth="1"/>
    <col min="4115" max="4115" width="10" style="2665" customWidth="1"/>
    <col min="4116" max="4116" width="26.08984375" style="2665" customWidth="1"/>
    <col min="4117" max="4352" width="8.90625" style="2665"/>
    <col min="4353" max="4353" width="9.453125" style="2665" customWidth="1"/>
    <col min="4354" max="4354" width="8.90625" style="2665"/>
    <col min="4355" max="4357" width="12.90625" style="2665" customWidth="1"/>
    <col min="4358" max="4358" width="47.453125" style="2665" customWidth="1"/>
    <col min="4359" max="4359" width="13" style="2665" customWidth="1"/>
    <col min="4360" max="4361" width="8.90625" style="2665"/>
    <col min="4362" max="4362" width="5.7265625" style="2665" customWidth="1"/>
    <col min="4363" max="4363" width="11.7265625" style="2665" customWidth="1"/>
    <col min="4364" max="4365" width="10.7265625" style="2665" customWidth="1"/>
    <col min="4366" max="4366" width="10" style="2665" customWidth="1"/>
    <col min="4367" max="4368" width="10.453125" style="2665" bestFit="1" customWidth="1"/>
    <col min="4369" max="4369" width="10" style="2665" customWidth="1"/>
    <col min="4370" max="4370" width="10.08984375" style="2665" customWidth="1"/>
    <col min="4371" max="4371" width="10" style="2665" customWidth="1"/>
    <col min="4372" max="4372" width="26.08984375" style="2665" customWidth="1"/>
    <col min="4373" max="4608" width="8.90625" style="2665"/>
    <col min="4609" max="4609" width="9.453125" style="2665" customWidth="1"/>
    <col min="4610" max="4610" width="8.90625" style="2665"/>
    <col min="4611" max="4613" width="12.90625" style="2665" customWidth="1"/>
    <col min="4614" max="4614" width="47.453125" style="2665" customWidth="1"/>
    <col min="4615" max="4615" width="13" style="2665" customWidth="1"/>
    <col min="4616" max="4617" width="8.90625" style="2665"/>
    <col min="4618" max="4618" width="5.7265625" style="2665" customWidth="1"/>
    <col min="4619" max="4619" width="11.7265625" style="2665" customWidth="1"/>
    <col min="4620" max="4621" width="10.7265625" style="2665" customWidth="1"/>
    <col min="4622" max="4622" width="10" style="2665" customWidth="1"/>
    <col min="4623" max="4624" width="10.453125" style="2665" bestFit="1" customWidth="1"/>
    <col min="4625" max="4625" width="10" style="2665" customWidth="1"/>
    <col min="4626" max="4626" width="10.08984375" style="2665" customWidth="1"/>
    <col min="4627" max="4627" width="10" style="2665" customWidth="1"/>
    <col min="4628" max="4628" width="26.08984375" style="2665" customWidth="1"/>
    <col min="4629" max="4864" width="8.90625" style="2665"/>
    <col min="4865" max="4865" width="9.453125" style="2665" customWidth="1"/>
    <col min="4866" max="4866" width="8.90625" style="2665"/>
    <col min="4867" max="4869" width="12.90625" style="2665" customWidth="1"/>
    <col min="4870" max="4870" width="47.453125" style="2665" customWidth="1"/>
    <col min="4871" max="4871" width="13" style="2665" customWidth="1"/>
    <col min="4872" max="4873" width="8.90625" style="2665"/>
    <col min="4874" max="4874" width="5.7265625" style="2665" customWidth="1"/>
    <col min="4875" max="4875" width="11.7265625" style="2665" customWidth="1"/>
    <col min="4876" max="4877" width="10.7265625" style="2665" customWidth="1"/>
    <col min="4878" max="4878" width="10" style="2665" customWidth="1"/>
    <col min="4879" max="4880" width="10.453125" style="2665" bestFit="1" customWidth="1"/>
    <col min="4881" max="4881" width="10" style="2665" customWidth="1"/>
    <col min="4882" max="4882" width="10.08984375" style="2665" customWidth="1"/>
    <col min="4883" max="4883" width="10" style="2665" customWidth="1"/>
    <col min="4884" max="4884" width="26.08984375" style="2665" customWidth="1"/>
    <col min="4885" max="5120" width="8.90625" style="2665"/>
    <col min="5121" max="5121" width="9.453125" style="2665" customWidth="1"/>
    <col min="5122" max="5122" width="8.90625" style="2665"/>
    <col min="5123" max="5125" width="12.90625" style="2665" customWidth="1"/>
    <col min="5126" max="5126" width="47.453125" style="2665" customWidth="1"/>
    <col min="5127" max="5127" width="13" style="2665" customWidth="1"/>
    <col min="5128" max="5129" width="8.90625" style="2665"/>
    <col min="5130" max="5130" width="5.7265625" style="2665" customWidth="1"/>
    <col min="5131" max="5131" width="11.7265625" style="2665" customWidth="1"/>
    <col min="5132" max="5133" width="10.7265625" style="2665" customWidth="1"/>
    <col min="5134" max="5134" width="10" style="2665" customWidth="1"/>
    <col min="5135" max="5136" width="10.453125" style="2665" bestFit="1" customWidth="1"/>
    <col min="5137" max="5137" width="10" style="2665" customWidth="1"/>
    <col min="5138" max="5138" width="10.08984375" style="2665" customWidth="1"/>
    <col min="5139" max="5139" width="10" style="2665" customWidth="1"/>
    <col min="5140" max="5140" width="26.08984375" style="2665" customWidth="1"/>
    <col min="5141" max="5376" width="8.90625" style="2665"/>
    <col min="5377" max="5377" width="9.453125" style="2665" customWidth="1"/>
    <col min="5378" max="5378" width="8.90625" style="2665"/>
    <col min="5379" max="5381" width="12.90625" style="2665" customWidth="1"/>
    <col min="5382" max="5382" width="47.453125" style="2665" customWidth="1"/>
    <col min="5383" max="5383" width="13" style="2665" customWidth="1"/>
    <col min="5384" max="5385" width="8.90625" style="2665"/>
    <col min="5386" max="5386" width="5.7265625" style="2665" customWidth="1"/>
    <col min="5387" max="5387" width="11.7265625" style="2665" customWidth="1"/>
    <col min="5388" max="5389" width="10.7265625" style="2665" customWidth="1"/>
    <col min="5390" max="5390" width="10" style="2665" customWidth="1"/>
    <col min="5391" max="5392" width="10.453125" style="2665" bestFit="1" customWidth="1"/>
    <col min="5393" max="5393" width="10" style="2665" customWidth="1"/>
    <col min="5394" max="5394" width="10.08984375" style="2665" customWidth="1"/>
    <col min="5395" max="5395" width="10" style="2665" customWidth="1"/>
    <col min="5396" max="5396" width="26.08984375" style="2665" customWidth="1"/>
    <col min="5397" max="5632" width="8.90625" style="2665"/>
    <col min="5633" max="5633" width="9.453125" style="2665" customWidth="1"/>
    <col min="5634" max="5634" width="8.90625" style="2665"/>
    <col min="5635" max="5637" width="12.90625" style="2665" customWidth="1"/>
    <col min="5638" max="5638" width="47.453125" style="2665" customWidth="1"/>
    <col min="5639" max="5639" width="13" style="2665" customWidth="1"/>
    <col min="5640" max="5641" width="8.90625" style="2665"/>
    <col min="5642" max="5642" width="5.7265625" style="2665" customWidth="1"/>
    <col min="5643" max="5643" width="11.7265625" style="2665" customWidth="1"/>
    <col min="5644" max="5645" width="10.7265625" style="2665" customWidth="1"/>
    <col min="5646" max="5646" width="10" style="2665" customWidth="1"/>
    <col min="5647" max="5648" width="10.453125" style="2665" bestFit="1" customWidth="1"/>
    <col min="5649" max="5649" width="10" style="2665" customWidth="1"/>
    <col min="5650" max="5650" width="10.08984375" style="2665" customWidth="1"/>
    <col min="5651" max="5651" width="10" style="2665" customWidth="1"/>
    <col min="5652" max="5652" width="26.08984375" style="2665" customWidth="1"/>
    <col min="5653" max="5888" width="8.90625" style="2665"/>
    <col min="5889" max="5889" width="9.453125" style="2665" customWidth="1"/>
    <col min="5890" max="5890" width="8.90625" style="2665"/>
    <col min="5891" max="5893" width="12.90625" style="2665" customWidth="1"/>
    <col min="5894" max="5894" width="47.453125" style="2665" customWidth="1"/>
    <col min="5895" max="5895" width="13" style="2665" customWidth="1"/>
    <col min="5896" max="5897" width="8.90625" style="2665"/>
    <col min="5898" max="5898" width="5.7265625" style="2665" customWidth="1"/>
    <col min="5899" max="5899" width="11.7265625" style="2665" customWidth="1"/>
    <col min="5900" max="5901" width="10.7265625" style="2665" customWidth="1"/>
    <col min="5902" max="5902" width="10" style="2665" customWidth="1"/>
    <col min="5903" max="5904" width="10.453125" style="2665" bestFit="1" customWidth="1"/>
    <col min="5905" max="5905" width="10" style="2665" customWidth="1"/>
    <col min="5906" max="5906" width="10.08984375" style="2665" customWidth="1"/>
    <col min="5907" max="5907" width="10" style="2665" customWidth="1"/>
    <col min="5908" max="5908" width="26.08984375" style="2665" customWidth="1"/>
    <col min="5909" max="6144" width="8.90625" style="2665"/>
    <col min="6145" max="6145" width="9.453125" style="2665" customWidth="1"/>
    <col min="6146" max="6146" width="8.90625" style="2665"/>
    <col min="6147" max="6149" width="12.90625" style="2665" customWidth="1"/>
    <col min="6150" max="6150" width="47.453125" style="2665" customWidth="1"/>
    <col min="6151" max="6151" width="13" style="2665" customWidth="1"/>
    <col min="6152" max="6153" width="8.90625" style="2665"/>
    <col min="6154" max="6154" width="5.7265625" style="2665" customWidth="1"/>
    <col min="6155" max="6155" width="11.7265625" style="2665" customWidth="1"/>
    <col min="6156" max="6157" width="10.7265625" style="2665" customWidth="1"/>
    <col min="6158" max="6158" width="10" style="2665" customWidth="1"/>
    <col min="6159" max="6160" width="10.453125" style="2665" bestFit="1" customWidth="1"/>
    <col min="6161" max="6161" width="10" style="2665" customWidth="1"/>
    <col min="6162" max="6162" width="10.08984375" style="2665" customWidth="1"/>
    <col min="6163" max="6163" width="10" style="2665" customWidth="1"/>
    <col min="6164" max="6164" width="26.08984375" style="2665" customWidth="1"/>
    <col min="6165" max="6400" width="8.90625" style="2665"/>
    <col min="6401" max="6401" width="9.453125" style="2665" customWidth="1"/>
    <col min="6402" max="6402" width="8.90625" style="2665"/>
    <col min="6403" max="6405" width="12.90625" style="2665" customWidth="1"/>
    <col min="6406" max="6406" width="47.453125" style="2665" customWidth="1"/>
    <col min="6407" max="6407" width="13" style="2665" customWidth="1"/>
    <col min="6408" max="6409" width="8.90625" style="2665"/>
    <col min="6410" max="6410" width="5.7265625" style="2665" customWidth="1"/>
    <col min="6411" max="6411" width="11.7265625" style="2665" customWidth="1"/>
    <col min="6412" max="6413" width="10.7265625" style="2665" customWidth="1"/>
    <col min="6414" max="6414" width="10" style="2665" customWidth="1"/>
    <col min="6415" max="6416" width="10.453125" style="2665" bestFit="1" customWidth="1"/>
    <col min="6417" max="6417" width="10" style="2665" customWidth="1"/>
    <col min="6418" max="6418" width="10.08984375" style="2665" customWidth="1"/>
    <col min="6419" max="6419" width="10" style="2665" customWidth="1"/>
    <col min="6420" max="6420" width="26.08984375" style="2665" customWidth="1"/>
    <col min="6421" max="6656" width="8.90625" style="2665"/>
    <col min="6657" max="6657" width="9.453125" style="2665" customWidth="1"/>
    <col min="6658" max="6658" width="8.90625" style="2665"/>
    <col min="6659" max="6661" width="12.90625" style="2665" customWidth="1"/>
    <col min="6662" max="6662" width="47.453125" style="2665" customWidth="1"/>
    <col min="6663" max="6663" width="13" style="2665" customWidth="1"/>
    <col min="6664" max="6665" width="8.90625" style="2665"/>
    <col min="6666" max="6666" width="5.7265625" style="2665" customWidth="1"/>
    <col min="6667" max="6667" width="11.7265625" style="2665" customWidth="1"/>
    <col min="6668" max="6669" width="10.7265625" style="2665" customWidth="1"/>
    <col min="6670" max="6670" width="10" style="2665" customWidth="1"/>
    <col min="6671" max="6672" width="10.453125" style="2665" bestFit="1" customWidth="1"/>
    <col min="6673" max="6673" width="10" style="2665" customWidth="1"/>
    <col min="6674" max="6674" width="10.08984375" style="2665" customWidth="1"/>
    <col min="6675" max="6675" width="10" style="2665" customWidth="1"/>
    <col min="6676" max="6676" width="26.08984375" style="2665" customWidth="1"/>
    <col min="6677" max="6912" width="8.90625" style="2665"/>
    <col min="6913" max="6913" width="9.453125" style="2665" customWidth="1"/>
    <col min="6914" max="6914" width="8.90625" style="2665"/>
    <col min="6915" max="6917" width="12.90625" style="2665" customWidth="1"/>
    <col min="6918" max="6918" width="47.453125" style="2665" customWidth="1"/>
    <col min="6919" max="6919" width="13" style="2665" customWidth="1"/>
    <col min="6920" max="6921" width="8.90625" style="2665"/>
    <col min="6922" max="6922" width="5.7265625" style="2665" customWidth="1"/>
    <col min="6923" max="6923" width="11.7265625" style="2665" customWidth="1"/>
    <col min="6924" max="6925" width="10.7265625" style="2665" customWidth="1"/>
    <col min="6926" max="6926" width="10" style="2665" customWidth="1"/>
    <col min="6927" max="6928" width="10.453125" style="2665" bestFit="1" customWidth="1"/>
    <col min="6929" max="6929" width="10" style="2665" customWidth="1"/>
    <col min="6930" max="6930" width="10.08984375" style="2665" customWidth="1"/>
    <col min="6931" max="6931" width="10" style="2665" customWidth="1"/>
    <col min="6932" max="6932" width="26.08984375" style="2665" customWidth="1"/>
    <col min="6933" max="7168" width="8.90625" style="2665"/>
    <col min="7169" max="7169" width="9.453125" style="2665" customWidth="1"/>
    <col min="7170" max="7170" width="8.90625" style="2665"/>
    <col min="7171" max="7173" width="12.90625" style="2665" customWidth="1"/>
    <col min="7174" max="7174" width="47.453125" style="2665" customWidth="1"/>
    <col min="7175" max="7175" width="13" style="2665" customWidth="1"/>
    <col min="7176" max="7177" width="8.90625" style="2665"/>
    <col min="7178" max="7178" width="5.7265625" style="2665" customWidth="1"/>
    <col min="7179" max="7179" width="11.7265625" style="2665" customWidth="1"/>
    <col min="7180" max="7181" width="10.7265625" style="2665" customWidth="1"/>
    <col min="7182" max="7182" width="10" style="2665" customWidth="1"/>
    <col min="7183" max="7184" width="10.453125" style="2665" bestFit="1" customWidth="1"/>
    <col min="7185" max="7185" width="10" style="2665" customWidth="1"/>
    <col min="7186" max="7186" width="10.08984375" style="2665" customWidth="1"/>
    <col min="7187" max="7187" width="10" style="2665" customWidth="1"/>
    <col min="7188" max="7188" width="26.08984375" style="2665" customWidth="1"/>
    <col min="7189" max="7424" width="8.90625" style="2665"/>
    <col min="7425" max="7425" width="9.453125" style="2665" customWidth="1"/>
    <col min="7426" max="7426" width="8.90625" style="2665"/>
    <col min="7427" max="7429" width="12.90625" style="2665" customWidth="1"/>
    <col min="7430" max="7430" width="47.453125" style="2665" customWidth="1"/>
    <col min="7431" max="7431" width="13" style="2665" customWidth="1"/>
    <col min="7432" max="7433" width="8.90625" style="2665"/>
    <col min="7434" max="7434" width="5.7265625" style="2665" customWidth="1"/>
    <col min="7435" max="7435" width="11.7265625" style="2665" customWidth="1"/>
    <col min="7436" max="7437" width="10.7265625" style="2665" customWidth="1"/>
    <col min="7438" max="7438" width="10" style="2665" customWidth="1"/>
    <col min="7439" max="7440" width="10.453125" style="2665" bestFit="1" customWidth="1"/>
    <col min="7441" max="7441" width="10" style="2665" customWidth="1"/>
    <col min="7442" max="7442" width="10.08984375" style="2665" customWidth="1"/>
    <col min="7443" max="7443" width="10" style="2665" customWidth="1"/>
    <col min="7444" max="7444" width="26.08984375" style="2665" customWidth="1"/>
    <col min="7445" max="7680" width="8.90625" style="2665"/>
    <col min="7681" max="7681" width="9.453125" style="2665" customWidth="1"/>
    <col min="7682" max="7682" width="8.90625" style="2665"/>
    <col min="7683" max="7685" width="12.90625" style="2665" customWidth="1"/>
    <col min="7686" max="7686" width="47.453125" style="2665" customWidth="1"/>
    <col min="7687" max="7687" width="13" style="2665" customWidth="1"/>
    <col min="7688" max="7689" width="8.90625" style="2665"/>
    <col min="7690" max="7690" width="5.7265625" style="2665" customWidth="1"/>
    <col min="7691" max="7691" width="11.7265625" style="2665" customWidth="1"/>
    <col min="7692" max="7693" width="10.7265625" style="2665" customWidth="1"/>
    <col min="7694" max="7694" width="10" style="2665" customWidth="1"/>
    <col min="7695" max="7696" width="10.453125" style="2665" bestFit="1" customWidth="1"/>
    <col min="7697" max="7697" width="10" style="2665" customWidth="1"/>
    <col min="7698" max="7698" width="10.08984375" style="2665" customWidth="1"/>
    <col min="7699" max="7699" width="10" style="2665" customWidth="1"/>
    <col min="7700" max="7700" width="26.08984375" style="2665" customWidth="1"/>
    <col min="7701" max="7936" width="8.90625" style="2665"/>
    <col min="7937" max="7937" width="9.453125" style="2665" customWidth="1"/>
    <col min="7938" max="7938" width="8.90625" style="2665"/>
    <col min="7939" max="7941" width="12.90625" style="2665" customWidth="1"/>
    <col min="7942" max="7942" width="47.453125" style="2665" customWidth="1"/>
    <col min="7943" max="7943" width="13" style="2665" customWidth="1"/>
    <col min="7944" max="7945" width="8.90625" style="2665"/>
    <col min="7946" max="7946" width="5.7265625" style="2665" customWidth="1"/>
    <col min="7947" max="7947" width="11.7265625" style="2665" customWidth="1"/>
    <col min="7948" max="7949" width="10.7265625" style="2665" customWidth="1"/>
    <col min="7950" max="7950" width="10" style="2665" customWidth="1"/>
    <col min="7951" max="7952" width="10.453125" style="2665" bestFit="1" customWidth="1"/>
    <col min="7953" max="7953" width="10" style="2665" customWidth="1"/>
    <col min="7954" max="7954" width="10.08984375" style="2665" customWidth="1"/>
    <col min="7955" max="7955" width="10" style="2665" customWidth="1"/>
    <col min="7956" max="7956" width="26.08984375" style="2665" customWidth="1"/>
    <col min="7957" max="8192" width="8.90625" style="2665"/>
    <col min="8193" max="8193" width="9.453125" style="2665" customWidth="1"/>
    <col min="8194" max="8194" width="8.90625" style="2665"/>
    <col min="8195" max="8197" width="12.90625" style="2665" customWidth="1"/>
    <col min="8198" max="8198" width="47.453125" style="2665" customWidth="1"/>
    <col min="8199" max="8199" width="13" style="2665" customWidth="1"/>
    <col min="8200" max="8201" width="8.90625" style="2665"/>
    <col min="8202" max="8202" width="5.7265625" style="2665" customWidth="1"/>
    <col min="8203" max="8203" width="11.7265625" style="2665" customWidth="1"/>
    <col min="8204" max="8205" width="10.7265625" style="2665" customWidth="1"/>
    <col min="8206" max="8206" width="10" style="2665" customWidth="1"/>
    <col min="8207" max="8208" width="10.453125" style="2665" bestFit="1" customWidth="1"/>
    <col min="8209" max="8209" width="10" style="2665" customWidth="1"/>
    <col min="8210" max="8210" width="10.08984375" style="2665" customWidth="1"/>
    <col min="8211" max="8211" width="10" style="2665" customWidth="1"/>
    <col min="8212" max="8212" width="26.08984375" style="2665" customWidth="1"/>
    <col min="8213" max="8448" width="8.90625" style="2665"/>
    <col min="8449" max="8449" width="9.453125" style="2665" customWidth="1"/>
    <col min="8450" max="8450" width="8.90625" style="2665"/>
    <col min="8451" max="8453" width="12.90625" style="2665" customWidth="1"/>
    <col min="8454" max="8454" width="47.453125" style="2665" customWidth="1"/>
    <col min="8455" max="8455" width="13" style="2665" customWidth="1"/>
    <col min="8456" max="8457" width="8.90625" style="2665"/>
    <col min="8458" max="8458" width="5.7265625" style="2665" customWidth="1"/>
    <col min="8459" max="8459" width="11.7265625" style="2665" customWidth="1"/>
    <col min="8460" max="8461" width="10.7265625" style="2665" customWidth="1"/>
    <col min="8462" max="8462" width="10" style="2665" customWidth="1"/>
    <col min="8463" max="8464" width="10.453125" style="2665" bestFit="1" customWidth="1"/>
    <col min="8465" max="8465" width="10" style="2665" customWidth="1"/>
    <col min="8466" max="8466" width="10.08984375" style="2665" customWidth="1"/>
    <col min="8467" max="8467" width="10" style="2665" customWidth="1"/>
    <col min="8468" max="8468" width="26.08984375" style="2665" customWidth="1"/>
    <col min="8469" max="8704" width="8.90625" style="2665"/>
    <col min="8705" max="8705" width="9.453125" style="2665" customWidth="1"/>
    <col min="8706" max="8706" width="8.90625" style="2665"/>
    <col min="8707" max="8709" width="12.90625" style="2665" customWidth="1"/>
    <col min="8710" max="8710" width="47.453125" style="2665" customWidth="1"/>
    <col min="8711" max="8711" width="13" style="2665" customWidth="1"/>
    <col min="8712" max="8713" width="8.90625" style="2665"/>
    <col min="8714" max="8714" width="5.7265625" style="2665" customWidth="1"/>
    <col min="8715" max="8715" width="11.7265625" style="2665" customWidth="1"/>
    <col min="8716" max="8717" width="10.7265625" style="2665" customWidth="1"/>
    <col min="8718" max="8718" width="10" style="2665" customWidth="1"/>
    <col min="8719" max="8720" width="10.453125" style="2665" bestFit="1" customWidth="1"/>
    <col min="8721" max="8721" width="10" style="2665" customWidth="1"/>
    <col min="8722" max="8722" width="10.08984375" style="2665" customWidth="1"/>
    <col min="8723" max="8723" width="10" style="2665" customWidth="1"/>
    <col min="8724" max="8724" width="26.08984375" style="2665" customWidth="1"/>
    <col min="8725" max="8960" width="8.90625" style="2665"/>
    <col min="8961" max="8961" width="9.453125" style="2665" customWidth="1"/>
    <col min="8962" max="8962" width="8.90625" style="2665"/>
    <col min="8963" max="8965" width="12.90625" style="2665" customWidth="1"/>
    <col min="8966" max="8966" width="47.453125" style="2665" customWidth="1"/>
    <col min="8967" max="8967" width="13" style="2665" customWidth="1"/>
    <col min="8968" max="8969" width="8.90625" style="2665"/>
    <col min="8970" max="8970" width="5.7265625" style="2665" customWidth="1"/>
    <col min="8971" max="8971" width="11.7265625" style="2665" customWidth="1"/>
    <col min="8972" max="8973" width="10.7265625" style="2665" customWidth="1"/>
    <col min="8974" max="8974" width="10" style="2665" customWidth="1"/>
    <col min="8975" max="8976" width="10.453125" style="2665" bestFit="1" customWidth="1"/>
    <col min="8977" max="8977" width="10" style="2665" customWidth="1"/>
    <col min="8978" max="8978" width="10.08984375" style="2665" customWidth="1"/>
    <col min="8979" max="8979" width="10" style="2665" customWidth="1"/>
    <col min="8980" max="8980" width="26.08984375" style="2665" customWidth="1"/>
    <col min="8981" max="9216" width="8.90625" style="2665"/>
    <col min="9217" max="9217" width="9.453125" style="2665" customWidth="1"/>
    <col min="9218" max="9218" width="8.90625" style="2665"/>
    <col min="9219" max="9221" width="12.90625" style="2665" customWidth="1"/>
    <col min="9222" max="9222" width="47.453125" style="2665" customWidth="1"/>
    <col min="9223" max="9223" width="13" style="2665" customWidth="1"/>
    <col min="9224" max="9225" width="8.90625" style="2665"/>
    <col min="9226" max="9226" width="5.7265625" style="2665" customWidth="1"/>
    <col min="9227" max="9227" width="11.7265625" style="2665" customWidth="1"/>
    <col min="9228" max="9229" width="10.7265625" style="2665" customWidth="1"/>
    <col min="9230" max="9230" width="10" style="2665" customWidth="1"/>
    <col min="9231" max="9232" width="10.453125" style="2665" bestFit="1" customWidth="1"/>
    <col min="9233" max="9233" width="10" style="2665" customWidth="1"/>
    <col min="9234" max="9234" width="10.08984375" style="2665" customWidth="1"/>
    <col min="9235" max="9235" width="10" style="2665" customWidth="1"/>
    <col min="9236" max="9236" width="26.08984375" style="2665" customWidth="1"/>
    <col min="9237" max="9472" width="8.90625" style="2665"/>
    <col min="9473" max="9473" width="9.453125" style="2665" customWidth="1"/>
    <col min="9474" max="9474" width="8.90625" style="2665"/>
    <col min="9475" max="9477" width="12.90625" style="2665" customWidth="1"/>
    <col min="9478" max="9478" width="47.453125" style="2665" customWidth="1"/>
    <col min="9479" max="9479" width="13" style="2665" customWidth="1"/>
    <col min="9480" max="9481" width="8.90625" style="2665"/>
    <col min="9482" max="9482" width="5.7265625" style="2665" customWidth="1"/>
    <col min="9483" max="9483" width="11.7265625" style="2665" customWidth="1"/>
    <col min="9484" max="9485" width="10.7265625" style="2665" customWidth="1"/>
    <col min="9486" max="9486" width="10" style="2665" customWidth="1"/>
    <col min="9487" max="9488" width="10.453125" style="2665" bestFit="1" customWidth="1"/>
    <col min="9489" max="9489" width="10" style="2665" customWidth="1"/>
    <col min="9490" max="9490" width="10.08984375" style="2665" customWidth="1"/>
    <col min="9491" max="9491" width="10" style="2665" customWidth="1"/>
    <col min="9492" max="9492" width="26.08984375" style="2665" customWidth="1"/>
    <col min="9493" max="9728" width="8.90625" style="2665"/>
    <col min="9729" max="9729" width="9.453125" style="2665" customWidth="1"/>
    <col min="9730" max="9730" width="8.90625" style="2665"/>
    <col min="9731" max="9733" width="12.90625" style="2665" customWidth="1"/>
    <col min="9734" max="9734" width="47.453125" style="2665" customWidth="1"/>
    <col min="9735" max="9735" width="13" style="2665" customWidth="1"/>
    <col min="9736" max="9737" width="8.90625" style="2665"/>
    <col min="9738" max="9738" width="5.7265625" style="2665" customWidth="1"/>
    <col min="9739" max="9739" width="11.7265625" style="2665" customWidth="1"/>
    <col min="9740" max="9741" width="10.7265625" style="2665" customWidth="1"/>
    <col min="9742" max="9742" width="10" style="2665" customWidth="1"/>
    <col min="9743" max="9744" width="10.453125" style="2665" bestFit="1" customWidth="1"/>
    <col min="9745" max="9745" width="10" style="2665" customWidth="1"/>
    <col min="9746" max="9746" width="10.08984375" style="2665" customWidth="1"/>
    <col min="9747" max="9747" width="10" style="2665" customWidth="1"/>
    <col min="9748" max="9748" width="26.08984375" style="2665" customWidth="1"/>
    <col min="9749" max="9984" width="8.90625" style="2665"/>
    <col min="9985" max="9985" width="9.453125" style="2665" customWidth="1"/>
    <col min="9986" max="9986" width="8.90625" style="2665"/>
    <col min="9987" max="9989" width="12.90625" style="2665" customWidth="1"/>
    <col min="9990" max="9990" width="47.453125" style="2665" customWidth="1"/>
    <col min="9991" max="9991" width="13" style="2665" customWidth="1"/>
    <col min="9992" max="9993" width="8.90625" style="2665"/>
    <col min="9994" max="9994" width="5.7265625" style="2665" customWidth="1"/>
    <col min="9995" max="9995" width="11.7265625" style="2665" customWidth="1"/>
    <col min="9996" max="9997" width="10.7265625" style="2665" customWidth="1"/>
    <col min="9998" max="9998" width="10" style="2665" customWidth="1"/>
    <col min="9999" max="10000" width="10.453125" style="2665" bestFit="1" customWidth="1"/>
    <col min="10001" max="10001" width="10" style="2665" customWidth="1"/>
    <col min="10002" max="10002" width="10.08984375" style="2665" customWidth="1"/>
    <col min="10003" max="10003" width="10" style="2665" customWidth="1"/>
    <col min="10004" max="10004" width="26.08984375" style="2665" customWidth="1"/>
    <col min="10005" max="10240" width="8.90625" style="2665"/>
    <col min="10241" max="10241" width="9.453125" style="2665" customWidth="1"/>
    <col min="10242" max="10242" width="8.90625" style="2665"/>
    <col min="10243" max="10245" width="12.90625" style="2665" customWidth="1"/>
    <col min="10246" max="10246" width="47.453125" style="2665" customWidth="1"/>
    <col min="10247" max="10247" width="13" style="2665" customWidth="1"/>
    <col min="10248" max="10249" width="8.90625" style="2665"/>
    <col min="10250" max="10250" width="5.7265625" style="2665" customWidth="1"/>
    <col min="10251" max="10251" width="11.7265625" style="2665" customWidth="1"/>
    <col min="10252" max="10253" width="10.7265625" style="2665" customWidth="1"/>
    <col min="10254" max="10254" width="10" style="2665" customWidth="1"/>
    <col min="10255" max="10256" width="10.453125" style="2665" bestFit="1" customWidth="1"/>
    <col min="10257" max="10257" width="10" style="2665" customWidth="1"/>
    <col min="10258" max="10258" width="10.08984375" style="2665" customWidth="1"/>
    <col min="10259" max="10259" width="10" style="2665" customWidth="1"/>
    <col min="10260" max="10260" width="26.08984375" style="2665" customWidth="1"/>
    <col min="10261" max="10496" width="8.90625" style="2665"/>
    <col min="10497" max="10497" width="9.453125" style="2665" customWidth="1"/>
    <col min="10498" max="10498" width="8.90625" style="2665"/>
    <col min="10499" max="10501" width="12.90625" style="2665" customWidth="1"/>
    <col min="10502" max="10502" width="47.453125" style="2665" customWidth="1"/>
    <col min="10503" max="10503" width="13" style="2665" customWidth="1"/>
    <col min="10504" max="10505" width="8.90625" style="2665"/>
    <col min="10506" max="10506" width="5.7265625" style="2665" customWidth="1"/>
    <col min="10507" max="10507" width="11.7265625" style="2665" customWidth="1"/>
    <col min="10508" max="10509" width="10.7265625" style="2665" customWidth="1"/>
    <col min="10510" max="10510" width="10" style="2665" customWidth="1"/>
    <col min="10511" max="10512" width="10.453125" style="2665" bestFit="1" customWidth="1"/>
    <col min="10513" max="10513" width="10" style="2665" customWidth="1"/>
    <col min="10514" max="10514" width="10.08984375" style="2665" customWidth="1"/>
    <col min="10515" max="10515" width="10" style="2665" customWidth="1"/>
    <col min="10516" max="10516" width="26.08984375" style="2665" customWidth="1"/>
    <col min="10517" max="10752" width="8.90625" style="2665"/>
    <col min="10753" max="10753" width="9.453125" style="2665" customWidth="1"/>
    <col min="10754" max="10754" width="8.90625" style="2665"/>
    <col min="10755" max="10757" width="12.90625" style="2665" customWidth="1"/>
    <col min="10758" max="10758" width="47.453125" style="2665" customWidth="1"/>
    <col min="10759" max="10759" width="13" style="2665" customWidth="1"/>
    <col min="10760" max="10761" width="8.90625" style="2665"/>
    <col min="10762" max="10762" width="5.7265625" style="2665" customWidth="1"/>
    <col min="10763" max="10763" width="11.7265625" style="2665" customWidth="1"/>
    <col min="10764" max="10765" width="10.7265625" style="2665" customWidth="1"/>
    <col min="10766" max="10766" width="10" style="2665" customWidth="1"/>
    <col min="10767" max="10768" width="10.453125" style="2665" bestFit="1" customWidth="1"/>
    <col min="10769" max="10769" width="10" style="2665" customWidth="1"/>
    <col min="10770" max="10770" width="10.08984375" style="2665" customWidth="1"/>
    <col min="10771" max="10771" width="10" style="2665" customWidth="1"/>
    <col min="10772" max="10772" width="26.08984375" style="2665" customWidth="1"/>
    <col min="10773" max="11008" width="8.90625" style="2665"/>
    <col min="11009" max="11009" width="9.453125" style="2665" customWidth="1"/>
    <col min="11010" max="11010" width="8.90625" style="2665"/>
    <col min="11011" max="11013" width="12.90625" style="2665" customWidth="1"/>
    <col min="11014" max="11014" width="47.453125" style="2665" customWidth="1"/>
    <col min="11015" max="11015" width="13" style="2665" customWidth="1"/>
    <col min="11016" max="11017" width="8.90625" style="2665"/>
    <col min="11018" max="11018" width="5.7265625" style="2665" customWidth="1"/>
    <col min="11019" max="11019" width="11.7265625" style="2665" customWidth="1"/>
    <col min="11020" max="11021" width="10.7265625" style="2665" customWidth="1"/>
    <col min="11022" max="11022" width="10" style="2665" customWidth="1"/>
    <col min="11023" max="11024" width="10.453125" style="2665" bestFit="1" customWidth="1"/>
    <col min="11025" max="11025" width="10" style="2665" customWidth="1"/>
    <col min="11026" max="11026" width="10.08984375" style="2665" customWidth="1"/>
    <col min="11027" max="11027" width="10" style="2665" customWidth="1"/>
    <col min="11028" max="11028" width="26.08984375" style="2665" customWidth="1"/>
    <col min="11029" max="11264" width="8.90625" style="2665"/>
    <col min="11265" max="11265" width="9.453125" style="2665" customWidth="1"/>
    <col min="11266" max="11266" width="8.90625" style="2665"/>
    <col min="11267" max="11269" width="12.90625" style="2665" customWidth="1"/>
    <col min="11270" max="11270" width="47.453125" style="2665" customWidth="1"/>
    <col min="11271" max="11271" width="13" style="2665" customWidth="1"/>
    <col min="11272" max="11273" width="8.90625" style="2665"/>
    <col min="11274" max="11274" width="5.7265625" style="2665" customWidth="1"/>
    <col min="11275" max="11275" width="11.7265625" style="2665" customWidth="1"/>
    <col min="11276" max="11277" width="10.7265625" style="2665" customWidth="1"/>
    <col min="11278" max="11278" width="10" style="2665" customWidth="1"/>
    <col min="11279" max="11280" width="10.453125" style="2665" bestFit="1" customWidth="1"/>
    <col min="11281" max="11281" width="10" style="2665" customWidth="1"/>
    <col min="11282" max="11282" width="10.08984375" style="2665" customWidth="1"/>
    <col min="11283" max="11283" width="10" style="2665" customWidth="1"/>
    <col min="11284" max="11284" width="26.08984375" style="2665" customWidth="1"/>
    <col min="11285" max="11520" width="8.90625" style="2665"/>
    <col min="11521" max="11521" width="9.453125" style="2665" customWidth="1"/>
    <col min="11522" max="11522" width="8.90625" style="2665"/>
    <col min="11523" max="11525" width="12.90625" style="2665" customWidth="1"/>
    <col min="11526" max="11526" width="47.453125" style="2665" customWidth="1"/>
    <col min="11527" max="11527" width="13" style="2665" customWidth="1"/>
    <col min="11528" max="11529" width="8.90625" style="2665"/>
    <col min="11530" max="11530" width="5.7265625" style="2665" customWidth="1"/>
    <col min="11531" max="11531" width="11.7265625" style="2665" customWidth="1"/>
    <col min="11532" max="11533" width="10.7265625" style="2665" customWidth="1"/>
    <col min="11534" max="11534" width="10" style="2665" customWidth="1"/>
    <col min="11535" max="11536" width="10.453125" style="2665" bestFit="1" customWidth="1"/>
    <col min="11537" max="11537" width="10" style="2665" customWidth="1"/>
    <col min="11538" max="11538" width="10.08984375" style="2665" customWidth="1"/>
    <col min="11539" max="11539" width="10" style="2665" customWidth="1"/>
    <col min="11540" max="11540" width="26.08984375" style="2665" customWidth="1"/>
    <col min="11541" max="11776" width="8.90625" style="2665"/>
    <col min="11777" max="11777" width="9.453125" style="2665" customWidth="1"/>
    <col min="11778" max="11778" width="8.90625" style="2665"/>
    <col min="11779" max="11781" width="12.90625" style="2665" customWidth="1"/>
    <col min="11782" max="11782" width="47.453125" style="2665" customWidth="1"/>
    <col min="11783" max="11783" width="13" style="2665" customWidth="1"/>
    <col min="11784" max="11785" width="8.90625" style="2665"/>
    <col min="11786" max="11786" width="5.7265625" style="2665" customWidth="1"/>
    <col min="11787" max="11787" width="11.7265625" style="2665" customWidth="1"/>
    <col min="11788" max="11789" width="10.7265625" style="2665" customWidth="1"/>
    <col min="11790" max="11790" width="10" style="2665" customWidth="1"/>
    <col min="11791" max="11792" width="10.453125" style="2665" bestFit="1" customWidth="1"/>
    <col min="11793" max="11793" width="10" style="2665" customWidth="1"/>
    <col min="11794" max="11794" width="10.08984375" style="2665" customWidth="1"/>
    <col min="11795" max="11795" width="10" style="2665" customWidth="1"/>
    <col min="11796" max="11796" width="26.08984375" style="2665" customWidth="1"/>
    <col min="11797" max="12032" width="8.90625" style="2665"/>
    <col min="12033" max="12033" width="9.453125" style="2665" customWidth="1"/>
    <col min="12034" max="12034" width="8.90625" style="2665"/>
    <col min="12035" max="12037" width="12.90625" style="2665" customWidth="1"/>
    <col min="12038" max="12038" width="47.453125" style="2665" customWidth="1"/>
    <col min="12039" max="12039" width="13" style="2665" customWidth="1"/>
    <col min="12040" max="12041" width="8.90625" style="2665"/>
    <col min="12042" max="12042" width="5.7265625" style="2665" customWidth="1"/>
    <col min="12043" max="12043" width="11.7265625" style="2665" customWidth="1"/>
    <col min="12044" max="12045" width="10.7265625" style="2665" customWidth="1"/>
    <col min="12046" max="12046" width="10" style="2665" customWidth="1"/>
    <col min="12047" max="12048" width="10.453125" style="2665" bestFit="1" customWidth="1"/>
    <col min="12049" max="12049" width="10" style="2665" customWidth="1"/>
    <col min="12050" max="12050" width="10.08984375" style="2665" customWidth="1"/>
    <col min="12051" max="12051" width="10" style="2665" customWidth="1"/>
    <col min="12052" max="12052" width="26.08984375" style="2665" customWidth="1"/>
    <col min="12053" max="12288" width="8.90625" style="2665"/>
    <col min="12289" max="12289" width="9.453125" style="2665" customWidth="1"/>
    <col min="12290" max="12290" width="8.90625" style="2665"/>
    <col min="12291" max="12293" width="12.90625" style="2665" customWidth="1"/>
    <col min="12294" max="12294" width="47.453125" style="2665" customWidth="1"/>
    <col min="12295" max="12295" width="13" style="2665" customWidth="1"/>
    <col min="12296" max="12297" width="8.90625" style="2665"/>
    <col min="12298" max="12298" width="5.7265625" style="2665" customWidth="1"/>
    <col min="12299" max="12299" width="11.7265625" style="2665" customWidth="1"/>
    <col min="12300" max="12301" width="10.7265625" style="2665" customWidth="1"/>
    <col min="12302" max="12302" width="10" style="2665" customWidth="1"/>
    <col min="12303" max="12304" width="10.453125" style="2665" bestFit="1" customWidth="1"/>
    <col min="12305" max="12305" width="10" style="2665" customWidth="1"/>
    <col min="12306" max="12306" width="10.08984375" style="2665" customWidth="1"/>
    <col min="12307" max="12307" width="10" style="2665" customWidth="1"/>
    <col min="12308" max="12308" width="26.08984375" style="2665" customWidth="1"/>
    <col min="12309" max="12544" width="8.90625" style="2665"/>
    <col min="12545" max="12545" width="9.453125" style="2665" customWidth="1"/>
    <col min="12546" max="12546" width="8.90625" style="2665"/>
    <col min="12547" max="12549" width="12.90625" style="2665" customWidth="1"/>
    <col min="12550" max="12550" width="47.453125" style="2665" customWidth="1"/>
    <col min="12551" max="12551" width="13" style="2665" customWidth="1"/>
    <col min="12552" max="12553" width="8.90625" style="2665"/>
    <col min="12554" max="12554" width="5.7265625" style="2665" customWidth="1"/>
    <col min="12555" max="12555" width="11.7265625" style="2665" customWidth="1"/>
    <col min="12556" max="12557" width="10.7265625" style="2665" customWidth="1"/>
    <col min="12558" max="12558" width="10" style="2665" customWidth="1"/>
    <col min="12559" max="12560" width="10.453125" style="2665" bestFit="1" customWidth="1"/>
    <col min="12561" max="12561" width="10" style="2665" customWidth="1"/>
    <col min="12562" max="12562" width="10.08984375" style="2665" customWidth="1"/>
    <col min="12563" max="12563" width="10" style="2665" customWidth="1"/>
    <col min="12564" max="12564" width="26.08984375" style="2665" customWidth="1"/>
    <col min="12565" max="12800" width="8.90625" style="2665"/>
    <col min="12801" max="12801" width="9.453125" style="2665" customWidth="1"/>
    <col min="12802" max="12802" width="8.90625" style="2665"/>
    <col min="12803" max="12805" width="12.90625" style="2665" customWidth="1"/>
    <col min="12806" max="12806" width="47.453125" style="2665" customWidth="1"/>
    <col min="12807" max="12807" width="13" style="2665" customWidth="1"/>
    <col min="12808" max="12809" width="8.90625" style="2665"/>
    <col min="12810" max="12810" width="5.7265625" style="2665" customWidth="1"/>
    <col min="12811" max="12811" width="11.7265625" style="2665" customWidth="1"/>
    <col min="12812" max="12813" width="10.7265625" style="2665" customWidth="1"/>
    <col min="12814" max="12814" width="10" style="2665" customWidth="1"/>
    <col min="12815" max="12816" width="10.453125" style="2665" bestFit="1" customWidth="1"/>
    <col min="12817" max="12817" width="10" style="2665" customWidth="1"/>
    <col min="12818" max="12818" width="10.08984375" style="2665" customWidth="1"/>
    <col min="12819" max="12819" width="10" style="2665" customWidth="1"/>
    <col min="12820" max="12820" width="26.08984375" style="2665" customWidth="1"/>
    <col min="12821" max="13056" width="8.90625" style="2665"/>
    <col min="13057" max="13057" width="9.453125" style="2665" customWidth="1"/>
    <col min="13058" max="13058" width="8.90625" style="2665"/>
    <col min="13059" max="13061" width="12.90625" style="2665" customWidth="1"/>
    <col min="13062" max="13062" width="47.453125" style="2665" customWidth="1"/>
    <col min="13063" max="13063" width="13" style="2665" customWidth="1"/>
    <col min="13064" max="13065" width="8.90625" style="2665"/>
    <col min="13066" max="13066" width="5.7265625" style="2665" customWidth="1"/>
    <col min="13067" max="13067" width="11.7265625" style="2665" customWidth="1"/>
    <col min="13068" max="13069" width="10.7265625" style="2665" customWidth="1"/>
    <col min="13070" max="13070" width="10" style="2665" customWidth="1"/>
    <col min="13071" max="13072" width="10.453125" style="2665" bestFit="1" customWidth="1"/>
    <col min="13073" max="13073" width="10" style="2665" customWidth="1"/>
    <col min="13074" max="13074" width="10.08984375" style="2665" customWidth="1"/>
    <col min="13075" max="13075" width="10" style="2665" customWidth="1"/>
    <col min="13076" max="13076" width="26.08984375" style="2665" customWidth="1"/>
    <col min="13077" max="13312" width="8.90625" style="2665"/>
    <col min="13313" max="13313" width="9.453125" style="2665" customWidth="1"/>
    <col min="13314" max="13314" width="8.90625" style="2665"/>
    <col min="13315" max="13317" width="12.90625" style="2665" customWidth="1"/>
    <col min="13318" max="13318" width="47.453125" style="2665" customWidth="1"/>
    <col min="13319" max="13319" width="13" style="2665" customWidth="1"/>
    <col min="13320" max="13321" width="8.90625" style="2665"/>
    <col min="13322" max="13322" width="5.7265625" style="2665" customWidth="1"/>
    <col min="13323" max="13323" width="11.7265625" style="2665" customWidth="1"/>
    <col min="13324" max="13325" width="10.7265625" style="2665" customWidth="1"/>
    <col min="13326" max="13326" width="10" style="2665" customWidth="1"/>
    <col min="13327" max="13328" width="10.453125" style="2665" bestFit="1" customWidth="1"/>
    <col min="13329" max="13329" width="10" style="2665" customWidth="1"/>
    <col min="13330" max="13330" width="10.08984375" style="2665" customWidth="1"/>
    <col min="13331" max="13331" width="10" style="2665" customWidth="1"/>
    <col min="13332" max="13332" width="26.08984375" style="2665" customWidth="1"/>
    <col min="13333" max="13568" width="8.90625" style="2665"/>
    <col min="13569" max="13569" width="9.453125" style="2665" customWidth="1"/>
    <col min="13570" max="13570" width="8.90625" style="2665"/>
    <col min="13571" max="13573" width="12.90625" style="2665" customWidth="1"/>
    <col min="13574" max="13574" width="47.453125" style="2665" customWidth="1"/>
    <col min="13575" max="13575" width="13" style="2665" customWidth="1"/>
    <col min="13576" max="13577" width="8.90625" style="2665"/>
    <col min="13578" max="13578" width="5.7265625" style="2665" customWidth="1"/>
    <col min="13579" max="13579" width="11.7265625" style="2665" customWidth="1"/>
    <col min="13580" max="13581" width="10.7265625" style="2665" customWidth="1"/>
    <col min="13582" max="13582" width="10" style="2665" customWidth="1"/>
    <col min="13583" max="13584" width="10.453125" style="2665" bestFit="1" customWidth="1"/>
    <col min="13585" max="13585" width="10" style="2665" customWidth="1"/>
    <col min="13586" max="13586" width="10.08984375" style="2665" customWidth="1"/>
    <col min="13587" max="13587" width="10" style="2665" customWidth="1"/>
    <col min="13588" max="13588" width="26.08984375" style="2665" customWidth="1"/>
    <col min="13589" max="13824" width="8.90625" style="2665"/>
    <col min="13825" max="13825" width="9.453125" style="2665" customWidth="1"/>
    <col min="13826" max="13826" width="8.90625" style="2665"/>
    <col min="13827" max="13829" width="12.90625" style="2665" customWidth="1"/>
    <col min="13830" max="13830" width="47.453125" style="2665" customWidth="1"/>
    <col min="13831" max="13831" width="13" style="2665" customWidth="1"/>
    <col min="13832" max="13833" width="8.90625" style="2665"/>
    <col min="13834" max="13834" width="5.7265625" style="2665" customWidth="1"/>
    <col min="13835" max="13835" width="11.7265625" style="2665" customWidth="1"/>
    <col min="13836" max="13837" width="10.7265625" style="2665" customWidth="1"/>
    <col min="13838" max="13838" width="10" style="2665" customWidth="1"/>
    <col min="13839" max="13840" width="10.453125" style="2665" bestFit="1" customWidth="1"/>
    <col min="13841" max="13841" width="10" style="2665" customWidth="1"/>
    <col min="13842" max="13842" width="10.08984375" style="2665" customWidth="1"/>
    <col min="13843" max="13843" width="10" style="2665" customWidth="1"/>
    <col min="13844" max="13844" width="26.08984375" style="2665" customWidth="1"/>
    <col min="13845" max="14080" width="8.90625" style="2665"/>
    <col min="14081" max="14081" width="9.453125" style="2665" customWidth="1"/>
    <col min="14082" max="14082" width="8.90625" style="2665"/>
    <col min="14083" max="14085" width="12.90625" style="2665" customWidth="1"/>
    <col min="14086" max="14086" width="47.453125" style="2665" customWidth="1"/>
    <col min="14087" max="14087" width="13" style="2665" customWidth="1"/>
    <col min="14088" max="14089" width="8.90625" style="2665"/>
    <col min="14090" max="14090" width="5.7265625" style="2665" customWidth="1"/>
    <col min="14091" max="14091" width="11.7265625" style="2665" customWidth="1"/>
    <col min="14092" max="14093" width="10.7265625" style="2665" customWidth="1"/>
    <col min="14094" max="14094" width="10" style="2665" customWidth="1"/>
    <col min="14095" max="14096" width="10.453125" style="2665" bestFit="1" customWidth="1"/>
    <col min="14097" max="14097" width="10" style="2665" customWidth="1"/>
    <col min="14098" max="14098" width="10.08984375" style="2665" customWidth="1"/>
    <col min="14099" max="14099" width="10" style="2665" customWidth="1"/>
    <col min="14100" max="14100" width="26.08984375" style="2665" customWidth="1"/>
    <col min="14101" max="14336" width="8.90625" style="2665"/>
    <col min="14337" max="14337" width="9.453125" style="2665" customWidth="1"/>
    <col min="14338" max="14338" width="8.90625" style="2665"/>
    <col min="14339" max="14341" width="12.90625" style="2665" customWidth="1"/>
    <col min="14342" max="14342" width="47.453125" style="2665" customWidth="1"/>
    <col min="14343" max="14343" width="13" style="2665" customWidth="1"/>
    <col min="14344" max="14345" width="8.90625" style="2665"/>
    <col min="14346" max="14346" width="5.7265625" style="2665" customWidth="1"/>
    <col min="14347" max="14347" width="11.7265625" style="2665" customWidth="1"/>
    <col min="14348" max="14349" width="10.7265625" style="2665" customWidth="1"/>
    <col min="14350" max="14350" width="10" style="2665" customWidth="1"/>
    <col min="14351" max="14352" width="10.453125" style="2665" bestFit="1" customWidth="1"/>
    <col min="14353" max="14353" width="10" style="2665" customWidth="1"/>
    <col min="14354" max="14354" width="10.08984375" style="2665" customWidth="1"/>
    <col min="14355" max="14355" width="10" style="2665" customWidth="1"/>
    <col min="14356" max="14356" width="26.08984375" style="2665" customWidth="1"/>
    <col min="14357" max="14592" width="8.90625" style="2665"/>
    <col min="14593" max="14593" width="9.453125" style="2665" customWidth="1"/>
    <col min="14594" max="14594" width="8.90625" style="2665"/>
    <col min="14595" max="14597" width="12.90625" style="2665" customWidth="1"/>
    <col min="14598" max="14598" width="47.453125" style="2665" customWidth="1"/>
    <col min="14599" max="14599" width="13" style="2665" customWidth="1"/>
    <col min="14600" max="14601" width="8.90625" style="2665"/>
    <col min="14602" max="14602" width="5.7265625" style="2665" customWidth="1"/>
    <col min="14603" max="14603" width="11.7265625" style="2665" customWidth="1"/>
    <col min="14604" max="14605" width="10.7265625" style="2665" customWidth="1"/>
    <col min="14606" max="14606" width="10" style="2665" customWidth="1"/>
    <col min="14607" max="14608" width="10.453125" style="2665" bestFit="1" customWidth="1"/>
    <col min="14609" max="14609" width="10" style="2665" customWidth="1"/>
    <col min="14610" max="14610" width="10.08984375" style="2665" customWidth="1"/>
    <col min="14611" max="14611" width="10" style="2665" customWidth="1"/>
    <col min="14612" max="14612" width="26.08984375" style="2665" customWidth="1"/>
    <col min="14613" max="14848" width="8.90625" style="2665"/>
    <col min="14849" max="14849" width="9.453125" style="2665" customWidth="1"/>
    <col min="14850" max="14850" width="8.90625" style="2665"/>
    <col min="14851" max="14853" width="12.90625" style="2665" customWidth="1"/>
    <col min="14854" max="14854" width="47.453125" style="2665" customWidth="1"/>
    <col min="14855" max="14855" width="13" style="2665" customWidth="1"/>
    <col min="14856" max="14857" width="8.90625" style="2665"/>
    <col min="14858" max="14858" width="5.7265625" style="2665" customWidth="1"/>
    <col min="14859" max="14859" width="11.7265625" style="2665" customWidth="1"/>
    <col min="14860" max="14861" width="10.7265625" style="2665" customWidth="1"/>
    <col min="14862" max="14862" width="10" style="2665" customWidth="1"/>
    <col min="14863" max="14864" width="10.453125" style="2665" bestFit="1" customWidth="1"/>
    <col min="14865" max="14865" width="10" style="2665" customWidth="1"/>
    <col min="14866" max="14866" width="10.08984375" style="2665" customWidth="1"/>
    <col min="14867" max="14867" width="10" style="2665" customWidth="1"/>
    <col min="14868" max="14868" width="26.08984375" style="2665" customWidth="1"/>
    <col min="14869" max="15104" width="8.90625" style="2665"/>
    <col min="15105" max="15105" width="9.453125" style="2665" customWidth="1"/>
    <col min="15106" max="15106" width="8.90625" style="2665"/>
    <col min="15107" max="15109" width="12.90625" style="2665" customWidth="1"/>
    <col min="15110" max="15110" width="47.453125" style="2665" customWidth="1"/>
    <col min="15111" max="15111" width="13" style="2665" customWidth="1"/>
    <col min="15112" max="15113" width="8.90625" style="2665"/>
    <col min="15114" max="15114" width="5.7265625" style="2665" customWidth="1"/>
    <col min="15115" max="15115" width="11.7265625" style="2665" customWidth="1"/>
    <col min="15116" max="15117" width="10.7265625" style="2665" customWidth="1"/>
    <col min="15118" max="15118" width="10" style="2665" customWidth="1"/>
    <col min="15119" max="15120" width="10.453125" style="2665" bestFit="1" customWidth="1"/>
    <col min="15121" max="15121" width="10" style="2665" customWidth="1"/>
    <col min="15122" max="15122" width="10.08984375" style="2665" customWidth="1"/>
    <col min="15123" max="15123" width="10" style="2665" customWidth="1"/>
    <col min="15124" max="15124" width="26.08984375" style="2665" customWidth="1"/>
    <col min="15125" max="15360" width="8.90625" style="2665"/>
    <col min="15361" max="15361" width="9.453125" style="2665" customWidth="1"/>
    <col min="15362" max="15362" width="8.90625" style="2665"/>
    <col min="15363" max="15365" width="12.90625" style="2665" customWidth="1"/>
    <col min="15366" max="15366" width="47.453125" style="2665" customWidth="1"/>
    <col min="15367" max="15367" width="13" style="2665" customWidth="1"/>
    <col min="15368" max="15369" width="8.90625" style="2665"/>
    <col min="15370" max="15370" width="5.7265625" style="2665" customWidth="1"/>
    <col min="15371" max="15371" width="11.7265625" style="2665" customWidth="1"/>
    <col min="15372" max="15373" width="10.7265625" style="2665" customWidth="1"/>
    <col min="15374" max="15374" width="10" style="2665" customWidth="1"/>
    <col min="15375" max="15376" width="10.453125" style="2665" bestFit="1" customWidth="1"/>
    <col min="15377" max="15377" width="10" style="2665" customWidth="1"/>
    <col min="15378" max="15378" width="10.08984375" style="2665" customWidth="1"/>
    <col min="15379" max="15379" width="10" style="2665" customWidth="1"/>
    <col min="15380" max="15380" width="26.08984375" style="2665" customWidth="1"/>
    <col min="15381" max="15616" width="8.90625" style="2665"/>
    <col min="15617" max="15617" width="9.453125" style="2665" customWidth="1"/>
    <col min="15618" max="15618" width="8.90625" style="2665"/>
    <col min="15619" max="15621" width="12.90625" style="2665" customWidth="1"/>
    <col min="15622" max="15622" width="47.453125" style="2665" customWidth="1"/>
    <col min="15623" max="15623" width="13" style="2665" customWidth="1"/>
    <col min="15624" max="15625" width="8.90625" style="2665"/>
    <col min="15626" max="15626" width="5.7265625" style="2665" customWidth="1"/>
    <col min="15627" max="15627" width="11.7265625" style="2665" customWidth="1"/>
    <col min="15628" max="15629" width="10.7265625" style="2665" customWidth="1"/>
    <col min="15630" max="15630" width="10" style="2665" customWidth="1"/>
    <col min="15631" max="15632" width="10.453125" style="2665" bestFit="1" customWidth="1"/>
    <col min="15633" max="15633" width="10" style="2665" customWidth="1"/>
    <col min="15634" max="15634" width="10.08984375" style="2665" customWidth="1"/>
    <col min="15635" max="15635" width="10" style="2665" customWidth="1"/>
    <col min="15636" max="15636" width="26.08984375" style="2665" customWidth="1"/>
    <col min="15637" max="15872" width="8.90625" style="2665"/>
    <col min="15873" max="15873" width="9.453125" style="2665" customWidth="1"/>
    <col min="15874" max="15874" width="8.90625" style="2665"/>
    <col min="15875" max="15877" width="12.90625" style="2665" customWidth="1"/>
    <col min="15878" max="15878" width="47.453125" style="2665" customWidth="1"/>
    <col min="15879" max="15879" width="13" style="2665" customWidth="1"/>
    <col min="15880" max="15881" width="8.90625" style="2665"/>
    <col min="15882" max="15882" width="5.7265625" style="2665" customWidth="1"/>
    <col min="15883" max="15883" width="11.7265625" style="2665" customWidth="1"/>
    <col min="15884" max="15885" width="10.7265625" style="2665" customWidth="1"/>
    <col min="15886" max="15886" width="10" style="2665" customWidth="1"/>
    <col min="15887" max="15888" width="10.453125" style="2665" bestFit="1" customWidth="1"/>
    <col min="15889" max="15889" width="10" style="2665" customWidth="1"/>
    <col min="15890" max="15890" width="10.08984375" style="2665" customWidth="1"/>
    <col min="15891" max="15891" width="10" style="2665" customWidth="1"/>
    <col min="15892" max="15892" width="26.08984375" style="2665" customWidth="1"/>
    <col min="15893" max="16128" width="8.90625" style="2665"/>
    <col min="16129" max="16129" width="9.453125" style="2665" customWidth="1"/>
    <col min="16130" max="16130" width="8.90625" style="2665"/>
    <col min="16131" max="16133" width="12.90625" style="2665" customWidth="1"/>
    <col min="16134" max="16134" width="47.453125" style="2665" customWidth="1"/>
    <col min="16135" max="16135" width="13" style="2665" customWidth="1"/>
    <col min="16136" max="16137" width="8.90625" style="2665"/>
    <col min="16138" max="16138" width="5.7265625" style="2665" customWidth="1"/>
    <col min="16139" max="16139" width="11.7265625" style="2665" customWidth="1"/>
    <col min="16140" max="16141" width="10.7265625" style="2665" customWidth="1"/>
    <col min="16142" max="16142" width="10" style="2665" customWidth="1"/>
    <col min="16143" max="16144" width="10.453125" style="2665" bestFit="1" customWidth="1"/>
    <col min="16145" max="16145" width="10" style="2665" customWidth="1"/>
    <col min="16146" max="16146" width="10.08984375" style="2665" customWidth="1"/>
    <col min="16147" max="16147" width="10" style="2665" customWidth="1"/>
    <col min="16148" max="16148" width="26.08984375" style="2665" customWidth="1"/>
    <col min="16149" max="16384" width="8.9062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5" t="s">
        <v>2609</v>
      </c>
      <c r="K2" s="3576"/>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7" t="s">
        <v>2619</v>
      </c>
      <c r="K3" s="3578"/>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7" t="s">
        <v>2621</v>
      </c>
      <c r="K4" s="3578"/>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3" t="s">
        <v>2625</v>
      </c>
      <c r="B6" s="3584"/>
      <c r="C6" s="3585"/>
      <c r="D6" s="2693"/>
      <c r="E6" s="2694"/>
      <c r="F6" s="2695"/>
      <c r="G6" s="2696"/>
      <c r="H6" s="2671"/>
      <c r="I6" s="2672"/>
      <c r="J6" s="3569">
        <v>1</v>
      </c>
      <c r="K6" s="3570"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69"/>
      <c r="K7" s="3571"/>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6" t="s">
        <v>2639</v>
      </c>
      <c r="C8" s="3587"/>
      <c r="D8" s="2712" t="s">
        <v>2640</v>
      </c>
      <c r="E8" s="2713" t="s">
        <v>2641</v>
      </c>
      <c r="F8" s="2714" t="s">
        <v>2642</v>
      </c>
      <c r="G8" s="2715"/>
      <c r="H8" s="2671"/>
      <c r="I8" s="2672"/>
      <c r="J8" s="3569"/>
      <c r="K8" s="3571"/>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6" t="s">
        <v>2645</v>
      </c>
      <c r="C9" s="3587"/>
      <c r="D9" s="2712">
        <f>ROUND(D6*E9,0)</f>
        <v>0</v>
      </c>
      <c r="E9" s="2716"/>
      <c r="F9" s="2717" t="s">
        <v>2646</v>
      </c>
      <c r="G9" s="2696"/>
      <c r="H9" s="2671"/>
      <c r="I9" s="2672"/>
      <c r="J9" s="3569"/>
      <c r="K9" s="3571"/>
      <c r="L9" s="2706" t="s">
        <v>2647</v>
      </c>
      <c r="M9" s="2707"/>
      <c r="N9" s="2683"/>
      <c r="O9" s="2708"/>
      <c r="P9" s="2708"/>
      <c r="Q9" s="2709">
        <v>365</v>
      </c>
      <c r="R9" s="2710">
        <f t="shared" si="0"/>
        <v>0</v>
      </c>
      <c r="S9" s="2664"/>
      <c r="T9" s="2664"/>
      <c r="U9" s="2664"/>
      <c r="V9" s="2672"/>
    </row>
    <row r="10" spans="1:22" s="2676" customFormat="1" ht="13.15" customHeight="1">
      <c r="A10" s="2711">
        <v>2</v>
      </c>
      <c r="B10" s="3586" t="s">
        <v>2648</v>
      </c>
      <c r="C10" s="3587"/>
      <c r="D10" s="2712">
        <f>ROUND(D6*E10,0)</f>
        <v>0</v>
      </c>
      <c r="E10" s="2716"/>
      <c r="F10" s="2717" t="s">
        <v>2649</v>
      </c>
      <c r="G10" s="2696"/>
      <c r="H10" s="2671"/>
      <c r="I10" s="2672"/>
      <c r="J10" s="3569"/>
      <c r="K10" s="3571"/>
      <c r="L10" s="2706" t="s">
        <v>2650</v>
      </c>
      <c r="M10" s="2707"/>
      <c r="N10" s="2683"/>
      <c r="O10" s="2708"/>
      <c r="P10" s="2708"/>
      <c r="Q10" s="2709">
        <v>365</v>
      </c>
      <c r="R10" s="2710">
        <f t="shared" si="0"/>
        <v>0</v>
      </c>
      <c r="S10" s="2664"/>
      <c r="T10" s="2664"/>
      <c r="U10" s="2664"/>
      <c r="V10" s="2672"/>
    </row>
    <row r="11" spans="1:22" s="2676" customFormat="1" ht="13.15" customHeight="1">
      <c r="A11" s="2711">
        <v>3</v>
      </c>
      <c r="B11" s="3586" t="s">
        <v>2651</v>
      </c>
      <c r="C11" s="3587"/>
      <c r="D11" s="2712">
        <f>D12+D14+D15+D16</f>
        <v>0</v>
      </c>
      <c r="E11" s="2718" t="e">
        <f>D11/D6</f>
        <v>#DIV/0!</v>
      </c>
      <c r="F11" s="2714"/>
      <c r="G11" s="2715"/>
      <c r="H11" s="2671"/>
      <c r="I11" s="2672"/>
      <c r="J11" s="3569"/>
      <c r="K11" s="3571"/>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79" t="s">
        <v>2654</v>
      </c>
      <c r="C12" s="3580"/>
      <c r="D12" s="2720">
        <f>ROUND(D13*1.2%*(1-30%),0)</f>
        <v>0</v>
      </c>
      <c r="E12" s="2721">
        <v>1.2E-2</v>
      </c>
      <c r="F12" s="2714" t="s">
        <v>2655</v>
      </c>
      <c r="G12" s="2715"/>
      <c r="H12" s="2671"/>
      <c r="I12" s="2672"/>
      <c r="J12" s="3569"/>
      <c r="K12" s="3571"/>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69"/>
      <c r="K13" s="3571"/>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79" t="s">
        <v>2660</v>
      </c>
      <c r="C14" s="3580"/>
      <c r="D14" s="2720">
        <f>ROUND(E14*B5/10000,0)</f>
        <v>0</v>
      </c>
      <c r="E14" s="2709"/>
      <c r="F14" s="2714" t="s">
        <v>2661</v>
      </c>
      <c r="G14" s="2715"/>
      <c r="H14" s="2671"/>
      <c r="I14" s="2672"/>
      <c r="J14" s="3569"/>
      <c r="K14" s="3572"/>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79" t="s">
        <v>2664</v>
      </c>
      <c r="C15" s="3580"/>
      <c r="D15" s="2720">
        <f>ROUND(D6*E15,0)</f>
        <v>0</v>
      </c>
      <c r="E15" s="2721">
        <v>5.5E-2</v>
      </c>
      <c r="F15" s="2714" t="s">
        <v>2665</v>
      </c>
      <c r="G15" s="2696"/>
      <c r="H15" s="2671"/>
      <c r="I15" s="2672"/>
      <c r="J15" s="3569">
        <v>2</v>
      </c>
      <c r="K15" s="3570"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79" t="s">
        <v>2673</v>
      </c>
      <c r="C16" s="3580"/>
      <c r="D16" s="2731">
        <f>D6*E16</f>
        <v>0</v>
      </c>
      <c r="E16" s="2732"/>
      <c r="F16" s="2717" t="s">
        <v>2674</v>
      </c>
      <c r="G16" s="2696"/>
      <c r="H16" s="2671"/>
      <c r="I16" s="2672"/>
      <c r="J16" s="3569"/>
      <c r="K16" s="3571"/>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2676</v>
      </c>
      <c r="C17" s="3582"/>
      <c r="D17" s="2734">
        <f>ROUND(D6*E17,0)</f>
        <v>0</v>
      </c>
      <c r="E17" s="2735"/>
      <c r="F17" s="2736" t="s">
        <v>2677</v>
      </c>
      <c r="G17" s="2696"/>
      <c r="H17" s="2671"/>
      <c r="I17" s="2672"/>
      <c r="J17" s="3569"/>
      <c r="K17" s="3571"/>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69"/>
      <c r="K18" s="3571"/>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69"/>
      <c r="K19" s="3572"/>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69"/>
      <c r="K21" s="3571"/>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69"/>
      <c r="K22" s="3571"/>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69"/>
      <c r="K23" s="3571"/>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69"/>
      <c r="K24" s="3572"/>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3">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5" t="s">
        <v>2609</v>
      </c>
      <c r="K32" s="3576"/>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7" t="s">
        <v>2619</v>
      </c>
      <c r="K33" s="3578"/>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7" t="s">
        <v>2621</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69">
        <v>1</v>
      </c>
      <c r="K36" s="3570"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69"/>
      <c r="K40" s="3572"/>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470" customWidth="1"/>
    <col min="2" max="2" width="12" style="1470" customWidth="1"/>
    <col min="3" max="3" width="9" style="1470"/>
    <col min="4" max="4" width="14.08984375" style="1470" customWidth="1"/>
    <col min="5" max="5" width="9" style="1470"/>
    <col min="6" max="6" width="12.9062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5">
      <c r="A4" s="2539"/>
      <c r="B4" s="2536"/>
      <c r="C4" s="2536"/>
      <c r="D4" s="2536"/>
      <c r="E4" s="2538"/>
      <c r="F4" s="2534"/>
      <c r="G4" s="1482"/>
      <c r="H4" s="1482"/>
      <c r="I4" s="1482"/>
      <c r="J4" s="1482"/>
      <c r="K4" s="1482"/>
      <c r="L4" s="1482"/>
      <c r="M4" s="1482"/>
      <c r="N4" s="1482"/>
      <c r="O4" s="1482"/>
      <c r="P4" s="1482"/>
      <c r="Q4" s="1482"/>
      <c r="R4" s="1482"/>
      <c r="S4" s="1482"/>
    </row>
    <row r="5" spans="1:22">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4.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59" customWidth="1"/>
    <col min="2" max="2" width="15.7265625" style="359" customWidth="1"/>
    <col min="3" max="3" width="15.0898437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1910"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44872</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8">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6">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2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4.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4.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5" thickBot="1">
      <c r="A57" s="698" t="s">
        <v>1968</v>
      </c>
      <c r="B57" s="694"/>
      <c r="C57" s="699"/>
      <c r="D57" s="699"/>
      <c r="E57" s="699"/>
      <c r="F57" s="700"/>
      <c r="G57" s="700"/>
      <c r="H57" s="699"/>
      <c r="I57" s="699"/>
      <c r="J57" s="699"/>
      <c r="K57" s="951"/>
      <c r="L57" s="952"/>
      <c r="M57" s="950"/>
      <c r="N57" s="950"/>
      <c r="O57" s="950"/>
      <c r="P57" s="1912"/>
      <c r="Q57" s="457"/>
    </row>
    <row r="58" spans="1:29" s="461" customFormat="1">
      <c r="A58" s="458" t="s">
        <v>1969</v>
      </c>
      <c r="B58" s="459"/>
      <c r="C58" s="1190" t="str">
        <f>YEAR(C7)&amp;"-"&amp;MONTH(C7)</f>
        <v>2022-11</v>
      </c>
      <c r="D58" s="1189">
        <f>EDATE(C58,-1)</f>
        <v>44835</v>
      </c>
      <c r="E58" s="1189">
        <f>EDATE(D58,-1)</f>
        <v>44805</v>
      </c>
      <c r="F58" s="1189">
        <f t="shared" ref="F58:O58" si="19">EDATE(E58,-1)</f>
        <v>44774</v>
      </c>
      <c r="G58" s="1189">
        <f t="shared" si="19"/>
        <v>44743</v>
      </c>
      <c r="H58" s="1189">
        <f t="shared" si="19"/>
        <v>44713</v>
      </c>
      <c r="I58" s="1189">
        <f t="shared" si="19"/>
        <v>44682</v>
      </c>
      <c r="J58" s="1189">
        <f t="shared" si="19"/>
        <v>44652</v>
      </c>
      <c r="K58" s="1189">
        <f t="shared" si="19"/>
        <v>44621</v>
      </c>
      <c r="L58" s="1189">
        <f t="shared" si="19"/>
        <v>44593</v>
      </c>
      <c r="M58" s="1189">
        <f t="shared" si="19"/>
        <v>44562</v>
      </c>
      <c r="N58" s="1189">
        <f t="shared" si="19"/>
        <v>44531</v>
      </c>
      <c r="O58" s="1189">
        <f t="shared" si="19"/>
        <v>44501</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4.5" thickBot="1">
      <c r="A60" s="468" t="s">
        <v>1970</v>
      </c>
      <c r="B60" s="469"/>
      <c r="C60" s="470"/>
      <c r="D60" s="471"/>
      <c r="E60" s="471"/>
      <c r="F60" s="471"/>
      <c r="G60" s="471"/>
      <c r="H60" s="471"/>
      <c r="I60" s="471"/>
      <c r="J60" s="471"/>
      <c r="K60" s="471"/>
      <c r="L60" s="471"/>
      <c r="M60" s="472"/>
      <c r="N60" s="471"/>
      <c r="O60" s="472"/>
      <c r="P60" s="1914"/>
      <c r="Q60" s="457"/>
    </row>
    <row r="61" spans="1:29" s="112" customFormat="1">
      <c r="A61" s="474" t="s">
        <v>1971</v>
      </c>
      <c r="B61" s="463"/>
      <c r="C61" s="475" t="s">
        <v>1972</v>
      </c>
      <c r="D61" s="476"/>
      <c r="E61" s="476"/>
      <c r="F61" s="476"/>
      <c r="G61" s="476"/>
      <c r="H61" s="476"/>
      <c r="I61" s="476"/>
      <c r="J61" s="476"/>
      <c r="K61" s="476"/>
      <c r="L61" s="477"/>
      <c r="M61" s="478"/>
      <c r="N61" s="942"/>
      <c r="O61" s="942"/>
      <c r="P61" s="1915"/>
      <c r="Q61" s="457"/>
    </row>
    <row r="62" spans="1:29" s="112" customFormat="1" ht="14.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4.5" thickBot="1">
      <c r="A64" s="487"/>
      <c r="B64" s="488"/>
      <c r="C64" s="489">
        <v>100</v>
      </c>
      <c r="D64" s="489"/>
      <c r="E64" s="489"/>
      <c r="F64" s="489"/>
      <c r="G64" s="489"/>
      <c r="H64" s="489"/>
      <c r="I64" s="489"/>
      <c r="J64" s="489"/>
      <c r="K64" s="489"/>
      <c r="L64" s="489"/>
      <c r="M64" s="490"/>
      <c r="N64" s="944"/>
      <c r="O64" s="944"/>
      <c r="P64" s="1916"/>
      <c r="Q64" s="457"/>
    </row>
    <row r="65" spans="1:17" ht="28.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4.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5" thickTop="1">
      <c r="A70" s="506"/>
      <c r="B70" s="491">
        <f>B12</f>
        <v>111</v>
      </c>
      <c r="C70" s="507"/>
      <c r="D70" s="507"/>
      <c r="E70" s="507"/>
      <c r="F70" s="507"/>
      <c r="G70" s="507"/>
      <c r="H70" s="508"/>
      <c r="I70" s="508"/>
      <c r="J70" s="508"/>
      <c r="K70" s="508"/>
      <c r="L70" s="509"/>
      <c r="M70" s="510"/>
      <c r="N70" s="945"/>
      <c r="O70" s="945"/>
      <c r="P70" s="1917"/>
      <c r="Q70" s="512"/>
    </row>
    <row r="71" spans="1:17" s="426" customFormat="1" ht="14.5" thickBot="1">
      <c r="A71" s="506"/>
      <c r="B71" s="496"/>
      <c r="C71" s="513"/>
      <c r="D71" s="489"/>
      <c r="E71" s="489"/>
      <c r="F71" s="489"/>
      <c r="G71" s="489"/>
      <c r="H71" s="489"/>
      <c r="I71" s="489"/>
      <c r="J71" s="489"/>
      <c r="K71" s="489"/>
      <c r="L71" s="489"/>
      <c r="M71" s="490"/>
      <c r="N71" s="944"/>
      <c r="O71" s="944"/>
      <c r="P71" s="1917"/>
      <c r="Q71" s="512"/>
    </row>
    <row r="72" spans="1:17" s="426" customFormat="1" ht="14.5" thickTop="1">
      <c r="A72" s="506"/>
      <c r="B72" s="491">
        <f>B13</f>
        <v>111</v>
      </c>
      <c r="C72" s="507"/>
      <c r="D72" s="507"/>
      <c r="E72" s="507"/>
      <c r="F72" s="507"/>
      <c r="G72" s="507"/>
      <c r="H72" s="508"/>
      <c r="I72" s="508"/>
      <c r="J72" s="508"/>
      <c r="K72" s="508"/>
      <c r="L72" s="509"/>
      <c r="M72" s="510"/>
      <c r="N72" s="945"/>
      <c r="O72" s="945"/>
      <c r="P72" s="1918"/>
      <c r="Q72" s="514"/>
    </row>
    <row r="73" spans="1:17" s="426" customFormat="1" ht="14.5" thickBot="1">
      <c r="A73" s="506"/>
      <c r="B73" s="496"/>
      <c r="C73" s="513"/>
      <c r="D73" s="513"/>
      <c r="E73" s="513"/>
      <c r="F73" s="513"/>
      <c r="G73" s="513"/>
      <c r="H73" s="515"/>
      <c r="I73" s="515"/>
      <c r="J73" s="515"/>
      <c r="K73" s="515"/>
      <c r="L73" s="515"/>
      <c r="M73" s="516"/>
      <c r="N73" s="945"/>
      <c r="O73" s="945"/>
      <c r="P73" s="1917"/>
      <c r="Q73" s="512"/>
    </row>
    <row r="74" spans="1:17" s="426" customFormat="1" ht="14.5" thickTop="1">
      <c r="A74" s="506"/>
      <c r="B74" s="499">
        <f>B14</f>
        <v>111</v>
      </c>
      <c r="C74" s="507"/>
      <c r="D74" s="507"/>
      <c r="E74" s="507"/>
      <c r="F74" s="507"/>
      <c r="G74" s="476"/>
      <c r="H74" s="517"/>
      <c r="I74" s="517"/>
      <c r="J74" s="517"/>
      <c r="K74" s="517"/>
      <c r="L74" s="518"/>
      <c r="M74" s="519"/>
      <c r="N74" s="945"/>
      <c r="O74" s="945"/>
      <c r="P74" s="1919"/>
      <c r="Q74" s="512"/>
    </row>
    <row r="75" spans="1:17" s="426" customFormat="1" ht="14.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4.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4.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4.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4.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4.5" thickTop="1">
      <c r="A88" s="532"/>
      <c r="B88" s="491" t="s">
        <v>1996</v>
      </c>
      <c r="C88" s="507"/>
      <c r="D88" s="507"/>
      <c r="E88" s="507"/>
      <c r="F88" s="1921"/>
      <c r="G88" s="507"/>
      <c r="H88" s="507"/>
      <c r="I88" s="507"/>
      <c r="J88" s="507"/>
      <c r="K88" s="507"/>
      <c r="L88" s="507"/>
      <c r="M88" s="534"/>
      <c r="N88" s="942"/>
      <c r="O88" s="942"/>
      <c r="P88" s="1916"/>
      <c r="Q88" s="457"/>
    </row>
    <row r="89" spans="1:17" s="112" customFormat="1" ht="14.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5" thickTop="1">
      <c r="A90" s="506"/>
      <c r="B90" s="491">
        <f>B27</f>
        <v>111</v>
      </c>
      <c r="C90" s="507"/>
      <c r="D90" s="507"/>
      <c r="E90" s="507"/>
      <c r="F90" s="507"/>
      <c r="G90" s="507"/>
      <c r="H90" s="508"/>
      <c r="I90" s="508"/>
      <c r="J90" s="508"/>
      <c r="K90" s="508"/>
      <c r="L90" s="509"/>
      <c r="M90" s="510"/>
      <c r="N90" s="945"/>
      <c r="O90" s="945"/>
      <c r="P90" s="1917"/>
      <c r="Q90" s="512"/>
    </row>
    <row r="91" spans="1:17" s="426" customFormat="1" ht="14.5" thickBot="1">
      <c r="A91" s="506"/>
      <c r="B91" s="496"/>
      <c r="C91" s="513"/>
      <c r="D91" s="513"/>
      <c r="E91" s="513"/>
      <c r="F91" s="513"/>
      <c r="G91" s="513"/>
      <c r="H91" s="515"/>
      <c r="I91" s="515"/>
      <c r="J91" s="515"/>
      <c r="K91" s="515"/>
      <c r="L91" s="515"/>
      <c r="M91" s="516"/>
      <c r="N91" s="945"/>
      <c r="O91" s="945"/>
      <c r="P91" s="1917"/>
      <c r="Q91" s="512"/>
    </row>
    <row r="92" spans="1:17" ht="14.5" thickTop="1">
      <c r="A92" s="487"/>
      <c r="B92" s="491">
        <f>B28</f>
        <v>111</v>
      </c>
      <c r="C92" s="507"/>
      <c r="D92" s="507"/>
      <c r="E92" s="507"/>
      <c r="F92" s="507"/>
      <c r="G92" s="536"/>
      <c r="H92" s="536"/>
      <c r="I92" s="536"/>
      <c r="J92" s="536"/>
      <c r="K92" s="537"/>
      <c r="L92" s="538"/>
      <c r="M92" s="539"/>
      <c r="N92" s="943"/>
      <c r="O92" s="943"/>
      <c r="P92" s="1916"/>
      <c r="Q92" s="457"/>
    </row>
    <row r="93" spans="1:17" ht="14.5" thickBot="1">
      <c r="A93" s="487"/>
      <c r="B93" s="496"/>
      <c r="C93" s="513"/>
      <c r="D93" s="489"/>
      <c r="E93" s="489"/>
      <c r="F93" s="489"/>
      <c r="G93" s="489"/>
      <c r="H93" s="489"/>
      <c r="I93" s="489"/>
      <c r="J93" s="489"/>
      <c r="K93" s="489"/>
      <c r="L93" s="489"/>
      <c r="M93" s="490"/>
      <c r="N93" s="944"/>
      <c r="O93" s="944"/>
      <c r="P93" s="1916"/>
      <c r="Q93" s="457"/>
    </row>
    <row r="94" spans="1:17" ht="14.5" thickTop="1">
      <c r="A94" s="487"/>
      <c r="B94" s="491">
        <f>B29</f>
        <v>111</v>
      </c>
      <c r="C94" s="507"/>
      <c r="D94" s="507"/>
      <c r="E94" s="507"/>
      <c r="F94" s="507"/>
      <c r="G94" s="536"/>
      <c r="H94" s="536"/>
      <c r="I94" s="536"/>
      <c r="J94" s="536"/>
      <c r="K94" s="537"/>
      <c r="L94" s="538"/>
      <c r="M94" s="539"/>
      <c r="N94" s="943"/>
      <c r="O94" s="943"/>
      <c r="P94" s="1916"/>
      <c r="Q94" s="457"/>
    </row>
    <row r="95" spans="1:17" ht="14.5" thickBot="1">
      <c r="A95" s="487"/>
      <c r="B95" s="496"/>
      <c r="C95" s="513"/>
      <c r="D95" s="513"/>
      <c r="E95" s="513"/>
      <c r="F95" s="513"/>
      <c r="G95" s="489"/>
      <c r="H95" s="489"/>
      <c r="I95" s="489"/>
      <c r="J95" s="489"/>
      <c r="K95" s="489"/>
      <c r="L95" s="489"/>
      <c r="M95" s="490"/>
      <c r="N95" s="944"/>
      <c r="O95" s="944"/>
      <c r="P95" s="1916"/>
      <c r="Q95" s="457"/>
    </row>
    <row r="96" spans="1:17" ht="14.5" thickTop="1">
      <c r="A96" s="487"/>
      <c r="B96" s="491">
        <f>B30</f>
        <v>111</v>
      </c>
      <c r="C96" s="507"/>
      <c r="D96" s="507"/>
      <c r="E96" s="507"/>
      <c r="F96" s="507"/>
      <c r="G96" s="536"/>
      <c r="H96" s="536"/>
      <c r="I96" s="536"/>
      <c r="J96" s="536"/>
      <c r="K96" s="537"/>
      <c r="L96" s="538"/>
      <c r="M96" s="539"/>
      <c r="N96" s="943"/>
      <c r="O96" s="943"/>
      <c r="P96" s="1916"/>
      <c r="Q96" s="457"/>
    </row>
    <row r="97" spans="1:17" ht="14.5" thickBot="1">
      <c r="A97" s="487"/>
      <c r="B97" s="496"/>
      <c r="C97" s="523"/>
      <c r="D97" s="523"/>
      <c r="E97" s="523"/>
      <c r="F97" s="523"/>
      <c r="G97" s="489"/>
      <c r="H97" s="489"/>
      <c r="I97" s="489"/>
      <c r="J97" s="489"/>
      <c r="K97" s="489"/>
      <c r="L97" s="489"/>
      <c r="M97" s="490"/>
      <c r="N97" s="944"/>
      <c r="O97" s="944"/>
      <c r="P97" s="1916"/>
      <c r="Q97" s="457"/>
    </row>
    <row r="98" spans="1:17" ht="14.5" thickTop="1">
      <c r="A98" s="487"/>
      <c r="B98" s="499">
        <f>B31</f>
        <v>111</v>
      </c>
      <c r="C98" s="540"/>
      <c r="D98" s="540"/>
      <c r="E98" s="540"/>
      <c r="F98" s="540"/>
      <c r="G98" s="540"/>
      <c r="H98" s="540"/>
      <c r="I98" s="540"/>
      <c r="J98" s="540"/>
      <c r="K98" s="541"/>
      <c r="L98" s="542"/>
      <c r="M98" s="543"/>
      <c r="N98" s="943"/>
      <c r="O98" s="943"/>
      <c r="P98" s="1916"/>
      <c r="Q98" s="457"/>
    </row>
    <row r="99" spans="1:17" ht="14.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4.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4.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5" thickBot="1">
      <c r="A104" s="506"/>
      <c r="B104" s="496"/>
      <c r="C104" s="513"/>
      <c r="D104" s="489"/>
      <c r="E104" s="489"/>
      <c r="F104" s="489"/>
      <c r="G104" s="489"/>
      <c r="H104" s="489"/>
      <c r="I104" s="489"/>
      <c r="J104" s="489"/>
      <c r="K104" s="489"/>
      <c r="L104" s="489"/>
      <c r="M104" s="489"/>
      <c r="N104" s="944"/>
      <c r="O104" s="944"/>
      <c r="P104" s="1917"/>
      <c r="Q104" s="512"/>
    </row>
    <row r="105" spans="1:17" ht="14.5" thickTop="1">
      <c r="A105" s="552"/>
      <c r="B105" s="491" t="s">
        <v>1999</v>
      </c>
      <c r="C105" s="507"/>
      <c r="D105" s="507"/>
      <c r="E105" s="536"/>
      <c r="F105" s="536"/>
      <c r="G105" s="536"/>
      <c r="H105" s="536"/>
      <c r="I105" s="536"/>
      <c r="J105" s="536"/>
      <c r="K105" s="537"/>
      <c r="L105" s="538"/>
      <c r="M105" s="539"/>
      <c r="N105" s="943"/>
      <c r="O105" s="943"/>
      <c r="P105" s="1916"/>
      <c r="Q105" s="457"/>
    </row>
    <row r="106" spans="1:17" ht="14.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4.5" thickTop="1">
      <c r="A107" s="552"/>
      <c r="B107" s="491" t="s">
        <v>2000</v>
      </c>
      <c r="C107" s="536"/>
      <c r="D107" s="536"/>
      <c r="E107" s="536"/>
      <c r="F107" s="536"/>
      <c r="G107" s="536"/>
      <c r="H107" s="536"/>
      <c r="I107" s="536"/>
      <c r="J107" s="536"/>
      <c r="K107" s="537"/>
      <c r="L107" s="538"/>
      <c r="M107" s="539"/>
      <c r="N107" s="943"/>
      <c r="O107" s="943"/>
      <c r="P107" s="1916"/>
      <c r="Q107" s="457"/>
    </row>
    <row r="108" spans="1:17" ht="14.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4.5" thickTop="1">
      <c r="A109" s="552"/>
      <c r="B109" s="491" t="s">
        <v>2001</v>
      </c>
      <c r="C109" s="507"/>
      <c r="D109" s="507"/>
      <c r="E109" s="507"/>
      <c r="F109" s="536"/>
      <c r="G109" s="536"/>
      <c r="H109" s="536"/>
      <c r="I109" s="536"/>
      <c r="J109" s="536"/>
      <c r="K109" s="537"/>
      <c r="L109" s="538"/>
      <c r="M109" s="539"/>
      <c r="N109" s="943"/>
      <c r="O109" s="943"/>
      <c r="P109" s="1916"/>
      <c r="Q109" s="457"/>
    </row>
    <row r="110" spans="1:17" ht="14.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4.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4.5" thickTop="1">
      <c r="A114" s="552"/>
      <c r="B114" s="491" t="s">
        <v>2002</v>
      </c>
      <c r="C114" s="507"/>
      <c r="D114" s="507"/>
      <c r="E114" s="536"/>
      <c r="F114" s="536"/>
      <c r="G114" s="536"/>
      <c r="H114" s="536"/>
      <c r="I114" s="536"/>
      <c r="J114" s="536"/>
      <c r="K114" s="537"/>
      <c r="L114" s="538"/>
      <c r="M114" s="539"/>
      <c r="N114" s="943"/>
      <c r="O114" s="943"/>
      <c r="P114" s="1916"/>
      <c r="Q114" s="457"/>
    </row>
    <row r="115" spans="1:17" ht="14.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4.5" thickTop="1">
      <c r="A116" s="552"/>
      <c r="B116" s="491" t="s">
        <v>2003</v>
      </c>
      <c r="C116" s="507"/>
      <c r="D116" s="507"/>
      <c r="E116" s="507"/>
      <c r="F116" s="507"/>
      <c r="G116" s="507"/>
      <c r="H116" s="536"/>
      <c r="I116" s="536"/>
      <c r="J116" s="536"/>
      <c r="K116" s="537"/>
      <c r="L116" s="538"/>
      <c r="M116" s="539"/>
      <c r="N116" s="943"/>
      <c r="O116" s="943"/>
      <c r="P116" s="1916"/>
      <c r="Q116" s="457"/>
    </row>
    <row r="117" spans="1:17" ht="14.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4.5" thickTop="1">
      <c r="A118" s="552"/>
      <c r="B118" s="491" t="s">
        <v>2004</v>
      </c>
      <c r="C118" s="536"/>
      <c r="D118" s="536"/>
      <c r="E118" s="536"/>
      <c r="F118" s="536"/>
      <c r="G118" s="536"/>
      <c r="H118" s="536"/>
      <c r="I118" s="536"/>
      <c r="J118" s="536"/>
      <c r="K118" s="537"/>
      <c r="L118" s="538"/>
      <c r="M118" s="539"/>
      <c r="N118" s="943"/>
      <c r="O118" s="943"/>
      <c r="P118" s="1916"/>
      <c r="Q118" s="457"/>
    </row>
    <row r="119" spans="1:17" ht="14.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5" thickBot="1">
      <c r="A121" s="506"/>
      <c r="B121" s="488"/>
      <c r="C121" s="513"/>
      <c r="D121" s="489"/>
      <c r="E121" s="489"/>
      <c r="F121" s="489"/>
      <c r="G121" s="489"/>
      <c r="H121" s="489"/>
      <c r="I121" s="489"/>
      <c r="J121" s="489"/>
      <c r="K121" s="489"/>
      <c r="L121" s="489"/>
      <c r="M121" s="489"/>
      <c r="N121" s="945"/>
      <c r="O121" s="945"/>
      <c r="P121" s="1917"/>
      <c r="Q121" s="512"/>
    </row>
    <row r="122" spans="1:17" ht="14.5" thickTop="1">
      <c r="A122" s="552"/>
      <c r="B122" s="491" t="s">
        <v>2005</v>
      </c>
      <c r="C122" s="507"/>
      <c r="D122" s="507"/>
      <c r="E122" s="507"/>
      <c r="F122" s="536"/>
      <c r="G122" s="536"/>
      <c r="H122" s="536"/>
      <c r="I122" s="536"/>
      <c r="J122" s="536"/>
      <c r="K122" s="537"/>
      <c r="L122" s="538"/>
      <c r="M122" s="539"/>
      <c r="N122" s="943"/>
      <c r="O122" s="943"/>
      <c r="P122" s="1916"/>
      <c r="Q122" s="457"/>
    </row>
    <row r="123" spans="1:17" ht="14.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8.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5" thickBot="1">
      <c r="A127" s="506"/>
      <c r="B127" s="496"/>
      <c r="C127" s="513"/>
      <c r="D127" s="489"/>
      <c r="E127" s="489"/>
      <c r="F127" s="489"/>
      <c r="G127" s="513"/>
      <c r="H127" s="515"/>
      <c r="I127" s="515"/>
      <c r="J127" s="515"/>
      <c r="K127" s="515"/>
      <c r="L127" s="515"/>
      <c r="M127" s="516"/>
      <c r="N127" s="945"/>
      <c r="O127" s="945"/>
      <c r="P127" s="1917"/>
      <c r="Q127" s="512"/>
    </row>
    <row r="128" spans="1:17" ht="14.5" thickTop="1">
      <c r="A128" s="552"/>
      <c r="B128" s="491">
        <f>B45</f>
        <v>111</v>
      </c>
      <c r="C128" s="507"/>
      <c r="D128" s="507"/>
      <c r="E128" s="507"/>
      <c r="F128" s="507"/>
      <c r="G128" s="536"/>
      <c r="H128" s="536"/>
      <c r="I128" s="536"/>
      <c r="J128" s="536"/>
      <c r="K128" s="537"/>
      <c r="L128" s="538"/>
      <c r="M128" s="539"/>
      <c r="N128" s="943"/>
      <c r="O128" s="943"/>
      <c r="P128" s="1916"/>
      <c r="Q128" s="457"/>
    </row>
    <row r="129" spans="1:17" ht="14.5" thickBot="1">
      <c r="A129" s="487"/>
      <c r="B129" s="496"/>
      <c r="C129" s="513"/>
      <c r="D129" s="513"/>
      <c r="E129" s="513"/>
      <c r="F129" s="513"/>
      <c r="G129" s="489"/>
      <c r="H129" s="489"/>
      <c r="I129" s="489"/>
      <c r="J129" s="489"/>
      <c r="K129" s="489"/>
      <c r="L129" s="489"/>
      <c r="M129" s="490"/>
      <c r="N129" s="944"/>
      <c r="O129" s="944"/>
      <c r="P129" s="1916"/>
      <c r="Q129" s="457"/>
    </row>
    <row r="130" spans="1:17" ht="14.5" thickTop="1">
      <c r="A130" s="552"/>
      <c r="B130" s="499">
        <f>B46</f>
        <v>111</v>
      </c>
      <c r="C130" s="507"/>
      <c r="D130" s="507"/>
      <c r="E130" s="507"/>
      <c r="F130" s="507"/>
      <c r="G130" s="540"/>
      <c r="H130" s="540"/>
      <c r="I130" s="540"/>
      <c r="J130" s="540"/>
      <c r="K130" s="476"/>
      <c r="L130" s="477"/>
      <c r="M130" s="543"/>
      <c r="N130" s="943"/>
      <c r="O130" s="943"/>
      <c r="P130" s="1916"/>
      <c r="Q130" s="457"/>
    </row>
    <row r="131" spans="1:17" ht="14.5" thickBot="1">
      <c r="A131" s="1922"/>
      <c r="B131" s="522"/>
      <c r="C131" s="523"/>
      <c r="D131" s="523"/>
      <c r="E131" s="523"/>
      <c r="F131" s="523"/>
      <c r="G131" s="544"/>
      <c r="H131" s="544"/>
      <c r="I131" s="544"/>
      <c r="J131" s="544"/>
      <c r="K131" s="544"/>
      <c r="L131" s="544"/>
      <c r="M131" s="545"/>
      <c r="N131" s="944"/>
      <c r="O131" s="944"/>
      <c r="P131" s="1916"/>
      <c r="Q131" s="457"/>
    </row>
    <row r="136" spans="1:17" ht="14.5" thickBot="1">
      <c r="B136" s="1923" t="s">
        <v>2007</v>
      </c>
    </row>
    <row r="137" spans="1:17" ht="15.5">
      <c r="B137" s="1924" t="s">
        <v>2008</v>
      </c>
      <c r="C137" s="1925"/>
      <c r="D137" s="1925"/>
      <c r="E137" s="1925"/>
      <c r="F137" s="1925"/>
      <c r="G137" s="1926"/>
      <c r="H137" s="1927"/>
      <c r="I137" s="1928" t="s">
        <v>2009</v>
      </c>
      <c r="J137" s="1925"/>
      <c r="K137" s="1929"/>
    </row>
    <row r="138" spans="1:17" ht="15.5">
      <c r="B138" s="1930"/>
      <c r="C138" s="141" t="s">
        <v>2010</v>
      </c>
      <c r="D138" s="141" t="s">
        <v>2011</v>
      </c>
      <c r="E138" s="1931" t="s">
        <v>2012</v>
      </c>
      <c r="F138" s="1932" t="s">
        <v>2013</v>
      </c>
      <c r="G138" s="141" t="s">
        <v>2011</v>
      </c>
      <c r="H138" s="142" t="s">
        <v>2012</v>
      </c>
      <c r="I138" s="1933"/>
      <c r="J138" s="141" t="s">
        <v>2014</v>
      </c>
      <c r="K138" s="142" t="s">
        <v>2015</v>
      </c>
    </row>
    <row r="139" spans="1:17" ht="15.5">
      <c r="B139" s="877">
        <v>6</v>
      </c>
      <c r="C139" s="878">
        <v>96</v>
      </c>
      <c r="D139" s="1934" t="s">
        <v>2016</v>
      </c>
      <c r="E139" s="879">
        <v>100</v>
      </c>
      <c r="F139" s="880">
        <v>102.5</v>
      </c>
      <c r="G139" s="1934" t="s">
        <v>2016</v>
      </c>
      <c r="H139" s="881">
        <v>105</v>
      </c>
      <c r="I139" s="1935" t="s">
        <v>2017</v>
      </c>
      <c r="J139" s="878">
        <v>20</v>
      </c>
      <c r="K139" s="882">
        <f>C145/(J139-2)</f>
        <v>4.0555555555555553E-3</v>
      </c>
    </row>
    <row r="140" spans="1:17" ht="15.5">
      <c r="B140" s="883">
        <v>5</v>
      </c>
      <c r="C140" s="884">
        <v>100</v>
      </c>
      <c r="D140" s="884"/>
      <c r="E140" s="885"/>
      <c r="F140" s="886">
        <v>102</v>
      </c>
      <c r="G140" s="884"/>
      <c r="H140" s="887"/>
      <c r="I140" s="1936" t="s">
        <v>2018</v>
      </c>
      <c r="J140" s="273">
        <f>ROUNDUP((J139-1)/2,0)</f>
        <v>10</v>
      </c>
      <c r="K140" s="888">
        <v>100</v>
      </c>
    </row>
    <row r="141" spans="1:17" ht="15.5">
      <c r="B141" s="883">
        <v>4</v>
      </c>
      <c r="C141" s="884">
        <v>102</v>
      </c>
      <c r="D141" s="884"/>
      <c r="E141" s="885"/>
      <c r="F141" s="886">
        <v>101.5</v>
      </c>
      <c r="G141" s="884"/>
      <c r="H141" s="887"/>
      <c r="I141" s="1936" t="s">
        <v>2019</v>
      </c>
      <c r="J141" s="273">
        <v>1</v>
      </c>
      <c r="K141" s="889">
        <f>ROUND(100+(J141-J140)*K139*100,1)</f>
        <v>96.4</v>
      </c>
    </row>
    <row r="142" spans="1:17" ht="15.5">
      <c r="B142" s="883">
        <v>3</v>
      </c>
      <c r="C142" s="884">
        <v>103</v>
      </c>
      <c r="D142" s="884"/>
      <c r="E142" s="885"/>
      <c r="F142" s="886">
        <v>101</v>
      </c>
      <c r="G142" s="884"/>
      <c r="H142" s="887"/>
      <c r="I142" s="1936" t="s">
        <v>2020</v>
      </c>
      <c r="J142" s="273">
        <f>J139</f>
        <v>20</v>
      </c>
      <c r="K142" s="890">
        <v>95</v>
      </c>
    </row>
    <row r="143" spans="1:17" ht="15.5">
      <c r="B143" s="883">
        <v>2</v>
      </c>
      <c r="C143" s="884">
        <v>100</v>
      </c>
      <c r="D143" s="884"/>
      <c r="E143" s="885"/>
      <c r="F143" s="886">
        <v>100.5</v>
      </c>
      <c r="G143" s="884"/>
      <c r="H143" s="887"/>
      <c r="I143" s="1936" t="s">
        <v>2021</v>
      </c>
      <c r="J143" s="884">
        <v>15</v>
      </c>
      <c r="K143" s="889">
        <f>ROUND(100+(J143-J140)*K139*100,1)</f>
        <v>102</v>
      </c>
    </row>
    <row r="144" spans="1:17" ht="15.5">
      <c r="B144" s="883">
        <v>1</v>
      </c>
      <c r="C144" s="884">
        <v>98</v>
      </c>
      <c r="D144" s="1937" t="s">
        <v>2022</v>
      </c>
      <c r="E144" s="885">
        <v>102</v>
      </c>
      <c r="F144" s="891">
        <v>100</v>
      </c>
      <c r="G144" s="1937" t="s">
        <v>2022</v>
      </c>
      <c r="H144" s="887">
        <v>105</v>
      </c>
      <c r="I144" s="1936" t="s">
        <v>2021</v>
      </c>
      <c r="J144" s="884">
        <v>18</v>
      </c>
      <c r="K144" s="889">
        <f>ROUND(100+(J144-J140)*K139*100,1)</f>
        <v>103.2</v>
      </c>
    </row>
    <row r="145" spans="2:11" ht="16"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9" customWidth="1"/>
    <col min="2" max="2" width="15.7265625" style="359" customWidth="1"/>
    <col min="3" max="3" width="15.0898437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1910"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4.5" thickBot="1">
      <c r="A7" s="364" t="s">
        <v>1933</v>
      </c>
      <c r="B7" s="365"/>
      <c r="C7" s="366">
        <f>'数据-取费表'!B2</f>
        <v>44872</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6">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2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4.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4.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c r="A58" s="458" t="s">
        <v>1933</v>
      </c>
      <c r="B58" s="459"/>
      <c r="C58" s="1188" t="str">
        <f>YEAR(C7)&amp;"-"&amp;MONTH(C7)</f>
        <v>2022-11</v>
      </c>
      <c r="D58" s="1189">
        <f>EDATE(C58,-1)</f>
        <v>44835</v>
      </c>
      <c r="E58" s="1189">
        <f t="shared" ref="E58:N58" si="16">EDATE(D58,-1)</f>
        <v>44805</v>
      </c>
      <c r="F58" s="1189">
        <f t="shared" si="16"/>
        <v>44774</v>
      </c>
      <c r="G58" s="1189">
        <f t="shared" si="16"/>
        <v>44743</v>
      </c>
      <c r="H58" s="1189">
        <f t="shared" si="16"/>
        <v>44713</v>
      </c>
      <c r="I58" s="1189">
        <f t="shared" si="16"/>
        <v>44682</v>
      </c>
      <c r="J58" s="1189">
        <f t="shared" si="16"/>
        <v>44652</v>
      </c>
      <c r="K58" s="1189">
        <f t="shared" si="16"/>
        <v>44621</v>
      </c>
      <c r="L58" s="1189">
        <f t="shared" si="16"/>
        <v>44593</v>
      </c>
      <c r="M58" s="1189">
        <f t="shared" si="16"/>
        <v>44562</v>
      </c>
      <c r="N58" s="1189">
        <f t="shared" si="16"/>
        <v>44531</v>
      </c>
      <c r="O58" s="1189">
        <f>EDATE(N58,-1)</f>
        <v>44501</v>
      </c>
      <c r="P58" s="2567"/>
      <c r="Q58" s="2568"/>
      <c r="R58" s="2568"/>
      <c r="S58" s="2568"/>
      <c r="T58" s="2568"/>
      <c r="U58" s="2568"/>
      <c r="V58" s="2568"/>
      <c r="W58" s="2568"/>
      <c r="X58" s="2568"/>
      <c r="Y58" s="2568"/>
      <c r="Z58" s="2568"/>
      <c r="AA58" s="2568"/>
      <c r="AB58" s="2568"/>
      <c r="AC58" s="2568"/>
    </row>
    <row r="59" spans="1:29" s="112" customFormat="1">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4.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4.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4.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8.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4.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4.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4.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4.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4.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4.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4.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4.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4.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4.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4.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4.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4.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4.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4.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4.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4.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4.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4.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4.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4.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4.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4.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4.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4.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4.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4.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4.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4.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4.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4.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4.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4.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4.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4.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4.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4.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4.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4.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4.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4.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4.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4.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4.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4.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4.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4.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4.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4.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4.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4.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4.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4.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28.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4.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4.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4.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4.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4.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4.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4.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59" customWidth="1"/>
    <col min="2" max="2" width="15.7265625" style="359" customWidth="1"/>
    <col min="3" max="3" width="15.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916"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4.5" thickBot="1">
      <c r="A7" s="364" t="s">
        <v>1933</v>
      </c>
      <c r="B7" s="365"/>
      <c r="C7" s="366">
        <f>'数据-取费表'!B2</f>
        <v>44872</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4.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0">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84">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56">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2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4.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4.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c r="A59" s="458" t="s">
        <v>1933</v>
      </c>
      <c r="B59" s="459"/>
      <c r="C59" s="1188" t="str">
        <f>YEAR(C7)&amp;"-"&amp;MONTH(C7)</f>
        <v>2022-11</v>
      </c>
      <c r="D59" s="1189">
        <f>EDATE(C59,-1)</f>
        <v>44835</v>
      </c>
      <c r="E59" s="1189">
        <f>EDATE(D59,-1)</f>
        <v>44805</v>
      </c>
      <c r="F59" s="1189">
        <f t="shared" ref="F59:O59" si="16">EDATE(E59,-1)</f>
        <v>44774</v>
      </c>
      <c r="G59" s="1189">
        <f t="shared" si="16"/>
        <v>44743</v>
      </c>
      <c r="H59" s="1189">
        <f t="shared" si="16"/>
        <v>44713</v>
      </c>
      <c r="I59" s="1189">
        <f t="shared" si="16"/>
        <v>44682</v>
      </c>
      <c r="J59" s="1189">
        <f t="shared" si="16"/>
        <v>44652</v>
      </c>
      <c r="K59" s="1189">
        <f t="shared" si="16"/>
        <v>44621</v>
      </c>
      <c r="L59" s="1189">
        <f t="shared" si="16"/>
        <v>44593</v>
      </c>
      <c r="M59" s="1189">
        <f t="shared" si="16"/>
        <v>44562</v>
      </c>
      <c r="N59" s="1189">
        <f t="shared" si="16"/>
        <v>44531</v>
      </c>
      <c r="O59" s="1189">
        <f t="shared" si="16"/>
        <v>44501</v>
      </c>
      <c r="P59" s="2586"/>
      <c r="Q59" s="2568"/>
      <c r="R59" s="2568"/>
      <c r="S59" s="2568"/>
      <c r="T59" s="2568"/>
      <c r="U59" s="2568"/>
      <c r="V59" s="2568"/>
      <c r="W59" s="2568"/>
      <c r="X59" s="2568"/>
      <c r="Y59" s="2568"/>
      <c r="Z59" s="2568"/>
      <c r="AA59" s="2568"/>
      <c r="AB59" s="2568"/>
      <c r="AC59" s="2568"/>
    </row>
    <row r="60" spans="1:29" s="112" customFormat="1">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4.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4.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4.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8.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4.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4.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4.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4.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4.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4.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4.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4.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4.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4.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4.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4.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4.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4.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4.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4.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4.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4.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8.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4.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4.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4.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4.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4.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4.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4.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4.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4.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4.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4.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4.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4.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4.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4.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4.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4.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4.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4.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4.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4.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4.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4.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4.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4.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4.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4.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4.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4.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4.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4.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4.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4.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4.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28.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4.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4.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4.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4.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4.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4.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4.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44872</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98">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42">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84">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9">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4.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4.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5" thickBot="1">
      <c r="A51" s="698" t="s">
        <v>2059</v>
      </c>
      <c r="B51" s="694"/>
      <c r="C51" s="699"/>
      <c r="D51" s="699"/>
      <c r="E51" s="699"/>
      <c r="F51" s="700"/>
      <c r="G51" s="700"/>
      <c r="H51" s="699"/>
      <c r="I51" s="699"/>
      <c r="J51" s="699"/>
      <c r="K51" s="951"/>
      <c r="L51" s="952"/>
      <c r="M51" s="950"/>
      <c r="N51" s="950"/>
      <c r="O51" s="950"/>
      <c r="P51" s="456"/>
      <c r="Q51" s="457"/>
    </row>
    <row r="52" spans="1:17" s="461" customFormat="1">
      <c r="A52" s="458" t="s">
        <v>1933</v>
      </c>
      <c r="B52" s="459"/>
      <c r="C52" s="1188" t="str">
        <f>YEAR(C7)&amp;"-"&amp;MONTH(C7)</f>
        <v>2022-11</v>
      </c>
      <c r="D52" s="1189">
        <f>EDATE(C52,-1)</f>
        <v>44835</v>
      </c>
      <c r="E52" s="1189">
        <f t="shared" ref="E52:O52" si="16">EDATE(D52,-1)</f>
        <v>44805</v>
      </c>
      <c r="F52" s="1189">
        <f t="shared" si="16"/>
        <v>44774</v>
      </c>
      <c r="G52" s="1189">
        <f t="shared" si="16"/>
        <v>44743</v>
      </c>
      <c r="H52" s="1189">
        <f t="shared" si="16"/>
        <v>44713</v>
      </c>
      <c r="I52" s="1189">
        <f t="shared" si="16"/>
        <v>44682</v>
      </c>
      <c r="J52" s="1189">
        <f t="shared" si="16"/>
        <v>44652</v>
      </c>
      <c r="K52" s="1189">
        <f t="shared" si="16"/>
        <v>44621</v>
      </c>
      <c r="L52" s="1189">
        <f t="shared" si="16"/>
        <v>44593</v>
      </c>
      <c r="M52" s="1189">
        <f t="shared" si="16"/>
        <v>44562</v>
      </c>
      <c r="N52" s="1189">
        <f t="shared" si="16"/>
        <v>44531</v>
      </c>
      <c r="O52" s="1189">
        <f t="shared" si="16"/>
        <v>44501</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4.5" thickBot="1">
      <c r="A54" s="468" t="s">
        <v>1970</v>
      </c>
      <c r="B54" s="469"/>
      <c r="C54" s="470"/>
      <c r="D54" s="471"/>
      <c r="E54" s="471"/>
      <c r="F54" s="471"/>
      <c r="G54" s="471"/>
      <c r="H54" s="471"/>
      <c r="I54" s="471"/>
      <c r="J54" s="471"/>
      <c r="K54" s="471"/>
      <c r="L54" s="471"/>
      <c r="M54" s="472"/>
      <c r="N54" s="2597"/>
      <c r="O54" s="2598"/>
      <c r="P54" s="457"/>
      <c r="Q54" s="457"/>
    </row>
    <row r="55" spans="1:17" s="112" customFormat="1">
      <c r="A55" s="474" t="s">
        <v>1935</v>
      </c>
      <c r="B55" s="463"/>
      <c r="C55" s="475" t="s">
        <v>2037</v>
      </c>
      <c r="D55" s="476"/>
      <c r="E55" s="476"/>
      <c r="F55" s="476"/>
      <c r="G55" s="476"/>
      <c r="H55" s="476"/>
      <c r="I55" s="476"/>
      <c r="J55" s="476"/>
      <c r="K55" s="476"/>
      <c r="L55" s="477"/>
      <c r="M55" s="478"/>
      <c r="N55" s="942"/>
      <c r="O55" s="942"/>
      <c r="P55" s="479"/>
      <c r="Q55" s="457"/>
    </row>
    <row r="56" spans="1:17" s="112" customFormat="1" ht="14.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4.5" thickBot="1">
      <c r="A58" s="487"/>
      <c r="B58" s="488"/>
      <c r="C58" s="489">
        <v>100</v>
      </c>
      <c r="D58" s="489"/>
      <c r="E58" s="489"/>
      <c r="F58" s="489"/>
      <c r="G58" s="489"/>
      <c r="H58" s="489"/>
      <c r="I58" s="489"/>
      <c r="J58" s="489"/>
      <c r="K58" s="489"/>
      <c r="L58" s="489"/>
      <c r="M58" s="490"/>
      <c r="N58" s="944"/>
      <c r="O58" s="944"/>
      <c r="P58" s="44"/>
      <c r="Q58" s="457"/>
    </row>
    <row r="59" spans="1:17" ht="28.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4.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5" thickTop="1">
      <c r="A64" s="506"/>
      <c r="B64" s="491">
        <f>B12</f>
        <v>111</v>
      </c>
      <c r="C64" s="507"/>
      <c r="D64" s="507"/>
      <c r="E64" s="507"/>
      <c r="F64" s="507"/>
      <c r="G64" s="507"/>
      <c r="H64" s="508"/>
      <c r="I64" s="508"/>
      <c r="J64" s="508"/>
      <c r="K64" s="508"/>
      <c r="L64" s="509"/>
      <c r="M64" s="510"/>
      <c r="N64" s="945"/>
      <c r="O64" s="945"/>
      <c r="P64" s="511"/>
      <c r="Q64" s="512"/>
    </row>
    <row r="65" spans="1:17" s="426" customFormat="1" ht="14.5" thickBot="1">
      <c r="A65" s="506"/>
      <c r="B65" s="496"/>
      <c r="C65" s="513"/>
      <c r="D65" s="489"/>
      <c r="E65" s="489"/>
      <c r="F65" s="489"/>
      <c r="G65" s="489"/>
      <c r="H65" s="489"/>
      <c r="I65" s="489"/>
      <c r="J65" s="489"/>
      <c r="K65" s="489"/>
      <c r="L65" s="489"/>
      <c r="M65" s="490"/>
      <c r="N65" s="944"/>
      <c r="O65" s="944"/>
      <c r="P65" s="511"/>
      <c r="Q65" s="512"/>
    </row>
    <row r="66" spans="1:17" s="426" customFormat="1" ht="14.5" thickTop="1">
      <c r="A66" s="506"/>
      <c r="B66" s="491">
        <f>B13</f>
        <v>111</v>
      </c>
      <c r="C66" s="507"/>
      <c r="D66" s="507"/>
      <c r="E66" s="507"/>
      <c r="F66" s="507"/>
      <c r="G66" s="507"/>
      <c r="H66" s="508"/>
      <c r="I66" s="508"/>
      <c r="J66" s="508"/>
      <c r="K66" s="508"/>
      <c r="L66" s="509"/>
      <c r="M66" s="510"/>
      <c r="N66" s="945"/>
      <c r="O66" s="945"/>
      <c r="P66" s="425"/>
      <c r="Q66" s="514"/>
    </row>
    <row r="67" spans="1:17" s="426" customFormat="1" ht="14.5" thickBot="1">
      <c r="A67" s="506"/>
      <c r="B67" s="496"/>
      <c r="C67" s="513"/>
      <c r="D67" s="489"/>
      <c r="E67" s="489"/>
      <c r="F67" s="489"/>
      <c r="G67" s="513"/>
      <c r="H67" s="515"/>
      <c r="I67" s="515"/>
      <c r="J67" s="515"/>
      <c r="K67" s="515"/>
      <c r="L67" s="515"/>
      <c r="M67" s="516"/>
      <c r="N67" s="945"/>
      <c r="O67" s="945"/>
      <c r="P67" s="511"/>
      <c r="Q67" s="512"/>
    </row>
    <row r="68" spans="1:17" s="426" customFormat="1" ht="14.5" thickTop="1">
      <c r="A68" s="506"/>
      <c r="B68" s="499">
        <f>B14</f>
        <v>111</v>
      </c>
      <c r="C68" s="476"/>
      <c r="D68" s="476"/>
      <c r="E68" s="476"/>
      <c r="F68" s="476"/>
      <c r="G68" s="476"/>
      <c r="H68" s="517"/>
      <c r="I68" s="517"/>
      <c r="J68" s="517"/>
      <c r="K68" s="517"/>
      <c r="L68" s="518"/>
      <c r="M68" s="519"/>
      <c r="N68" s="945"/>
      <c r="O68" s="945"/>
      <c r="P68" s="520"/>
      <c r="Q68" s="512"/>
    </row>
    <row r="69" spans="1:17" s="426" customFormat="1" ht="14.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4.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4.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4.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4.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5" thickTop="1">
      <c r="A80" s="532"/>
      <c r="B80" s="491">
        <f>B25</f>
        <v>111</v>
      </c>
      <c r="C80" s="507"/>
      <c r="D80" s="507"/>
      <c r="E80" s="507"/>
      <c r="F80" s="507"/>
      <c r="G80" s="507"/>
      <c r="H80" s="507"/>
      <c r="I80" s="507"/>
      <c r="J80" s="507"/>
      <c r="K80" s="507"/>
      <c r="L80" s="533"/>
      <c r="M80" s="534"/>
      <c r="N80" s="942"/>
      <c r="O80" s="942"/>
      <c r="P80" s="44"/>
      <c r="Q80" s="457"/>
    </row>
    <row r="81" spans="1:17" s="112" customFormat="1" ht="14.5" thickBot="1">
      <c r="A81" s="532"/>
      <c r="B81" s="496"/>
      <c r="C81" s="513"/>
      <c r="D81" s="489"/>
      <c r="E81" s="489"/>
      <c r="F81" s="489"/>
      <c r="G81" s="489"/>
      <c r="H81" s="489"/>
      <c r="I81" s="489"/>
      <c r="J81" s="489"/>
      <c r="K81" s="489"/>
      <c r="L81" s="489"/>
      <c r="M81" s="490"/>
      <c r="N81" s="944"/>
      <c r="O81" s="944"/>
      <c r="P81" s="44"/>
      <c r="Q81" s="457"/>
    </row>
    <row r="82" spans="1:17" s="112" customFormat="1" ht="14.5" thickTop="1">
      <c r="A82" s="532"/>
      <c r="B82" s="491">
        <f>B26</f>
        <v>111</v>
      </c>
      <c r="C82" s="507"/>
      <c r="D82" s="507"/>
      <c r="E82" s="507"/>
      <c r="F82" s="507"/>
      <c r="G82" s="507"/>
      <c r="H82" s="507"/>
      <c r="I82" s="507"/>
      <c r="J82" s="507"/>
      <c r="K82" s="507"/>
      <c r="L82" s="533"/>
      <c r="M82" s="534"/>
      <c r="N82" s="942"/>
      <c r="O82" s="942"/>
      <c r="P82" s="44"/>
      <c r="Q82" s="457"/>
    </row>
    <row r="83" spans="1:17" s="112" customFormat="1" ht="14.5" thickBot="1">
      <c r="A83" s="532"/>
      <c r="B83" s="496"/>
      <c r="C83" s="513"/>
      <c r="D83" s="489"/>
      <c r="E83" s="489"/>
      <c r="F83" s="489"/>
      <c r="G83" s="489"/>
      <c r="H83" s="489"/>
      <c r="I83" s="489"/>
      <c r="J83" s="489"/>
      <c r="K83" s="489"/>
      <c r="L83" s="489"/>
      <c r="M83" s="490"/>
      <c r="N83" s="944"/>
      <c r="O83" s="944"/>
      <c r="P83" s="44"/>
      <c r="Q83" s="457"/>
    </row>
    <row r="84" spans="1:17" s="426" customFormat="1" ht="14.5" thickTop="1">
      <c r="A84" s="506"/>
      <c r="B84" s="491">
        <f>B27</f>
        <v>111</v>
      </c>
      <c r="C84" s="507"/>
      <c r="D84" s="507"/>
      <c r="E84" s="507"/>
      <c r="F84" s="507"/>
      <c r="G84" s="507"/>
      <c r="H84" s="507"/>
      <c r="I84" s="507"/>
      <c r="J84" s="507"/>
      <c r="K84" s="507"/>
      <c r="L84" s="533"/>
      <c r="M84" s="534"/>
      <c r="N84" s="945"/>
      <c r="O84" s="945"/>
      <c r="P84" s="511"/>
      <c r="Q84" s="512"/>
    </row>
    <row r="85" spans="1:17" s="426" customFormat="1" ht="14.5" thickBot="1">
      <c r="A85" s="506"/>
      <c r="B85" s="496"/>
      <c r="C85" s="513"/>
      <c r="D85" s="489"/>
      <c r="E85" s="489"/>
      <c r="F85" s="489"/>
      <c r="G85" s="489"/>
      <c r="H85" s="489"/>
      <c r="I85" s="489"/>
      <c r="J85" s="489"/>
      <c r="K85" s="489"/>
      <c r="L85" s="489"/>
      <c r="M85" s="490"/>
      <c r="N85" s="945"/>
      <c r="O85" s="945"/>
      <c r="P85" s="511"/>
      <c r="Q85" s="512"/>
    </row>
    <row r="86" spans="1:17" ht="14.5" thickTop="1">
      <c r="A86" s="487"/>
      <c r="B86" s="499">
        <f>B28</f>
        <v>111</v>
      </c>
      <c r="C86" s="476"/>
      <c r="D86" s="476"/>
      <c r="E86" s="476"/>
      <c r="F86" s="476"/>
      <c r="G86" s="540"/>
      <c r="H86" s="540"/>
      <c r="I86" s="540"/>
      <c r="J86" s="540"/>
      <c r="K86" s="541"/>
      <c r="L86" s="542"/>
      <c r="M86" s="543"/>
      <c r="N86" s="943"/>
      <c r="O86" s="943"/>
      <c r="P86" s="44"/>
      <c r="Q86" s="457"/>
    </row>
    <row r="87" spans="1:17" ht="14.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4.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4.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5" thickBot="1">
      <c r="A92" s="506"/>
      <c r="B92" s="496"/>
      <c r="C92" s="513"/>
      <c r="D92" s="489"/>
      <c r="E92" s="489"/>
      <c r="F92" s="489"/>
      <c r="G92" s="489"/>
      <c r="H92" s="489"/>
      <c r="I92" s="489"/>
      <c r="J92" s="489"/>
      <c r="K92" s="489"/>
      <c r="L92" s="489"/>
      <c r="M92" s="490"/>
      <c r="N92" s="944"/>
      <c r="O92" s="944"/>
      <c r="P92" s="511"/>
      <c r="Q92" s="512"/>
    </row>
    <row r="93" spans="1:17" ht="14.5" thickTop="1">
      <c r="A93" s="552"/>
      <c r="B93" s="491" t="s">
        <v>1999</v>
      </c>
      <c r="C93" s="507"/>
      <c r="D93" s="507"/>
      <c r="E93" s="536"/>
      <c r="F93" s="536"/>
      <c r="G93" s="536"/>
      <c r="H93" s="536"/>
      <c r="I93" s="536"/>
      <c r="J93" s="536"/>
      <c r="K93" s="537"/>
      <c r="L93" s="538"/>
      <c r="M93" s="539"/>
      <c r="N93" s="943"/>
      <c r="O93" s="943"/>
      <c r="P93" s="44"/>
      <c r="Q93" s="457"/>
    </row>
    <row r="94" spans="1:17" ht="14.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4.5" thickTop="1">
      <c r="A95" s="552"/>
      <c r="B95" s="491" t="s">
        <v>2001</v>
      </c>
      <c r="C95" s="507"/>
      <c r="D95" s="507"/>
      <c r="E95" s="507"/>
      <c r="F95" s="536"/>
      <c r="G95" s="536"/>
      <c r="H95" s="536"/>
      <c r="I95" s="536"/>
      <c r="J95" s="536"/>
      <c r="K95" s="537"/>
      <c r="L95" s="538"/>
      <c r="M95" s="539"/>
      <c r="N95" s="943"/>
      <c r="O95" s="943"/>
      <c r="P95" s="44"/>
      <c r="Q95" s="457"/>
    </row>
    <row r="96" spans="1:17" ht="14.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4.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4.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4.5" thickTop="1">
      <c r="A102" s="552"/>
      <c r="B102" s="491" t="s">
        <v>2003</v>
      </c>
      <c r="C102" s="507"/>
      <c r="D102" s="507"/>
      <c r="E102" s="507"/>
      <c r="F102" s="507"/>
      <c r="G102" s="507"/>
      <c r="H102" s="536"/>
      <c r="I102" s="536"/>
      <c r="J102" s="536"/>
      <c r="K102" s="537"/>
      <c r="L102" s="538"/>
      <c r="M102" s="539"/>
      <c r="N102" s="943"/>
      <c r="O102" s="943"/>
      <c r="P102" s="44"/>
      <c r="Q102" s="457"/>
    </row>
    <row r="103" spans="1:17" ht="14.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4.5" thickTop="1">
      <c r="A104" s="552"/>
      <c r="B104" s="491" t="s">
        <v>2005</v>
      </c>
      <c r="C104" s="507"/>
      <c r="D104" s="507"/>
      <c r="E104" s="507"/>
      <c r="F104" s="507"/>
      <c r="G104" s="507"/>
      <c r="H104" s="536"/>
      <c r="I104" s="536"/>
      <c r="J104" s="536"/>
      <c r="K104" s="537"/>
      <c r="L104" s="538"/>
      <c r="M104" s="539"/>
      <c r="N104" s="943"/>
      <c r="O104" s="943"/>
      <c r="P104" s="44"/>
      <c r="Q104" s="457"/>
    </row>
    <row r="105" spans="1:17" ht="14.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8.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5" thickBot="1">
      <c r="A109" s="506"/>
      <c r="B109" s="488"/>
      <c r="C109" s="513"/>
      <c r="D109" s="489"/>
      <c r="E109" s="489"/>
      <c r="F109" s="489"/>
      <c r="G109" s="513"/>
      <c r="H109" s="515"/>
      <c r="I109" s="515"/>
      <c r="J109" s="515"/>
      <c r="K109" s="515"/>
      <c r="L109" s="515"/>
      <c r="M109" s="516"/>
      <c r="N109" s="945"/>
      <c r="O109" s="945"/>
      <c r="P109" s="511"/>
      <c r="Q109" s="512"/>
    </row>
    <row r="110" spans="1:17" ht="14.5" thickTop="1">
      <c r="A110" s="552"/>
      <c r="B110" s="491">
        <f>B39</f>
        <v>111</v>
      </c>
      <c r="C110" s="507"/>
      <c r="D110" s="507"/>
      <c r="E110" s="507"/>
      <c r="F110" s="507"/>
      <c r="G110" s="507"/>
      <c r="H110" s="508"/>
      <c r="I110" s="508"/>
      <c r="J110" s="508"/>
      <c r="K110" s="508"/>
      <c r="L110" s="509"/>
      <c r="M110" s="510"/>
      <c r="N110" s="943"/>
      <c r="O110" s="943"/>
      <c r="P110" s="44"/>
      <c r="Q110" s="457"/>
    </row>
    <row r="111" spans="1:17" ht="14.5" thickBot="1">
      <c r="A111" s="487"/>
      <c r="B111" s="496"/>
      <c r="C111" s="513"/>
      <c r="D111" s="489"/>
      <c r="E111" s="489"/>
      <c r="F111" s="489"/>
      <c r="G111" s="513"/>
      <c r="H111" s="515"/>
      <c r="I111" s="515"/>
      <c r="J111" s="515"/>
      <c r="K111" s="515"/>
      <c r="L111" s="515"/>
      <c r="M111" s="516"/>
      <c r="N111" s="944"/>
      <c r="O111" s="944"/>
      <c r="P111" s="44"/>
      <c r="Q111" s="457"/>
    </row>
    <row r="112" spans="1:17" ht="14.5" thickTop="1">
      <c r="A112" s="552"/>
      <c r="B112" s="499">
        <f>B40</f>
        <v>111</v>
      </c>
      <c r="C112" s="476"/>
      <c r="D112" s="476"/>
      <c r="E112" s="476"/>
      <c r="F112" s="476"/>
      <c r="G112" s="540"/>
      <c r="H112" s="540"/>
      <c r="I112" s="540"/>
      <c r="J112" s="540"/>
      <c r="K112" s="476"/>
      <c r="L112" s="477"/>
      <c r="M112" s="543"/>
      <c r="N112" s="943"/>
      <c r="O112" s="943"/>
      <c r="P112" s="44"/>
      <c r="Q112" s="457"/>
    </row>
    <row r="113" spans="1:17" ht="14.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0" customWidth="1"/>
    <col min="2" max="16384" width="9" style="1470"/>
  </cols>
  <sheetData>
    <row r="1" spans="1:1" ht="23">
      <c r="A1" s="1469" t="s">
        <v>1140</v>
      </c>
    </row>
    <row r="2" spans="1:1">
      <c r="A2" s="1471"/>
    </row>
    <row r="3" spans="1:1" ht="18">
      <c r="A3" s="1472" t="str">
        <f>项目基本情况!B5&amp;"："</f>
        <v>：</v>
      </c>
    </row>
    <row r="4" spans="1:1" ht="17.5">
      <c r="A4" s="1473" t="str">
        <f>"受贵公司委托，我公司对"&amp;项目基本情况!S1&amp;"进行了预评估。"</f>
        <v>受贵公司委托，我公司对北京市进行了预评估。</v>
      </c>
    </row>
    <row r="5" spans="1:1" ht="18">
      <c r="A5" s="1474" t="s">
        <v>1141</v>
      </c>
    </row>
    <row r="6" spans="1:1" ht="17.5">
      <c r="A6" s="1475" t="s">
        <v>1142</v>
      </c>
    </row>
    <row r="7" spans="1:1" ht="17.5">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476" t="s">
        <v>1143</v>
      </c>
    </row>
    <row r="9" spans="1:1" ht="17.5">
      <c r="A9" s="1475" t="s">
        <v>1144</v>
      </c>
    </row>
    <row r="10" spans="1:1" ht="17.5">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476" t="s">
        <v>1145</v>
      </c>
    </row>
    <row r="12" spans="1:1" ht="18">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478" t="s">
        <v>1147</v>
      </c>
    </row>
    <row r="15" spans="1:1" ht="17.5">
      <c r="A15" s="1479" t="str">
        <f>TEXT(项目基本情况!D3,"yyyy年m月d日;;")&amp;IF(项目基本情况!D3=项目基本情况!B3,"（评估专业人员实地查勘之日）","")</f>
        <v>2022年11月7日</v>
      </c>
    </row>
    <row r="16" spans="1:1" ht="18">
      <c r="A16" s="1478" t="s">
        <v>1148</v>
      </c>
    </row>
    <row r="17" spans="1:1" ht="70">
      <c r="A17" s="1473" t="s">
        <v>1149</v>
      </c>
    </row>
    <row r="18" spans="1:1" ht="70">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78" t="s">
        <v>1138</v>
      </c>
    </row>
    <row r="24" spans="1:1" ht="17.5">
      <c r="A24" s="1480" t="str">
        <f>"本次评估采用的主估价方法为"&amp;结果表!K4&amp;"和"&amp;结果表!L4&amp;"。"</f>
        <v>本次评估采用的主估价方法为基准地价系数修正法和基准地价系数修正法。</v>
      </c>
    </row>
    <row r="25" spans="1:1" ht="17.5">
      <c r="A25" s="1480"/>
    </row>
    <row r="26" spans="1:1" ht="1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5.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916"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44872</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98">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42">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6">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9">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4.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4.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c r="A48" s="458" t="s">
        <v>2113</v>
      </c>
      <c r="B48" s="459"/>
      <c r="C48" s="1188" t="str">
        <f>YEAR(C7)&amp;"-"&amp;MONTH(C7)</f>
        <v>2022-11</v>
      </c>
      <c r="D48" s="1189">
        <f>EDATE(C48,-1)</f>
        <v>44835</v>
      </c>
      <c r="E48" s="1189">
        <f t="shared" ref="E48:O48" si="16">EDATE(D48,-1)</f>
        <v>44805</v>
      </c>
      <c r="F48" s="1189">
        <f t="shared" si="16"/>
        <v>44774</v>
      </c>
      <c r="G48" s="1189">
        <f t="shared" si="16"/>
        <v>44743</v>
      </c>
      <c r="H48" s="1189">
        <f t="shared" si="16"/>
        <v>44713</v>
      </c>
      <c r="I48" s="1189">
        <f t="shared" si="16"/>
        <v>44682</v>
      </c>
      <c r="J48" s="1189">
        <f t="shared" si="16"/>
        <v>44652</v>
      </c>
      <c r="K48" s="1189">
        <f t="shared" si="16"/>
        <v>44621</v>
      </c>
      <c r="L48" s="1189">
        <f t="shared" si="16"/>
        <v>44593</v>
      </c>
      <c r="M48" s="1189">
        <f t="shared" si="16"/>
        <v>44562</v>
      </c>
      <c r="N48" s="1189">
        <f t="shared" si="16"/>
        <v>44531</v>
      </c>
      <c r="O48" s="1189">
        <f t="shared" si="16"/>
        <v>44501</v>
      </c>
      <c r="P48" s="2586"/>
      <c r="Q48" s="2568"/>
      <c r="R48" s="2568"/>
      <c r="S48" s="2568"/>
      <c r="T48" s="2568"/>
      <c r="U48" s="2568"/>
      <c r="V48" s="2568"/>
      <c r="W48" s="2568"/>
      <c r="X48" s="2568"/>
      <c r="Y48" s="2568"/>
      <c r="Z48" s="2568"/>
      <c r="AA48" s="2568"/>
      <c r="AB48" s="2568"/>
      <c r="AC48" s="2568"/>
    </row>
    <row r="49" spans="1:29" s="112" customFormat="1">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4.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4.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4.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8.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4.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4.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4.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4.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4.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4.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4.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4.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4.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4.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4.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4.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4.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4.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4.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4.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4.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4.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4.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4.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4.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4.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4.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8.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4.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4.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4.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4.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4.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4.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4.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4.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4.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4.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4.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4.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4.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4.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4.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4.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4.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4.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4.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4.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4.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4.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44872</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98">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42">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6">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9">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4.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4.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c r="A46" s="458" t="s">
        <v>1933</v>
      </c>
      <c r="B46" s="459"/>
      <c r="C46" s="1188" t="str">
        <f>YEAR(C7)&amp;"-"&amp;MONTH(C7)</f>
        <v>2022-11</v>
      </c>
      <c r="D46" s="1189">
        <f>EDATE(C46,-1)</f>
        <v>44835</v>
      </c>
      <c r="E46" s="1189">
        <f t="shared" ref="E46:O46" si="16">EDATE(D46,-1)</f>
        <v>44805</v>
      </c>
      <c r="F46" s="1189">
        <f t="shared" si="16"/>
        <v>44774</v>
      </c>
      <c r="G46" s="1189">
        <f t="shared" si="16"/>
        <v>44743</v>
      </c>
      <c r="H46" s="1189">
        <f t="shared" si="16"/>
        <v>44713</v>
      </c>
      <c r="I46" s="1189">
        <f t="shared" si="16"/>
        <v>44682</v>
      </c>
      <c r="J46" s="1189">
        <f t="shared" si="16"/>
        <v>44652</v>
      </c>
      <c r="K46" s="1189">
        <f t="shared" si="16"/>
        <v>44621</v>
      </c>
      <c r="L46" s="1189">
        <f t="shared" si="16"/>
        <v>44593</v>
      </c>
      <c r="M46" s="1189">
        <f t="shared" si="16"/>
        <v>44562</v>
      </c>
      <c r="N46" s="1189">
        <f t="shared" si="16"/>
        <v>44531</v>
      </c>
      <c r="O46" s="1189">
        <f t="shared" si="16"/>
        <v>44501</v>
      </c>
      <c r="P46" s="2603"/>
      <c r="Q46" s="2568"/>
      <c r="R46" s="2568"/>
      <c r="S46" s="2568"/>
      <c r="T46" s="2568"/>
      <c r="U46" s="2568"/>
      <c r="V46" s="2568"/>
      <c r="W46" s="2568"/>
      <c r="X46" s="2568"/>
      <c r="Y46" s="2568"/>
      <c r="Z46" s="2568"/>
      <c r="AA46" s="2568"/>
      <c r="AB46" s="2568"/>
      <c r="AC46" s="2568"/>
      <c r="AD46" s="2568"/>
    </row>
    <row r="47" spans="1:30" s="112" customFormat="1">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4.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4.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4.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8.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4.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4.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4.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4.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4.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4.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4.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4.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4.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8.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4.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4.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4.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4.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4.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4.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4.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4.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4.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4.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4.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4.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4.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4.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4.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4.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4.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4.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4.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4.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4.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4.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4.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4.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4.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4.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4.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4.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4.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4.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4.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4.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59" customWidth="1"/>
    <col min="2" max="2" width="15.7265625" style="359" customWidth="1"/>
    <col min="3" max="3" width="14.36328125" style="359" customWidth="1"/>
    <col min="4" max="4" width="14.0898437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4.5" thickBot="1">
      <c r="A7" s="364" t="s">
        <v>1933</v>
      </c>
      <c r="B7" s="365"/>
      <c r="C7" s="366">
        <f>'数据-取费表'!B2</f>
        <v>44872</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4.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8">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4">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84">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98">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2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6">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42">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4.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4.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4.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4.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2022-11-1</v>
      </c>
      <c r="D68" s="696">
        <f>EDATE(C68,-3)</f>
        <v>44774</v>
      </c>
      <c r="E68" s="696">
        <f>EDATE(D68,-3)</f>
        <v>44682</v>
      </c>
      <c r="F68" s="696">
        <f t="shared" ref="F68:O68" si="18">EDATE(E68,-3)</f>
        <v>44593</v>
      </c>
      <c r="G68" s="696">
        <f t="shared" si="18"/>
        <v>44501</v>
      </c>
      <c r="H68" s="696">
        <f t="shared" si="18"/>
        <v>44409</v>
      </c>
      <c r="I68" s="696">
        <f t="shared" si="18"/>
        <v>44317</v>
      </c>
      <c r="J68" s="696">
        <f t="shared" si="18"/>
        <v>44228</v>
      </c>
      <c r="K68" s="696">
        <f t="shared" si="18"/>
        <v>44136</v>
      </c>
      <c r="L68" s="696">
        <f t="shared" si="18"/>
        <v>44044</v>
      </c>
      <c r="M68" s="696">
        <f t="shared" si="18"/>
        <v>43952</v>
      </c>
      <c r="N68" s="696">
        <f t="shared" si="18"/>
        <v>43862</v>
      </c>
      <c r="O68" s="696">
        <f t="shared" si="18"/>
        <v>43770</v>
      </c>
      <c r="P68" s="2552"/>
      <c r="Q68" s="2552"/>
      <c r="R68" s="2552"/>
      <c r="S68" s="2552"/>
      <c r="T68" s="2552"/>
      <c r="U68" s="2552"/>
      <c r="V68" s="2552"/>
      <c r="W68" s="2552"/>
      <c r="X68" s="2552"/>
      <c r="Y68" s="2552"/>
      <c r="Z68" s="2552"/>
      <c r="AA68" s="2552"/>
      <c r="AB68" s="2552"/>
      <c r="AC68" s="2552"/>
    </row>
    <row r="69" spans="1:29" ht="21.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c r="A70" s="1983" t="s">
        <v>2167</v>
      </c>
      <c r="B70" s="1116"/>
      <c r="C70" s="1186" t="str">
        <f>YEAR(C68)&amp;"-"&amp;ROUNDUP(MONTH(C68)/3,0)</f>
        <v>2022-4</v>
      </c>
      <c r="D70" s="1186" t="str">
        <f>YEAR(D68)&amp;"-"&amp;ROUNDUP(MONTH(D68)/3,0)</f>
        <v>2022-3</v>
      </c>
      <c r="E70" s="1186" t="str">
        <f t="shared" ref="E70:O70" si="19">YEAR(E68)&amp;"-"&amp;ROUNDUP(MONTH(E68)/3,0)</f>
        <v>2022-2</v>
      </c>
      <c r="F70" s="1186" t="str">
        <f t="shared" si="19"/>
        <v>2022-1</v>
      </c>
      <c r="G70" s="1186" t="str">
        <f t="shared" si="19"/>
        <v>2021-4</v>
      </c>
      <c r="H70" s="1186" t="str">
        <f t="shared" si="19"/>
        <v>2021-3</v>
      </c>
      <c r="I70" s="1186" t="str">
        <f t="shared" si="19"/>
        <v>2021-2</v>
      </c>
      <c r="J70" s="1186" t="str">
        <f t="shared" si="19"/>
        <v>2021-1</v>
      </c>
      <c r="K70" s="1186" t="str">
        <f t="shared" si="19"/>
        <v>2020-4</v>
      </c>
      <c r="L70" s="1186" t="str">
        <f t="shared" si="19"/>
        <v>2020-3</v>
      </c>
      <c r="M70" s="1186" t="str">
        <f t="shared" si="19"/>
        <v>2020-2</v>
      </c>
      <c r="N70" s="1186" t="str">
        <f t="shared" si="19"/>
        <v>2020-1</v>
      </c>
      <c r="O70" s="1186" t="str">
        <f t="shared" si="19"/>
        <v>2019-4</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"北京市平均增长率"&amp;TEXT(SUMIF(基准地价修正2022!N25:N29,A71,基准地价修正2022!P25:P29),"0.00%")</f>
        <v>北京市平均增长率0.46%</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4.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4.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4.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8.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4.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4.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4.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4.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4.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4.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4.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4.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4.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4.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4.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4.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4.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4.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4.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4.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28.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4.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8.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4.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4.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4.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4.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4.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4.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4.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8.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4.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4.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4.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4.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4.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4.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4.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4.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4.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4.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4.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4.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4.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4.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4.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4.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4.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4.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4.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4.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4.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4.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4.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4.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59" customWidth="1"/>
    <col min="2" max="2" width="15.7265625" style="359" customWidth="1"/>
    <col min="3" max="3" width="14.36328125" style="359" customWidth="1"/>
    <col min="4" max="4" width="12.26953125" style="359" customWidth="1"/>
    <col min="5" max="5" width="14.36328125" style="359" customWidth="1"/>
    <col min="6" max="6" width="12.26953125" style="359" customWidth="1"/>
    <col min="7" max="7" width="14.453125" style="359" customWidth="1"/>
    <col min="8" max="8" width="12.26953125" style="359" customWidth="1"/>
    <col min="9" max="9" width="14.453125" style="359" customWidth="1"/>
    <col min="10" max="10" width="12.26953125" style="359" customWidth="1"/>
    <col min="11" max="11" width="12.26953125" style="448" customWidth="1"/>
    <col min="12" max="12" width="12.26953125" style="449" customWidth="1"/>
    <col min="13" max="15" width="12.26953125" style="359" customWidth="1"/>
    <col min="16" max="16" width="4.7265625" style="359" customWidth="1"/>
    <col min="17" max="17" width="19.453125" style="359" customWidth="1"/>
    <col min="18" max="22" width="6.08984375" style="359" customWidth="1"/>
    <col min="23" max="23" width="5.7265625" style="359" customWidth="1"/>
    <col min="24" max="24" width="4.26953125" style="359" customWidth="1"/>
    <col min="25" max="25" width="3.453125" style="359" customWidth="1"/>
    <col min="26" max="26" width="19.7265625" style="359" customWidth="1"/>
    <col min="27" max="28" width="9.36328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44872</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98">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2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84">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42">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4.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4.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4.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8">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4.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4.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2022-11-1</v>
      </c>
      <c r="D63" s="696">
        <f>EDATE(C63,-3)</f>
        <v>44774</v>
      </c>
      <c r="E63" s="696">
        <f>EDATE(D63,-3)</f>
        <v>44682</v>
      </c>
      <c r="F63" s="696">
        <f t="shared" ref="F63:O63" si="18">EDATE(E63,-3)</f>
        <v>44593</v>
      </c>
      <c r="G63" s="696">
        <f t="shared" si="18"/>
        <v>44501</v>
      </c>
      <c r="H63" s="696">
        <f t="shared" si="18"/>
        <v>44409</v>
      </c>
      <c r="I63" s="696">
        <f t="shared" si="18"/>
        <v>44317</v>
      </c>
      <c r="J63" s="696">
        <f t="shared" si="18"/>
        <v>44228</v>
      </c>
      <c r="K63" s="696">
        <f t="shared" si="18"/>
        <v>44136</v>
      </c>
      <c r="L63" s="696">
        <f t="shared" si="18"/>
        <v>44044</v>
      </c>
      <c r="M63" s="696">
        <f t="shared" si="18"/>
        <v>43952</v>
      </c>
      <c r="N63" s="696">
        <f t="shared" si="18"/>
        <v>43862</v>
      </c>
      <c r="O63" s="696">
        <f t="shared" si="18"/>
        <v>43770</v>
      </c>
      <c r="P63" s="2552"/>
      <c r="Q63" s="2552"/>
      <c r="R63" s="2552"/>
      <c r="S63" s="2552"/>
      <c r="T63" s="2552"/>
      <c r="U63" s="2552"/>
      <c r="V63" s="2552"/>
      <c r="W63" s="2552"/>
      <c r="X63" s="2552"/>
      <c r="Y63" s="2552"/>
      <c r="Z63" s="2552"/>
      <c r="AA63" s="2552"/>
      <c r="AB63" s="2552"/>
      <c r="AC63" s="2552"/>
      <c r="AD63" s="2552"/>
      <c r="AE63" s="2552"/>
    </row>
    <row r="64" spans="1:31" ht="21.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c r="A65" s="1983" t="s">
        <v>2167</v>
      </c>
      <c r="B65" s="1116"/>
      <c r="C65" s="1186" t="str">
        <f>YEAR(C63)&amp;"-"&amp;ROUNDUP(MONTH(C63)/3,0)</f>
        <v>2022-4</v>
      </c>
      <c r="D65" s="1186" t="str">
        <f t="shared" ref="D65:O65" si="19">YEAR(D63)&amp;"-"&amp;ROUNDUP(MONTH(D63)/3,0)</f>
        <v>2022-3</v>
      </c>
      <c r="E65" s="1186" t="str">
        <f t="shared" si="19"/>
        <v>2022-2</v>
      </c>
      <c r="F65" s="1186" t="str">
        <f t="shared" si="19"/>
        <v>2022-1</v>
      </c>
      <c r="G65" s="1186" t="str">
        <f t="shared" si="19"/>
        <v>2021-4</v>
      </c>
      <c r="H65" s="1186" t="str">
        <f t="shared" si="19"/>
        <v>2021-3</v>
      </c>
      <c r="I65" s="1186" t="str">
        <f t="shared" si="19"/>
        <v>2021-2</v>
      </c>
      <c r="J65" s="1186" t="str">
        <f t="shared" si="19"/>
        <v>2021-1</v>
      </c>
      <c r="K65" s="1186" t="str">
        <f t="shared" si="19"/>
        <v>2020-4</v>
      </c>
      <c r="L65" s="1186" t="str">
        <f t="shared" si="19"/>
        <v>2020-3</v>
      </c>
      <c r="M65" s="1186" t="str">
        <f t="shared" si="19"/>
        <v>2020-2</v>
      </c>
      <c r="N65" s="1186" t="str">
        <f t="shared" si="19"/>
        <v>2020-1</v>
      </c>
      <c r="O65" s="1186" t="str">
        <f t="shared" si="19"/>
        <v>2019-4</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"北京市平均增长率"&amp;TEXT(基准地价修正2022!P28,"0.00%")</f>
        <v>北京市平均增长率0.30%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4.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4.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4.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8.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4.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4.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4.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4.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4.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4.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4.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4.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4.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4.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4.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4.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28.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4.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8.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4.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4.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4.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4.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4.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4.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4.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8.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4.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4.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4.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4.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4.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4.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4.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4.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4.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4.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4.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4.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4.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4.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4.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4.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4.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4.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4.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4.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4.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4.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zoomScale="90" zoomScaleNormal="80" zoomScaleSheetLayoutView="90" workbookViewId="0">
      <selection activeCell="H14" sqref="H14"/>
    </sheetView>
  </sheetViews>
  <sheetFormatPr defaultColWidth="12" defaultRowHeight="12.5"/>
  <cols>
    <col min="1" max="1" width="9.7265625" style="2012" customWidth="1"/>
    <col min="2" max="2" width="23.90625" style="2869" customWidth="1"/>
    <col min="3" max="4" width="12" style="1989"/>
    <col min="5" max="5" width="14.6328125" style="1989" customWidth="1"/>
    <col min="6" max="6" width="12.7265625" style="1989" customWidth="1"/>
    <col min="7" max="8" width="12" style="1989"/>
    <col min="9" max="9" width="12.26953125" style="1989" bestFit="1" customWidth="1"/>
    <col min="10" max="10" width="12" style="1989"/>
    <col min="11" max="11" width="8.08984375" style="1126" customWidth="1"/>
    <col min="12" max="12" width="16.90625" style="1989" customWidth="1"/>
    <col min="13" max="13" width="8.453125" style="1989" customWidth="1"/>
    <col min="14" max="14" width="9.7265625" style="1989" customWidth="1"/>
    <col min="15" max="25" width="12" style="1989"/>
    <col min="26" max="26" width="9.36328125" style="2012" customWidth="1"/>
    <col min="27" max="32" width="9.36328125" style="1127" customWidth="1"/>
    <col min="33" max="36" width="9.36328125" style="2012" customWidth="1"/>
    <col min="37" max="38" width="9.36328125" style="1989" customWidth="1"/>
    <col min="39" max="16384" width="12" style="1989"/>
  </cols>
  <sheetData>
    <row r="1" spans="1:36" ht="30">
      <c r="A1" s="198" t="s">
        <v>2189</v>
      </c>
      <c r="B1" s="199"/>
      <c r="C1" s="203" t="s">
        <v>2190</v>
      </c>
      <c r="D1" s="344">
        <f>SUM(D33:D34,D37:D42)</f>
        <v>23335</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5">
      <c r="A2" s="203" t="s">
        <v>2197</v>
      </c>
      <c r="B2" s="206">
        <f>C30</f>
        <v>1932</v>
      </c>
      <c r="C2" s="2913" t="s">
        <v>2198</v>
      </c>
      <c r="D2" s="2914" t="s">
        <v>2199</v>
      </c>
      <c r="E2" s="1990" t="s">
        <v>6</v>
      </c>
      <c r="F2" s="2914" t="s">
        <v>2200</v>
      </c>
      <c r="G2" s="2915" t="str">
        <f>IF(E2="商业",项目基本情况!B37,IF(E2="办公",项目基本情况!C37,IF(E2="住宅",项目基本情况!D37,IF(E2="工业",项目基本情况!E37,项目基本情况!F37))))</f>
        <v>九级</v>
      </c>
      <c r="H2" s="2914" t="s">
        <v>2201</v>
      </c>
      <c r="I2" s="2915" t="str">
        <f>IF(E2="商业",项目基本情况!B38,IF(E2="办公",项目基本情况!C38,IF(E2="住宅",项目基本情况!D38,IF(E2="工业",项目基本情况!E38,项目基本情况!F38))))</f>
        <v>Ⅸ-通1</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1.5418000000000001</v>
      </c>
      <c r="T2" s="3146">
        <f t="shared" ref="T2:T16" si="0">ROUND($C$5*$C$22*$C$23*$C$24*S2*$C$28,0)</f>
        <v>1277</v>
      </c>
      <c r="U2" s="1216"/>
      <c r="V2" s="3146">
        <f>ROUND(T2*U2/10000,0)</f>
        <v>0</v>
      </c>
      <c r="W2" s="1217"/>
      <c r="X2" s="1217"/>
      <c r="Y2" s="1217"/>
      <c r="Z2" s="1217"/>
      <c r="AA2" s="1217"/>
      <c r="AB2" s="1217"/>
      <c r="AC2" s="1218"/>
      <c r="AD2" s="2614"/>
      <c r="AE2" s="2614"/>
      <c r="AF2" s="2614"/>
      <c r="AG2" s="2614"/>
      <c r="AH2" s="2614"/>
      <c r="AI2" s="2614"/>
      <c r="AJ2" s="2615"/>
    </row>
    <row r="3" spans="1:36" ht="15.5">
      <c r="A3" s="205" t="s">
        <v>2203</v>
      </c>
      <c r="B3" s="206">
        <f>ROUND(B2*10000/D1,0)</f>
        <v>828</v>
      </c>
      <c r="C3" s="2913" t="s">
        <v>2204</v>
      </c>
      <c r="D3" s="2914" t="s">
        <v>2205</v>
      </c>
      <c r="E3" s="1991" t="s">
        <v>2896</v>
      </c>
      <c r="F3" s="1992" t="s">
        <v>3113</v>
      </c>
      <c r="G3" s="2878">
        <v>1</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1.1883999999999999</v>
      </c>
      <c r="T3" s="3146">
        <f t="shared" si="0"/>
        <v>984</v>
      </c>
      <c r="U3" s="1216"/>
      <c r="V3" s="3146">
        <f t="shared" ref="V3:V16" si="1">ROUND(T3*U3/10000,0)</f>
        <v>0</v>
      </c>
      <c r="W3" s="1217"/>
      <c r="X3" s="1217"/>
      <c r="Y3" s="1217"/>
      <c r="Z3" s="1217"/>
      <c r="AA3" s="1217"/>
      <c r="AB3" s="1217"/>
      <c r="AC3" s="1218"/>
      <c r="AD3" s="2614"/>
      <c r="AE3" s="2614"/>
      <c r="AF3" s="2614"/>
      <c r="AG3" s="2614"/>
      <c r="AH3" s="2614"/>
      <c r="AI3" s="2614"/>
      <c r="AJ3" s="2615"/>
    </row>
    <row r="4" spans="1:36" ht="15.5">
      <c r="A4" s="3664"/>
      <c r="B4" s="3665"/>
      <c r="C4" s="3665"/>
      <c r="D4" s="3666"/>
      <c r="E4" s="3666"/>
      <c r="F4" s="3666"/>
      <c r="G4" s="3666"/>
      <c r="H4" s="3666"/>
      <c r="I4" s="3666"/>
      <c r="J4" s="3667"/>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0.96940000000000004</v>
      </c>
      <c r="T4" s="3146">
        <f t="shared" si="0"/>
        <v>803</v>
      </c>
      <c r="U4" s="1216"/>
      <c r="V4" s="3146">
        <f t="shared" si="1"/>
        <v>0</v>
      </c>
      <c r="W4" s="1217"/>
      <c r="X4" s="1217"/>
      <c r="Y4" s="1217"/>
      <c r="Z4" s="1217"/>
      <c r="AA4" s="1217"/>
      <c r="AB4" s="1217"/>
      <c r="AC4" s="1218"/>
      <c r="AD4" s="2614"/>
      <c r="AE4" s="2614"/>
      <c r="AF4" s="2614"/>
      <c r="AG4" s="2614"/>
      <c r="AH4" s="2614"/>
      <c r="AI4" s="2614"/>
      <c r="AJ4" s="2615"/>
    </row>
    <row r="5" spans="1:36" s="2613" customFormat="1" ht="16" thickBot="1">
      <c r="A5" s="2923" t="s">
        <v>595</v>
      </c>
      <c r="B5" s="2924" t="s">
        <v>2210</v>
      </c>
      <c r="C5" s="3154">
        <f>ROUND(IF(E2="商业",C6*C7*C17+C20,(IF(E2="住宅",C6*C13*C17+C20,IF(E2="办公",C6*C12*C17+C20,C6+C20)))),0)</f>
        <v>930</v>
      </c>
      <c r="D5" s="3209">
        <f>ROUND(C6+C20,0)</f>
        <v>930</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0.82299999999999995</v>
      </c>
      <c r="T5" s="3146">
        <f t="shared" si="0"/>
        <v>682</v>
      </c>
      <c r="U5" s="1216"/>
      <c r="V5" s="3146">
        <f t="shared" si="1"/>
        <v>0</v>
      </c>
      <c r="W5" s="1217"/>
      <c r="X5" s="1217"/>
      <c r="Y5" s="1217"/>
      <c r="Z5" s="1217"/>
      <c r="AA5" s="1217"/>
      <c r="AB5" s="1217"/>
      <c r="AC5" s="1994"/>
      <c r="AD5" s="2843"/>
      <c r="AE5" s="2843"/>
      <c r="AF5" s="2843"/>
      <c r="AG5" s="2843"/>
      <c r="AH5" s="2843"/>
      <c r="AI5" s="2843"/>
      <c r="AJ5" s="2844"/>
    </row>
    <row r="6" spans="1:36" ht="16" thickBot="1">
      <c r="A6" s="2925" t="s">
        <v>2212</v>
      </c>
      <c r="B6" s="2926" t="s">
        <v>2213</v>
      </c>
      <c r="C6" s="3155">
        <f>SUMIF(L1:L15,G2,M1:M15)</f>
        <v>930</v>
      </c>
      <c r="D6" s="2969" t="s">
        <v>2214</v>
      </c>
      <c r="E6" s="2970"/>
      <c r="F6" s="2970"/>
      <c r="G6" s="2971"/>
      <c r="H6" s="2971"/>
      <c r="I6" s="2971"/>
      <c r="J6" s="2972"/>
      <c r="K6" s="1376"/>
      <c r="L6" s="2919" t="s">
        <v>2215</v>
      </c>
      <c r="M6" s="2920">
        <f>SUMPRODUCT((区片价!B127:B189=I2)*(区片价!C3:G3=E2)*(区片价!C127:G189))</f>
        <v>0</v>
      </c>
      <c r="N6" s="2918">
        <f>SUMPRODUCT((因素修正幅度!B127:B189=I2)*(因素修正幅度!C3:G3=E2)*(因素修正幅度!C127:G189))</f>
        <v>0</v>
      </c>
      <c r="O6" s="1126"/>
      <c r="P6" s="1126"/>
      <c r="Q6" s="1126"/>
      <c r="R6" s="3146">
        <v>5</v>
      </c>
      <c r="S6" s="3146">
        <f>ROUND(IF(R6&lt;6,SUMPRODUCT((B107:B111=R6)*(C106:N106=G2)*(C107:N111)),SUMIF(C106:N106,G2,C113:N113)),4)</f>
        <v>0.74980000000000002</v>
      </c>
      <c r="T6" s="3146">
        <f t="shared" si="0"/>
        <v>621</v>
      </c>
      <c r="U6" s="1216"/>
      <c r="V6" s="3146">
        <f t="shared" si="1"/>
        <v>0</v>
      </c>
      <c r="W6" s="1217"/>
      <c r="X6" s="1217"/>
      <c r="Y6" s="1217"/>
      <c r="Z6" s="1217"/>
      <c r="AA6" s="1217"/>
      <c r="AB6" s="1217"/>
      <c r="AC6" s="1994"/>
      <c r="AD6" s="2843"/>
      <c r="AE6" s="2843"/>
      <c r="AF6" s="2843"/>
      <c r="AG6" s="2843"/>
      <c r="AH6" s="2843"/>
      <c r="AI6" s="2843"/>
      <c r="AJ6" s="2844"/>
    </row>
    <row r="7" spans="1:36" ht="26">
      <c r="A7" s="3668" t="str">
        <f>IF(E2="商业",IF(C8="不临58条商业街","",2),"")</f>
        <v/>
      </c>
      <c r="B7" s="2905" t="s">
        <v>2216</v>
      </c>
      <c r="C7" s="2973" t="e">
        <f>IF(C8="不临65条商业街",1,ROUND(1+(1.6*E8+1.2*E9+0.8*E10+0.4*E11)*C9,4))</f>
        <v>#DIV/0!</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九级</v>
      </c>
      <c r="Y7" s="3148" t="s">
        <v>2220</v>
      </c>
      <c r="Z7" s="3149">
        <f>G3</f>
        <v>1</v>
      </c>
      <c r="AA7" s="1217"/>
      <c r="AB7" s="1217"/>
      <c r="AC7" s="1218"/>
      <c r="AD7" s="2614"/>
      <c r="AE7" s="2614"/>
      <c r="AF7" s="2614"/>
      <c r="AG7" s="2614"/>
      <c r="AH7" s="2614"/>
      <c r="AI7" s="2614"/>
      <c r="AJ7" s="2615"/>
    </row>
    <row r="8" spans="1:36" ht="15.5">
      <c r="A8" s="3669"/>
      <c r="B8" s="174" t="s">
        <v>2221</v>
      </c>
      <c r="C8" s="1996"/>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1" t="s">
        <v>2224</v>
      </c>
      <c r="X8" s="3662"/>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5">
      <c r="A9" s="3669"/>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930</v>
      </c>
      <c r="N9" s="2918">
        <f>SUMPRODUCT((因素修正幅度!B277:B326=I2)*(因素修正幅度!C3:G3=E2)*(因素修正幅度!C277:G326))</f>
        <v>0.11</v>
      </c>
      <c r="O9" s="1126"/>
      <c r="P9" s="1126"/>
      <c r="Q9" s="1126"/>
      <c r="R9" s="3146">
        <v>8</v>
      </c>
      <c r="S9" s="1216"/>
      <c r="T9" s="3146">
        <f t="shared" si="0"/>
        <v>0</v>
      </c>
      <c r="U9" s="1216"/>
      <c r="V9" s="3146">
        <f t="shared" si="1"/>
        <v>0</v>
      </c>
      <c r="W9" s="3663"/>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5">
      <c r="A10" s="3669"/>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63"/>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6" thickBot="1">
      <c r="A11" s="3669"/>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6.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26">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5">
      <c r="A15" s="2931"/>
      <c r="B15" s="2907"/>
      <c r="C15" s="2000" t="s">
        <v>3114</v>
      </c>
      <c r="D15" s="2001" t="s">
        <v>3114</v>
      </c>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6"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6">
      <c r="A17" s="2933" t="s">
        <v>2741</v>
      </c>
      <c r="B17" s="2934" t="s">
        <v>2852</v>
      </c>
      <c r="C17" s="3215"/>
      <c r="D17" s="2999" t="s">
        <v>3074</v>
      </c>
      <c r="E17" s="3000"/>
      <c r="F17" s="3000"/>
      <c r="G17" s="2900" t="s">
        <v>2850</v>
      </c>
      <c r="H17" s="3218"/>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4.5" thickBot="1">
      <c r="A19" s="2937"/>
      <c r="B19" s="2938"/>
      <c r="C19" s="3211"/>
      <c r="D19" s="2902"/>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
      <c r="A20" s="3670" t="s">
        <v>2849</v>
      </c>
      <c r="B20" s="171" t="s">
        <v>2259</v>
      </c>
      <c r="C20" s="3003">
        <f>ROUND(IF(F21="与级别开发程度一致",0,(G21-E21)/C21),0)</f>
        <v>0</v>
      </c>
      <c r="D20" s="3672" t="s">
        <v>2263</v>
      </c>
      <c r="E20" s="3673"/>
      <c r="F20" s="3672" t="s">
        <v>2260</v>
      </c>
      <c r="G20" s="3673"/>
      <c r="H20" s="2898" t="s">
        <v>3115</v>
      </c>
      <c r="I20" s="2898" t="s">
        <v>3116</v>
      </c>
      <c r="J20" s="2899" t="s">
        <v>3124</v>
      </c>
      <c r="K20" s="2003" t="s">
        <v>3117</v>
      </c>
      <c r="L20" s="2003" t="s">
        <v>3118</v>
      </c>
      <c r="M20" s="2003"/>
      <c r="N20" s="2003" t="s">
        <v>3119</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5.5" thickBot="1">
      <c r="A21" s="3671"/>
      <c r="B21" s="2939" t="s">
        <v>2262</v>
      </c>
      <c r="C21" s="3004">
        <f>SUMPRODUCT((修正!A2:A7=E2)*(修正!B1:M1=G2)*(修正!B2:M7))</f>
        <v>1</v>
      </c>
      <c r="D21" s="3009" t="str">
        <f>IF(OR(G2="八级",G2="九级",G2="十级",G2="十一级",G2="十二级"),"五通一平","七通一平")</f>
        <v>五通一平</v>
      </c>
      <c r="E21" s="3010">
        <f>SUMPRODUCT((修正!B1:M1=G2)*(修正!B17:M17))</f>
        <v>185</v>
      </c>
      <c r="F21" s="2022" t="s">
        <v>3125</v>
      </c>
      <c r="G21" s="3021">
        <f>SUM(H21:O21)</f>
        <v>185</v>
      </c>
      <c r="H21" s="3004">
        <f>SUMPRODUCT((七通一平=H20)*(修正!B1:M1=G2)*(修正!B8:M16))</f>
        <v>60</v>
      </c>
      <c r="I21" s="3004">
        <f>SUMPRODUCT((七通一平=I20)*(修正!B1:M1=G2)*(修正!B8:M16))</f>
        <v>50</v>
      </c>
      <c r="J21" s="3022">
        <f>SUMPRODUCT((七通一平=J20)*(修正!B1:M1=G2)*(修正!B8:M16))</f>
        <v>10</v>
      </c>
      <c r="K21" s="3004">
        <f>SUMPRODUCT((七通一平=K20)*(修正!B1:M1=G2)*(修正!B8:M16))</f>
        <v>20</v>
      </c>
      <c r="L21" s="3004">
        <f>SUMPRODUCT((七通一平=L20)*(修正!B1:M1=G2)*(修正!B8:M16))</f>
        <v>35</v>
      </c>
      <c r="M21" s="3004">
        <f>SUMPRODUCT((七通一平=M20)*(修正!B1:M1=G2)*(修正!B8:M16))</f>
        <v>0</v>
      </c>
      <c r="N21" s="3004">
        <f>SUMPRODUCT((七通一平=N20)*(修正!B1:M1=G2)*(修正!B8:M16))</f>
        <v>10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4.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8.5"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44872</v>
      </c>
      <c r="H23" s="2005" t="s">
        <v>3108</v>
      </c>
      <c r="I23" s="3029" t="str">
        <f>IF(H23="季度增幅（自定义）",SUMIF(N25:N28,E2,O25:O28),"")</f>
        <v/>
      </c>
      <c r="J23" s="3030"/>
      <c r="K23" s="1131"/>
      <c r="L23" s="3055" t="s">
        <v>2269</v>
      </c>
      <c r="M23" s="3056">
        <f>ROUND(SUMIF(地价!B2:G2,E2,地价!B13:G13),0)</f>
        <v>329</v>
      </c>
      <c r="N23" s="3059" t="s">
        <v>2270</v>
      </c>
      <c r="O23" s="3060">
        <f>ROUNDDOWN(DATEDIF(E23,G23,"M")/3,0)</f>
        <v>7</v>
      </c>
      <c r="P23" s="1128"/>
      <c r="Q23" s="1130"/>
      <c r="R23" s="1130"/>
      <c r="S23" s="1130"/>
      <c r="T23" s="1127"/>
      <c r="U23" s="1127"/>
      <c r="V23" s="1127"/>
      <c r="W23" s="1126"/>
      <c r="X23" s="1126"/>
      <c r="Y23" s="1126"/>
      <c r="Z23" s="1131"/>
      <c r="AA23" s="1131"/>
      <c r="AB23" s="1131"/>
      <c r="AC23" s="1131"/>
      <c r="AD23" s="1131"/>
      <c r="AK23" s="2012"/>
    </row>
    <row r="24" spans="1:37" s="2613" customFormat="1" ht="26.5" thickBot="1">
      <c r="A24" s="2944" t="s">
        <v>598</v>
      </c>
      <c r="B24" s="2945" t="s">
        <v>2271</v>
      </c>
      <c r="C24" s="3007">
        <f>ROUND(POWER(1+G24,J24-I24)*(POWER(1+G24,I24)-1)/(POWER(1+G24,J24)-1),4)</f>
        <v>0.83930000000000005</v>
      </c>
      <c r="D24" s="3015" t="s">
        <v>2272</v>
      </c>
      <c r="E24" s="3016">
        <v>3.6999999999999998E-2</v>
      </c>
      <c r="F24" s="3015" t="s">
        <v>2264</v>
      </c>
      <c r="G24" s="3026">
        <f>SUMIF(M30:Q30,E2,M33:Q33)</f>
        <v>0.05</v>
      </c>
      <c r="H24" s="3015" t="s">
        <v>2273</v>
      </c>
      <c r="I24" s="2879">
        <f>项目基本情况!I15</f>
        <v>29.78</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4">
      <c r="A25" s="2964" t="s">
        <v>599</v>
      </c>
      <c r="B25" s="2904" t="s">
        <v>3120</v>
      </c>
      <c r="C25" s="2909">
        <f>IF(B25="容积率修正",IF(G3&lt;10,D26,J26),C27)</f>
        <v>1</v>
      </c>
      <c r="D25" s="3017"/>
      <c r="E25" s="3017"/>
      <c r="F25" s="3017"/>
      <c r="G25" s="3017"/>
      <c r="H25" s="3017"/>
      <c r="I25" s="3017"/>
      <c r="J25" s="3032"/>
      <c r="K25" s="1131"/>
      <c r="L25" s="2613"/>
      <c r="M25" s="2613"/>
      <c r="N25" s="3063" t="s">
        <v>2278</v>
      </c>
      <c r="O25" s="1179"/>
      <c r="P25" s="3067">
        <f>SUMPRODUCT((地价!A3:A13=YEAR(G23)&amp;"-"&amp;ROUNDUP(MONTH(G23)/3,0))*(地价!AF2:AK2=N25)*(地价!AF3:AK13))</f>
        <v>1.9E-3</v>
      </c>
      <c r="Q25" s="2613"/>
      <c r="R25" s="1130"/>
      <c r="S25" s="1130"/>
      <c r="T25" s="1127"/>
      <c r="U25" s="1127"/>
      <c r="V25" s="1127"/>
      <c r="W25" s="1126"/>
      <c r="X25" s="1126"/>
      <c r="Y25" s="1126"/>
      <c r="Z25" s="1131"/>
      <c r="AA25" s="1131"/>
      <c r="AB25" s="1131"/>
      <c r="AC25" s="1131"/>
      <c r="AD25" s="1131"/>
    </row>
    <row r="26" spans="1:37" ht="14.5">
      <c r="A26" s="1949" t="s">
        <v>2279</v>
      </c>
      <c r="B26" s="2946" t="s">
        <v>2280</v>
      </c>
      <c r="C26" s="2908" t="s">
        <v>2929</v>
      </c>
      <c r="D26" s="2908">
        <f>IF(E26=G26,F26,IF(G3&lt;=10,ROUND(F26+(H26-F26)*(G3-E26)/(G26-E26),4),"——"))</f>
        <v>1</v>
      </c>
      <c r="E26" s="3018">
        <f>ROUNDDOWN(G3,1)</f>
        <v>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1</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1.9E-3</v>
      </c>
      <c r="Q26" s="2613"/>
      <c r="R26" s="1130"/>
      <c r="S26" s="1130"/>
      <c r="T26" s="1127"/>
      <c r="U26" s="1127"/>
      <c r="V26" s="1127"/>
      <c r="W26" s="1126"/>
      <c r="X26" s="1126"/>
      <c r="Y26" s="1126"/>
      <c r="Z26" s="1131"/>
      <c r="AA26" s="1131"/>
      <c r="AB26" s="1131"/>
      <c r="AC26" s="1131"/>
      <c r="AD26" s="1131"/>
    </row>
    <row r="27" spans="1:37" ht="15" thickBot="1">
      <c r="A27" s="1949" t="s">
        <v>2282</v>
      </c>
      <c r="B27" s="2947" t="s">
        <v>2283</v>
      </c>
      <c r="C27" s="3008" t="e">
        <f>ROUND(IF(G3&gt;1,IF(I3&lt;7,SUMPRODUCT((B107:B111=I3)*(C106:N106=G2)*(C107:N111)),SUMIF(C106:N106,G2,C113:N113)),IF(I3&lt;7,SUMPRODUCT((#REF!=I3)*(C106:N106=G2)*(#REF!)),SUMIF(C106:N106,G2,#REF!))),4)</f>
        <v>#REF!</v>
      </c>
      <c r="D27" s="2996"/>
      <c r="E27" s="2996"/>
      <c r="F27" s="3025"/>
      <c r="G27" s="3027"/>
      <c r="H27" s="3028"/>
      <c r="I27" s="3036"/>
      <c r="J27" s="3034"/>
      <c r="N27" s="3063" t="s">
        <v>2284</v>
      </c>
      <c r="O27" s="1179"/>
      <c r="P27" s="3067">
        <f>SUMPRODUCT((地价!A3:A13=YEAR(G23)&amp;"-"&amp;ROUNDUP(MONTH(G23)/3,0))*(地价!AF2:AK2=N27)*(地价!AF3:AK13))</f>
        <v>4.5999999999999999E-3</v>
      </c>
      <c r="R27" s="1130"/>
      <c r="S27" s="1130"/>
      <c r="T27" s="1127"/>
      <c r="U27" s="1127"/>
      <c r="V27" s="1127"/>
      <c r="W27" s="1126"/>
      <c r="X27" s="1126"/>
      <c r="Y27" s="1126"/>
      <c r="Z27" s="1131"/>
      <c r="AA27" s="1131"/>
      <c r="AB27" s="1131"/>
      <c r="AC27" s="1131"/>
      <c r="AD27" s="1131"/>
    </row>
    <row r="28" spans="1:37" ht="14.5" thickBot="1">
      <c r="A28" s="2944" t="s">
        <v>600</v>
      </c>
      <c r="B28" s="2943" t="s">
        <v>2285</v>
      </c>
      <c r="C28" s="3006">
        <f>SUMIF(A48:A102,E2,B48:B102)</f>
        <v>1.0396000000000001</v>
      </c>
      <c r="D28" s="3019"/>
      <c r="E28" s="3020"/>
      <c r="F28" s="3020"/>
      <c r="G28" s="3020"/>
      <c r="H28" s="3020"/>
      <c r="I28" s="3020"/>
      <c r="J28" s="3035"/>
      <c r="K28" s="1131"/>
      <c r="L28" s="2613"/>
      <c r="M28" s="2613"/>
      <c r="N28" s="3064" t="s">
        <v>2286</v>
      </c>
      <c r="O28" s="1180"/>
      <c r="P28" s="3068">
        <f>SUMPRODUCT((地价!A3:A13=YEAR(G23)&amp;"-"&amp;ROUNDUP(MONTH(G23)/3,0))*(地价!AF2:AK2=N28)*(地价!AF3:AK13))</f>
        <v>3.0000000000000001E-3</v>
      </c>
      <c r="Q28" s="2613"/>
      <c r="R28" s="1130"/>
      <c r="S28" s="1130"/>
      <c r="T28" s="1127"/>
      <c r="U28" s="1127"/>
      <c r="V28" s="1127"/>
      <c r="W28" s="1126"/>
      <c r="X28" s="1126"/>
      <c r="Y28" s="1126"/>
      <c r="Z28" s="1131"/>
      <c r="AA28" s="1131"/>
      <c r="AB28" s="1131"/>
      <c r="AC28" s="1131"/>
      <c r="AD28" s="1131"/>
    </row>
    <row r="29" spans="1:37" ht="14.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4.1999999999999997E-3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
      <c r="A30" s="2949"/>
      <c r="B30" s="2946" t="s">
        <v>2288</v>
      </c>
      <c r="C30" s="3037">
        <f>IF(B25="容积率修正",E33+SUM(E37:E42),SUM(V2:V16)+SUM(E37:E42))</f>
        <v>1932</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4.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4.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
      <c r="A33" s="2953"/>
      <c r="B33" s="2954" t="s">
        <v>2294</v>
      </c>
      <c r="C33" s="3040">
        <f>ROUND(C5*C22*C23*C24*C25*C28,0)</f>
        <v>828</v>
      </c>
      <c r="D33" s="2006">
        <f>'[2]数据-汇总表'!$D$3</f>
        <v>23335</v>
      </c>
      <c r="E33" s="787">
        <f>ROUND(C33*D33/10000,0)</f>
        <v>1932</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26.5" thickBot="1">
      <c r="A34" s="2955"/>
      <c r="B34" s="2956" t="s">
        <v>2296</v>
      </c>
      <c r="C34" s="3009">
        <f>ROUND(IF(E2="工业",C33*M42,C33*M41),0)</f>
        <v>124</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ht="13">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6.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6.5" thickBot="1">
      <c r="A37" s="3677"/>
      <c r="B37" s="2960" t="s">
        <v>2301</v>
      </c>
      <c r="C37" s="3040">
        <f>ROUND(D5*C22*C23*C24*C28*F37,0)</f>
        <v>414</v>
      </c>
      <c r="D37" s="2006"/>
      <c r="E37" s="175">
        <f>ROUND(C37*D37/10000,0)</f>
        <v>0</v>
      </c>
      <c r="F37" s="175">
        <f>SUMIF(修正!A57:A68,G2,修正!B57:B68)</f>
        <v>0.5</v>
      </c>
      <c r="G37" s="175">
        <f>ROUND(IF(E2="工业",C37*$M$42,C37*$M$41),0)</f>
        <v>62</v>
      </c>
      <c r="H37" s="175">
        <f>D37</f>
        <v>0</v>
      </c>
      <c r="I37" s="175">
        <f>ROUND(G37*H37/10000,0)</f>
        <v>0</v>
      </c>
      <c r="J37" s="3679"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ht="13">
      <c r="A38" s="3678"/>
      <c r="B38" s="2961" t="s">
        <v>2302</v>
      </c>
      <c r="C38" s="3040">
        <f>ROUND(D5*C22*C23*C24*C28*F38,0)</f>
        <v>166</v>
      </c>
      <c r="D38" s="2006"/>
      <c r="E38" s="175">
        <f t="shared" ref="E38:E42" si="4">ROUND(C38*D38/10000,0)</f>
        <v>0</v>
      </c>
      <c r="F38" s="175">
        <f>SUMIF(修正!A57:A68,G2,修正!C57:C68)</f>
        <v>0.2</v>
      </c>
      <c r="G38" s="175">
        <f>ROUND(IF(E2="工业",C38*$M$42,C38*$M$41),0)</f>
        <v>25</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1" t="s">
        <v>2970</v>
      </c>
      <c r="C39" s="3040">
        <f>ROUND(D5*C22*C23*C24*C28*F39,0)</f>
        <v>166</v>
      </c>
      <c r="D39" s="2006"/>
      <c r="E39" s="175">
        <f t="shared" si="4"/>
        <v>0</v>
      </c>
      <c r="F39" s="175">
        <f>SUMIF(修正!A57:A68,G2,修正!D57:D68)</f>
        <v>0.2</v>
      </c>
      <c r="G39" s="175">
        <f>ROUND(IF(E2="工业",C39*$M$42,C39*$M$41),0)</f>
        <v>25</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ht="13">
      <c r="A40" s="2962"/>
      <c r="B40" s="2961" t="s">
        <v>2303</v>
      </c>
      <c r="C40" s="2848">
        <f>ROUND(C5*C22*C23*C24*C28*F40,0)</f>
        <v>166</v>
      </c>
      <c r="D40" s="2006"/>
      <c r="E40" s="175">
        <f t="shared" si="4"/>
        <v>0</v>
      </c>
      <c r="F40" s="3040">
        <f>SUMIF(修正!A57:A68,G2,修正!E57:E68)</f>
        <v>0.2</v>
      </c>
      <c r="G40" s="175">
        <f>ROUND(IF(E2="工业",C40*$M$42,C40*$M$41),0)</f>
        <v>25</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ht="13">
      <c r="A41" s="2962"/>
      <c r="B41" s="2961" t="s">
        <v>2305</v>
      </c>
      <c r="C41" s="2848">
        <f>ROUND(C5*C22*C23*C44*C28*F41,0)</f>
        <v>0</v>
      </c>
      <c r="D41" s="2006"/>
      <c r="E41" s="175">
        <f t="shared" si="4"/>
        <v>0</v>
      </c>
      <c r="F41" s="3040">
        <f>SUMIF(修正!A57:A68,G2,修正!F57:F68)</f>
        <v>0.2</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ht="13">
      <c r="A44" s="1127"/>
      <c r="B44" s="3002" t="s">
        <v>2405</v>
      </c>
      <c r="C44" s="344">
        <f>ROUND(POWER(1+E44,H44-G44)*(POWER(1+E44,G44)-1)/(POWER(1+E44,H44)-1),4)</f>
        <v>0</v>
      </c>
      <c r="D44" s="175" t="s">
        <v>2264</v>
      </c>
      <c r="E44" s="3054">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4.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4">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6">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7.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50">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9">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9">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6">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6">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6">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6">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4">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6">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7.5">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50">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9">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9">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6">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6">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6">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6">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5"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4">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6">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0">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t="str">
        <f t="shared" ref="G73:G81" si="18">H73</f>
        <v>——</v>
      </c>
      <c r="H73" s="3156" t="str">
        <f t="shared" ref="H73:H81" si="19">IFERROR(ROUNDDOWN($F$73*I73/2,4),"——")</f>
        <v>——</v>
      </c>
      <c r="I73" s="3107">
        <v>0.2</v>
      </c>
      <c r="J73" s="3108" t="e">
        <f t="shared" ref="J73:J81" si="20">K73+$G73</f>
        <v>#VALUE!</v>
      </c>
      <c r="K73" s="3108" t="e">
        <f t="shared" ref="K73:K81" si="21">$L73+$G73</f>
        <v>#VALUE!</v>
      </c>
      <c r="L73" s="3108">
        <v>0</v>
      </c>
      <c r="M73" s="3108" t="e">
        <f t="shared" ref="M73:N81" si="22">L73-$G73</f>
        <v>#VALUE!</v>
      </c>
      <c r="N73" s="3108" t="e">
        <f t="shared" si="22"/>
        <v>#VALUE!</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0">
      <c r="A74" s="3092" t="s">
        <v>2318</v>
      </c>
      <c r="B74" s="3096" t="str">
        <f>估价对象房地状况!C18</f>
        <v>估价对象周边道路状况、公共交通通达情况、停车便捷程度，综合评价交通便捷度较好</v>
      </c>
      <c r="C74" s="2001"/>
      <c r="D74" s="3101">
        <f t="shared" si="17"/>
        <v>0</v>
      </c>
      <c r="E74" s="3112"/>
      <c r="F74" s="1808"/>
      <c r="G74" s="1073" t="str">
        <f t="shared" si="18"/>
        <v>——</v>
      </c>
      <c r="H74" s="3156" t="str">
        <f t="shared" si="19"/>
        <v>——</v>
      </c>
      <c r="I74" s="3107">
        <v>0.26</v>
      </c>
      <c r="J74" s="3108" t="e">
        <f t="shared" si="20"/>
        <v>#VALUE!</v>
      </c>
      <c r="K74" s="3108" t="e">
        <f t="shared" si="21"/>
        <v>#VALUE!</v>
      </c>
      <c r="L74" s="3108">
        <v>0</v>
      </c>
      <c r="M74" s="3108" t="e">
        <f t="shared" si="22"/>
        <v>#VALUE!</v>
      </c>
      <c r="N74" s="3108" t="e">
        <f t="shared" si="22"/>
        <v>#VALUE!</v>
      </c>
      <c r="S74" s="1989"/>
      <c r="T74" s="1989"/>
      <c r="U74" s="1989"/>
      <c r="V74" s="1989"/>
      <c r="W74" s="1989"/>
      <c r="X74" s="1989"/>
      <c r="Y74" s="1989"/>
      <c r="AA74" s="1127"/>
      <c r="AB74" s="1127"/>
      <c r="AC74" s="1127"/>
      <c r="AD74" s="1127"/>
      <c r="AE74" s="1127"/>
      <c r="AF74" s="1127"/>
      <c r="AG74" s="1127"/>
      <c r="AH74" s="1127"/>
      <c r="AI74" s="1127"/>
      <c r="AJ74" s="1127"/>
      <c r="AK74" s="1127"/>
    </row>
    <row r="75" spans="1:37" ht="39">
      <c r="A75" s="3097" t="s">
        <v>2845</v>
      </c>
      <c r="B75" s="3096">
        <f>估价对象房地状况!C19</f>
        <v>0</v>
      </c>
      <c r="C75" s="2001"/>
      <c r="D75" s="3101">
        <f t="shared" si="17"/>
        <v>0</v>
      </c>
      <c r="E75" s="3112"/>
      <c r="F75" s="1808"/>
      <c r="G75" s="1073" t="str">
        <f t="shared" si="18"/>
        <v>——</v>
      </c>
      <c r="H75" s="3156" t="str">
        <f t="shared" si="19"/>
        <v>——</v>
      </c>
      <c r="I75" s="3107">
        <v>0.1</v>
      </c>
      <c r="J75" s="3108" t="e">
        <f t="shared" si="20"/>
        <v>#VALUE!</v>
      </c>
      <c r="K75" s="3108" t="e">
        <f t="shared" si="21"/>
        <v>#VALUE!</v>
      </c>
      <c r="L75" s="3108">
        <v>0</v>
      </c>
      <c r="M75" s="3108" t="e">
        <f t="shared" si="22"/>
        <v>#VALUE!</v>
      </c>
      <c r="N75" s="3108" t="e">
        <f t="shared" si="22"/>
        <v>#VALUE!</v>
      </c>
      <c r="O75" s="1126"/>
      <c r="P75" s="1126"/>
      <c r="Q75" s="1126"/>
      <c r="Z75" s="1989"/>
      <c r="AA75" s="2012"/>
      <c r="AG75" s="1127"/>
      <c r="AK75" s="2012"/>
    </row>
    <row r="76" spans="1:37" ht="14">
      <c r="A76" s="3092" t="s">
        <v>2331</v>
      </c>
      <c r="B76" s="3096">
        <f>估价对象房地状况!C24</f>
        <v>0</v>
      </c>
      <c r="C76" s="2001"/>
      <c r="D76" s="3101">
        <f t="shared" si="17"/>
        <v>0</v>
      </c>
      <c r="E76" s="3112"/>
      <c r="F76" s="1808"/>
      <c r="G76" s="1073" t="str">
        <f t="shared" si="18"/>
        <v>——</v>
      </c>
      <c r="H76" s="3156" t="str">
        <f t="shared" si="19"/>
        <v>——</v>
      </c>
      <c r="I76" s="3107">
        <v>0.05</v>
      </c>
      <c r="J76" s="3108" t="e">
        <f t="shared" si="20"/>
        <v>#VALUE!</v>
      </c>
      <c r="K76" s="3108" t="e">
        <f t="shared" si="21"/>
        <v>#VALUE!</v>
      </c>
      <c r="L76" s="3108">
        <v>0</v>
      </c>
      <c r="M76" s="3108" t="e">
        <f t="shared" si="22"/>
        <v>#VALUE!</v>
      </c>
      <c r="N76" s="3108" t="e">
        <f t="shared" si="22"/>
        <v>#VALUE!</v>
      </c>
      <c r="O76" s="1126"/>
      <c r="P76" s="1126"/>
      <c r="Q76" s="1126"/>
      <c r="Z76" s="1989"/>
      <c r="AA76" s="2012"/>
      <c r="AG76" s="1127"/>
      <c r="AK76" s="2012"/>
    </row>
    <row r="77" spans="1:37" ht="26">
      <c r="A77" s="3092" t="s">
        <v>2324</v>
      </c>
      <c r="B77" s="1324" t="str">
        <f>估价对象房地状况!C21</f>
        <v>估价对象所在区域公共配套设施齐备情况</v>
      </c>
      <c r="C77" s="2001"/>
      <c r="D77" s="3101">
        <f t="shared" si="17"/>
        <v>0</v>
      </c>
      <c r="E77" s="3112"/>
      <c r="F77" s="1808"/>
      <c r="G77" s="1073" t="str">
        <f t="shared" si="18"/>
        <v>——</v>
      </c>
      <c r="H77" s="3156" t="str">
        <f t="shared" si="19"/>
        <v>——</v>
      </c>
      <c r="I77" s="3107">
        <v>0.08</v>
      </c>
      <c r="J77" s="3108" t="e">
        <f t="shared" si="20"/>
        <v>#VALUE!</v>
      </c>
      <c r="K77" s="3108" t="e">
        <f t="shared" si="21"/>
        <v>#VALUE!</v>
      </c>
      <c r="L77" s="3108">
        <v>0</v>
      </c>
      <c r="M77" s="3108" t="e">
        <f t="shared" si="22"/>
        <v>#VALUE!</v>
      </c>
      <c r="N77" s="3108" t="e">
        <f t="shared" si="22"/>
        <v>#VALUE!</v>
      </c>
      <c r="O77" s="1126"/>
      <c r="P77" s="1126"/>
      <c r="Q77" s="1126"/>
      <c r="Z77" s="1989"/>
      <c r="AA77" s="2012"/>
      <c r="AG77" s="1127"/>
      <c r="AK77" s="2012"/>
    </row>
    <row r="78" spans="1:37" ht="26">
      <c r="A78" s="3092" t="s">
        <v>2325</v>
      </c>
      <c r="B78" s="1324" t="str">
        <f>估价对象房地状况!C22</f>
        <v>估价对象所在区域基础设施水平</v>
      </c>
      <c r="C78" s="2001"/>
      <c r="D78" s="3101">
        <f t="shared" si="17"/>
        <v>0</v>
      </c>
      <c r="E78" s="3112"/>
      <c r="F78" s="1808"/>
      <c r="G78" s="1073" t="str">
        <f t="shared" si="18"/>
        <v>——</v>
      </c>
      <c r="H78" s="3156" t="str">
        <f t="shared" si="19"/>
        <v>——</v>
      </c>
      <c r="I78" s="3107">
        <v>0.09</v>
      </c>
      <c r="J78" s="3108" t="e">
        <f t="shared" si="20"/>
        <v>#VALUE!</v>
      </c>
      <c r="K78" s="3108" t="e">
        <f t="shared" si="21"/>
        <v>#VALUE!</v>
      </c>
      <c r="L78" s="3108">
        <v>0</v>
      </c>
      <c r="M78" s="3108" t="e">
        <f t="shared" si="22"/>
        <v>#VALUE!</v>
      </c>
      <c r="N78" s="3108" t="e">
        <f t="shared" si="22"/>
        <v>#VALUE!</v>
      </c>
      <c r="O78" s="1126"/>
      <c r="P78" s="1126"/>
      <c r="Q78" s="1126"/>
      <c r="Z78" s="1989"/>
      <c r="AA78" s="2012"/>
      <c r="AG78" s="1127"/>
      <c r="AK78" s="2012"/>
    </row>
    <row r="79" spans="1:37" ht="26">
      <c r="A79" s="3092" t="s">
        <v>2322</v>
      </c>
      <c r="B79" s="2011" t="s">
        <v>2323</v>
      </c>
      <c r="C79" s="2001"/>
      <c r="D79" s="3101">
        <f t="shared" si="17"/>
        <v>0</v>
      </c>
      <c r="E79" s="3112"/>
      <c r="F79" s="1808"/>
      <c r="G79" s="1073" t="str">
        <f t="shared" si="18"/>
        <v>——</v>
      </c>
      <c r="H79" s="3156" t="str">
        <f t="shared" si="19"/>
        <v>——</v>
      </c>
      <c r="I79" s="3107">
        <v>0.05</v>
      </c>
      <c r="J79" s="3108" t="e">
        <f t="shared" si="20"/>
        <v>#VALUE!</v>
      </c>
      <c r="K79" s="3108" t="e">
        <f t="shared" si="21"/>
        <v>#VALUE!</v>
      </c>
      <c r="L79" s="3108">
        <v>0</v>
      </c>
      <c r="M79" s="3108" t="e">
        <f t="shared" si="22"/>
        <v>#VALUE!</v>
      </c>
      <c r="N79" s="3108" t="e">
        <f t="shared" si="22"/>
        <v>#VALUE!</v>
      </c>
      <c r="Z79" s="1989"/>
      <c r="AA79" s="2012"/>
      <c r="AG79" s="1127"/>
      <c r="AK79" s="2012"/>
    </row>
    <row r="80" spans="1:37" ht="26">
      <c r="A80" s="3092" t="s">
        <v>2326</v>
      </c>
      <c r="B80" s="3095" t="str">
        <f>估价对象房地状况!C20</f>
        <v>区域自然环境：；人文环境；综合评价环境状况一般</v>
      </c>
      <c r="C80" s="2001"/>
      <c r="D80" s="3101">
        <f t="shared" si="17"/>
        <v>0</v>
      </c>
      <c r="E80" s="3112"/>
      <c r="F80" s="1808"/>
      <c r="G80" s="1073" t="str">
        <f t="shared" si="18"/>
        <v>——</v>
      </c>
      <c r="H80" s="3156" t="str">
        <f t="shared" si="19"/>
        <v>——</v>
      </c>
      <c r="I80" s="3107">
        <v>0.12</v>
      </c>
      <c r="J80" s="3108" t="e">
        <f t="shared" si="20"/>
        <v>#VALUE!</v>
      </c>
      <c r="K80" s="3108" t="e">
        <f t="shared" si="21"/>
        <v>#VALUE!</v>
      </c>
      <c r="L80" s="3108">
        <v>0</v>
      </c>
      <c r="M80" s="3108" t="e">
        <f t="shared" si="22"/>
        <v>#VALUE!</v>
      </c>
      <c r="N80" s="3108" t="e">
        <f t="shared" si="22"/>
        <v>#VALUE!</v>
      </c>
      <c r="Z80" s="1989"/>
      <c r="AA80" s="2012"/>
      <c r="AG80" s="1127"/>
      <c r="AK80" s="2012"/>
    </row>
    <row r="81" spans="1:37" ht="26.5" thickBot="1">
      <c r="A81" s="3099" t="s">
        <v>2332</v>
      </c>
      <c r="B81" s="2013"/>
      <c r="C81" s="2001"/>
      <c r="D81" s="3101">
        <f t="shared" si="17"/>
        <v>0</v>
      </c>
      <c r="E81" s="3113"/>
      <c r="F81" s="1808"/>
      <c r="G81" s="1073" t="str">
        <f t="shared" si="18"/>
        <v>——</v>
      </c>
      <c r="H81" s="3156" t="str">
        <f t="shared" si="19"/>
        <v>——</v>
      </c>
      <c r="I81" s="3109">
        <v>0.05</v>
      </c>
      <c r="J81" s="3108" t="e">
        <f t="shared" si="20"/>
        <v>#VALUE!</v>
      </c>
      <c r="K81" s="3108" t="e">
        <f t="shared" si="21"/>
        <v>#VALUE!</v>
      </c>
      <c r="L81" s="3108">
        <v>0</v>
      </c>
      <c r="M81" s="3108" t="e">
        <f t="shared" si="22"/>
        <v>#VALUE!</v>
      </c>
      <c r="N81" s="3108" t="e">
        <f t="shared" si="22"/>
        <v>#VALUE!</v>
      </c>
      <c r="Z81" s="1989"/>
      <c r="AA81" s="2012"/>
      <c r="AG81" s="1127"/>
      <c r="AK81" s="2012"/>
    </row>
    <row r="82" spans="1:37" ht="14">
      <c r="A82" s="3087" t="s">
        <v>2333</v>
      </c>
      <c r="B82" s="3088">
        <f>1+E84</f>
        <v>1.0396000000000001</v>
      </c>
      <c r="C82" s="3090"/>
      <c r="D82" s="3090"/>
      <c r="E82" s="3091"/>
      <c r="F82" s="3111"/>
      <c r="G82" s="2863"/>
      <c r="H82" s="2863"/>
      <c r="I82" s="2863"/>
      <c r="J82" s="1815"/>
      <c r="K82" s="1815"/>
      <c r="L82" s="1815"/>
      <c r="M82" s="1815"/>
      <c r="N82" s="1815"/>
      <c r="Z82" s="1989"/>
      <c r="AA82" s="2012"/>
      <c r="AG82" s="1127"/>
      <c r="AK82" s="2012"/>
    </row>
    <row r="83" spans="1:37" ht="26">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37.5">
      <c r="A84" s="3092" t="s">
        <v>2334</v>
      </c>
      <c r="B84" s="3096" t="str">
        <f>估价对象房地状况!G15</f>
        <v>估价对象位于XX开发区，园区建设成熟度XX，产业集聚程度XX</v>
      </c>
      <c r="C84" s="2001" t="s">
        <v>3122</v>
      </c>
      <c r="D84" s="3101">
        <f t="shared" ref="D84:D91" si="23">SUMIF($J$83:$N$83,C84,J84:N84)</f>
        <v>1.43E-2</v>
      </c>
      <c r="E84" s="3102">
        <f>ROUND(SUM(D84:D91),4)</f>
        <v>3.9600000000000003E-2</v>
      </c>
      <c r="F84" s="1808">
        <f>IF(E2="工业",SUMIF(L1:L12,G2,N1:N12),"——")</f>
        <v>0.11</v>
      </c>
      <c r="G84" s="1073">
        <f>H84</f>
        <v>1.43E-2</v>
      </c>
      <c r="H84" s="3156">
        <f t="shared" ref="H84:H91" si="24">IFERROR(ROUNDDOWN($F$84*I84/2,4),"——")</f>
        <v>1.43E-2</v>
      </c>
      <c r="I84" s="3107">
        <v>0.26</v>
      </c>
      <c r="J84" s="3108">
        <f t="shared" ref="J84:J91" si="25">K84+$G84</f>
        <v>2.86E-2</v>
      </c>
      <c r="K84" s="3108">
        <f t="shared" ref="K84:K91" si="26">$L84+$G84</f>
        <v>1.43E-2</v>
      </c>
      <c r="L84" s="3108">
        <v>0</v>
      </c>
      <c r="M84" s="3108">
        <f t="shared" ref="M84:N91" si="27">L84-$G84</f>
        <v>-1.43E-2</v>
      </c>
      <c r="N84" s="3108">
        <f t="shared" si="27"/>
        <v>-2.86E-2</v>
      </c>
      <c r="Z84" s="1989"/>
      <c r="AA84" s="2012"/>
      <c r="AG84" s="1127"/>
      <c r="AK84" s="2012"/>
    </row>
    <row r="85" spans="1:37" ht="50">
      <c r="A85" s="3092" t="s">
        <v>2318</v>
      </c>
      <c r="B85" s="3096" t="str">
        <f>估价对象房地状况!G16</f>
        <v>估价对象周边道路状况、公共交通通达情况、停车便捷程度，综合评价交通便捷度较好</v>
      </c>
      <c r="C85" s="2001" t="s">
        <v>3122</v>
      </c>
      <c r="D85" s="3101">
        <f t="shared" si="23"/>
        <v>1.6500000000000001E-2</v>
      </c>
      <c r="E85" s="3112"/>
      <c r="F85" s="1808"/>
      <c r="G85" s="1073">
        <f t="shared" ref="G85:G91" si="28">H85</f>
        <v>1.6500000000000001E-2</v>
      </c>
      <c r="H85" s="3156">
        <f t="shared" si="24"/>
        <v>1.6500000000000001E-2</v>
      </c>
      <c r="I85" s="3107">
        <v>0.3</v>
      </c>
      <c r="J85" s="3108">
        <f t="shared" si="25"/>
        <v>3.3000000000000002E-2</v>
      </c>
      <c r="K85" s="3108">
        <f t="shared" si="26"/>
        <v>1.6500000000000001E-2</v>
      </c>
      <c r="L85" s="3108">
        <v>0</v>
      </c>
      <c r="M85" s="3108">
        <f t="shared" si="27"/>
        <v>-1.6500000000000001E-2</v>
      </c>
      <c r="N85" s="3108">
        <f t="shared" si="27"/>
        <v>-3.3000000000000002E-2</v>
      </c>
      <c r="Z85" s="1989"/>
      <c r="AA85" s="2012"/>
      <c r="AG85" s="1127"/>
      <c r="AK85" s="2012"/>
    </row>
    <row r="86" spans="1:37" ht="39">
      <c r="A86" s="3097" t="s">
        <v>2845</v>
      </c>
      <c r="B86" s="3096">
        <f>估价对象房地状况!G17</f>
        <v>0</v>
      </c>
      <c r="C86" s="2001" t="s">
        <v>3122</v>
      </c>
      <c r="D86" s="3101">
        <f t="shared" si="23"/>
        <v>5.4999999999999997E-3</v>
      </c>
      <c r="E86" s="3112"/>
      <c r="F86" s="1808"/>
      <c r="G86" s="1073">
        <f t="shared" si="28"/>
        <v>5.4999999999999997E-3</v>
      </c>
      <c r="H86" s="3156">
        <f t="shared" si="24"/>
        <v>5.4999999999999997E-3</v>
      </c>
      <c r="I86" s="3107">
        <v>0.1</v>
      </c>
      <c r="J86" s="3108">
        <f t="shared" si="25"/>
        <v>1.0999999999999999E-2</v>
      </c>
      <c r="K86" s="3108">
        <f t="shared" si="26"/>
        <v>5.4999999999999997E-3</v>
      </c>
      <c r="L86" s="3108">
        <v>0</v>
      </c>
      <c r="M86" s="3108">
        <f t="shared" si="27"/>
        <v>-5.4999999999999997E-3</v>
      </c>
      <c r="N86" s="3108">
        <f t="shared" si="27"/>
        <v>-1.0999999999999999E-2</v>
      </c>
      <c r="Z86" s="1989"/>
      <c r="AA86" s="2012"/>
      <c r="AG86" s="1127"/>
      <c r="AK86" s="2012"/>
    </row>
    <row r="87" spans="1:37" ht="14">
      <c r="A87" s="3092" t="s">
        <v>2331</v>
      </c>
      <c r="B87" s="3096">
        <f>估价对象房地状况!G22</f>
        <v>0</v>
      </c>
      <c r="C87" s="2001" t="s">
        <v>3121</v>
      </c>
      <c r="D87" s="3101">
        <f t="shared" si="23"/>
        <v>0</v>
      </c>
      <c r="E87" s="3112"/>
      <c r="F87" s="1808"/>
      <c r="G87" s="1073">
        <f t="shared" si="28"/>
        <v>2.7000000000000001E-3</v>
      </c>
      <c r="H87" s="3156">
        <f t="shared" si="24"/>
        <v>2.7000000000000001E-3</v>
      </c>
      <c r="I87" s="3107">
        <v>0.05</v>
      </c>
      <c r="J87" s="3108">
        <f t="shared" si="25"/>
        <v>5.4000000000000003E-3</v>
      </c>
      <c r="K87" s="3108">
        <f t="shared" si="26"/>
        <v>2.7000000000000001E-3</v>
      </c>
      <c r="L87" s="3108">
        <v>0</v>
      </c>
      <c r="M87" s="3108">
        <f t="shared" si="27"/>
        <v>-2.7000000000000001E-3</v>
      </c>
      <c r="N87" s="3108">
        <f t="shared" si="27"/>
        <v>-5.4000000000000003E-3</v>
      </c>
      <c r="Z87" s="1989"/>
      <c r="AA87" s="2012"/>
      <c r="AG87" s="1127"/>
      <c r="AK87" s="2012"/>
    </row>
    <row r="88" spans="1:37" ht="26">
      <c r="A88" s="3092" t="s">
        <v>2324</v>
      </c>
      <c r="B88" s="1324" t="str">
        <f>估价对象房地状况!G19</f>
        <v>估价对象所在区域公共配套设施齐备情况</v>
      </c>
      <c r="C88" s="2001" t="s">
        <v>3121</v>
      </c>
      <c r="D88" s="3101">
        <f t="shared" si="23"/>
        <v>0</v>
      </c>
      <c r="E88" s="3112"/>
      <c r="F88" s="1808"/>
      <c r="G88" s="1073">
        <f t="shared" si="28"/>
        <v>3.3E-3</v>
      </c>
      <c r="H88" s="3156">
        <f t="shared" si="24"/>
        <v>3.3E-3</v>
      </c>
      <c r="I88" s="3107">
        <v>0.06</v>
      </c>
      <c r="J88" s="3108">
        <f t="shared" si="25"/>
        <v>6.6E-3</v>
      </c>
      <c r="K88" s="3108">
        <f t="shared" si="26"/>
        <v>3.3E-3</v>
      </c>
      <c r="L88" s="3108">
        <v>0</v>
      </c>
      <c r="M88" s="3108">
        <f t="shared" si="27"/>
        <v>-3.3E-3</v>
      </c>
      <c r="N88" s="3108">
        <f t="shared" si="27"/>
        <v>-6.6E-3</v>
      </c>
    </row>
    <row r="89" spans="1:37" ht="26">
      <c r="A89" s="3092" t="s">
        <v>2325</v>
      </c>
      <c r="B89" s="1324" t="str">
        <f>估价对象房地状况!G20</f>
        <v>估价对象所在区域基础设施水平</v>
      </c>
      <c r="C89" s="2001" t="s">
        <v>3121</v>
      </c>
      <c r="D89" s="3101">
        <f t="shared" si="23"/>
        <v>0</v>
      </c>
      <c r="E89" s="3112"/>
      <c r="F89" s="1808"/>
      <c r="G89" s="1073">
        <f t="shared" si="28"/>
        <v>6.6E-3</v>
      </c>
      <c r="H89" s="3156">
        <f t="shared" si="24"/>
        <v>6.6E-3</v>
      </c>
      <c r="I89" s="3107">
        <v>0.12</v>
      </c>
      <c r="J89" s="3108">
        <f t="shared" si="25"/>
        <v>1.32E-2</v>
      </c>
      <c r="K89" s="3108">
        <f t="shared" si="26"/>
        <v>6.6E-3</v>
      </c>
      <c r="L89" s="3108">
        <v>0</v>
      </c>
      <c r="M89" s="3108">
        <f t="shared" si="27"/>
        <v>-6.6E-3</v>
      </c>
      <c r="N89" s="3108">
        <f t="shared" si="27"/>
        <v>-1.32E-2</v>
      </c>
    </row>
    <row r="90" spans="1:37" ht="26">
      <c r="A90" s="3092" t="s">
        <v>2322</v>
      </c>
      <c r="B90" s="2011" t="s">
        <v>2335</v>
      </c>
      <c r="C90" s="2001" t="s">
        <v>3122</v>
      </c>
      <c r="D90" s="3101">
        <f t="shared" si="23"/>
        <v>3.3E-3</v>
      </c>
      <c r="E90" s="3112"/>
      <c r="F90" s="1808"/>
      <c r="G90" s="1073">
        <f t="shared" si="28"/>
        <v>3.3E-3</v>
      </c>
      <c r="H90" s="3156">
        <f t="shared" si="24"/>
        <v>3.3E-3</v>
      </c>
      <c r="I90" s="3107">
        <v>0.06</v>
      </c>
      <c r="J90" s="3108">
        <f t="shared" si="25"/>
        <v>6.6E-3</v>
      </c>
      <c r="K90" s="3108">
        <f t="shared" si="26"/>
        <v>3.3E-3</v>
      </c>
      <c r="L90" s="3108">
        <v>0</v>
      </c>
      <c r="M90" s="3108">
        <f t="shared" si="27"/>
        <v>-3.3E-3</v>
      </c>
      <c r="N90" s="3108">
        <f t="shared" si="27"/>
        <v>-6.6E-3</v>
      </c>
    </row>
    <row r="91" spans="1:37" ht="38" thickBot="1">
      <c r="A91" s="3099" t="s">
        <v>2336</v>
      </c>
      <c r="B91" s="3114" t="str">
        <f>估价对象房地状况!G18</f>
        <v>该园区内是否有污染型企业，绿化情况，卫生条件，整体环境状况判断</v>
      </c>
      <c r="C91" s="2001" t="s">
        <v>3121</v>
      </c>
      <c r="D91" s="3101">
        <f t="shared" si="23"/>
        <v>0</v>
      </c>
      <c r="E91" s="3113"/>
      <c r="F91" s="1808"/>
      <c r="G91" s="1073">
        <f t="shared" si="28"/>
        <v>2.7000000000000001E-3</v>
      </c>
      <c r="H91" s="3156">
        <f t="shared" si="24"/>
        <v>2.7000000000000001E-3</v>
      </c>
      <c r="I91" s="3109">
        <v>0.05</v>
      </c>
      <c r="J91" s="3108">
        <f t="shared" si="25"/>
        <v>5.4000000000000003E-3</v>
      </c>
      <c r="K91" s="3108">
        <f t="shared" si="26"/>
        <v>2.7000000000000001E-3</v>
      </c>
      <c r="L91" s="3108">
        <v>0</v>
      </c>
      <c r="M91" s="3108">
        <f t="shared" si="27"/>
        <v>-2.7000000000000001E-3</v>
      </c>
      <c r="N91" s="3108">
        <f t="shared" si="27"/>
        <v>-5.4000000000000003E-3</v>
      </c>
      <c r="S91" s="1126"/>
      <c r="T91" s="1126"/>
      <c r="U91" s="1126"/>
      <c r="V91" s="1126"/>
      <c r="W91" s="1126"/>
      <c r="X91" s="1126"/>
      <c r="Y91" s="1126"/>
    </row>
    <row r="92" spans="1:37" ht="14">
      <c r="A92" s="3087" t="s">
        <v>2847</v>
      </c>
      <c r="B92" s="3088">
        <f>1+E94</f>
        <v>1</v>
      </c>
      <c r="C92" s="3116"/>
      <c r="D92" s="3116"/>
      <c r="E92" s="3116"/>
      <c r="F92" s="3116"/>
      <c r="S92" s="1126"/>
      <c r="T92" s="1126"/>
      <c r="U92" s="1126"/>
      <c r="V92" s="1126"/>
      <c r="W92" s="1126"/>
      <c r="X92" s="1126"/>
      <c r="Y92" s="1126"/>
    </row>
    <row r="93" spans="1:37" s="1126" customFormat="1" ht="26">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6">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9">IFERROR(ROUNDDOWN($F$62*I94/2,4),"——")</f>
        <v>——</v>
      </c>
      <c r="I94" s="3107">
        <v>0.25</v>
      </c>
      <c r="J94" s="3108">
        <f t="shared" ref="J94:J102" si="30">K94+$G94</f>
        <v>0</v>
      </c>
      <c r="K94" s="3108">
        <f t="shared" ref="K94:K102" si="31">$L94+$G94</f>
        <v>0</v>
      </c>
      <c r="L94" s="3108">
        <v>0</v>
      </c>
      <c r="M94" s="3108">
        <f t="shared" ref="M94:M102" si="32">L94-$G94</f>
        <v>0</v>
      </c>
      <c r="N94" s="3108">
        <f t="shared" ref="N94:N102" si="33">M94-$G94</f>
        <v>0</v>
      </c>
      <c r="AA94" s="1127"/>
      <c r="AB94" s="1127"/>
      <c r="AC94" s="1127"/>
      <c r="AD94" s="1127"/>
      <c r="AE94" s="1127"/>
      <c r="AF94" s="1127"/>
      <c r="AG94" s="1127"/>
      <c r="AH94" s="1127"/>
      <c r="AI94" s="1127"/>
      <c r="AJ94" s="1127"/>
      <c r="AK94" s="1127"/>
    </row>
    <row r="95" spans="1:37" s="1126" customFormat="1" ht="50">
      <c r="A95" s="3092" t="s">
        <v>2318</v>
      </c>
      <c r="B95" s="3096" t="str">
        <f>估价对象房地状况!C18</f>
        <v>估价对象周边道路状况、公共交通通达情况、停车便捷程度，综合评价交通便捷度较好</v>
      </c>
      <c r="C95" s="2001"/>
      <c r="D95" s="3101">
        <f t="shared" ref="D95:D102" si="34">SUMIF($J$61:$N$61,C95,J95:N95)</f>
        <v>0</v>
      </c>
      <c r="E95" s="3103"/>
      <c r="F95" s="1808"/>
      <c r="G95" s="1073"/>
      <c r="H95" s="3156" t="str">
        <f t="shared" si="29"/>
        <v>——</v>
      </c>
      <c r="I95" s="3107">
        <v>0.26</v>
      </c>
      <c r="J95" s="3108">
        <f t="shared" si="30"/>
        <v>0</v>
      </c>
      <c r="K95" s="3108">
        <f t="shared" si="31"/>
        <v>0</v>
      </c>
      <c r="L95" s="3108">
        <v>0</v>
      </c>
      <c r="M95" s="3108">
        <f t="shared" si="32"/>
        <v>0</v>
      </c>
      <c r="N95" s="3108">
        <f t="shared" si="33"/>
        <v>0</v>
      </c>
      <c r="AA95" s="1127"/>
      <c r="AB95" s="1127"/>
      <c r="AC95" s="1127"/>
      <c r="AD95" s="1127"/>
      <c r="AE95" s="1127"/>
      <c r="AF95" s="1127"/>
      <c r="AG95" s="1127"/>
      <c r="AH95" s="1127"/>
      <c r="AI95" s="1127"/>
      <c r="AJ95" s="1127"/>
      <c r="AK95" s="1127"/>
    </row>
    <row r="96" spans="1:37" s="1126" customFormat="1" ht="39">
      <c r="A96" s="3097" t="s">
        <v>2845</v>
      </c>
      <c r="B96" s="3096">
        <f>估价对象房地状况!C19</f>
        <v>0</v>
      </c>
      <c r="C96" s="2001"/>
      <c r="D96" s="3101">
        <f t="shared" si="34"/>
        <v>0</v>
      </c>
      <c r="E96" s="3103"/>
      <c r="F96" s="1808"/>
      <c r="G96" s="1073"/>
      <c r="H96" s="3156" t="str">
        <f t="shared" si="29"/>
        <v>——</v>
      </c>
      <c r="I96" s="3107">
        <v>0.11</v>
      </c>
      <c r="J96" s="3108">
        <f t="shared" si="30"/>
        <v>0</v>
      </c>
      <c r="K96" s="3108">
        <f t="shared" si="31"/>
        <v>0</v>
      </c>
      <c r="L96" s="3108">
        <v>0</v>
      </c>
      <c r="M96" s="3108">
        <f t="shared" si="32"/>
        <v>0</v>
      </c>
      <c r="N96" s="3108">
        <f t="shared" si="33"/>
        <v>0</v>
      </c>
      <c r="AA96" s="1127"/>
      <c r="AB96" s="1127"/>
      <c r="AC96" s="1127"/>
      <c r="AD96" s="1127"/>
      <c r="AE96" s="1127"/>
      <c r="AF96" s="1127"/>
      <c r="AG96" s="1127"/>
      <c r="AH96" s="1127"/>
      <c r="AI96" s="1127"/>
      <c r="AJ96" s="1127"/>
      <c r="AK96" s="1127"/>
    </row>
    <row r="97" spans="1:37" s="1126" customFormat="1" ht="39">
      <c r="A97" s="3092" t="s">
        <v>2319</v>
      </c>
      <c r="B97" s="2010" t="s">
        <v>2320</v>
      </c>
      <c r="C97" s="2001"/>
      <c r="D97" s="3101">
        <f t="shared" si="34"/>
        <v>0</v>
      </c>
      <c r="E97" s="3103"/>
      <c r="F97" s="1808"/>
      <c r="G97" s="1073"/>
      <c r="H97" s="3156" t="str">
        <f t="shared" si="29"/>
        <v>——</v>
      </c>
      <c r="I97" s="3107">
        <v>0.05</v>
      </c>
      <c r="J97" s="3108">
        <f t="shared" si="30"/>
        <v>0</v>
      </c>
      <c r="K97" s="3108">
        <f t="shared" si="31"/>
        <v>0</v>
      </c>
      <c r="L97" s="3108">
        <v>0</v>
      </c>
      <c r="M97" s="3108">
        <f t="shared" si="32"/>
        <v>0</v>
      </c>
      <c r="N97" s="3108">
        <f t="shared" si="33"/>
        <v>0</v>
      </c>
      <c r="AA97" s="1127"/>
      <c r="AB97" s="1127"/>
      <c r="AC97" s="1127"/>
      <c r="AD97" s="1127"/>
      <c r="AE97" s="1127"/>
      <c r="AF97" s="1127"/>
      <c r="AG97" s="1127"/>
      <c r="AH97" s="1127"/>
      <c r="AI97" s="1127"/>
      <c r="AJ97" s="1127"/>
      <c r="AK97" s="1127"/>
    </row>
    <row r="98" spans="1:37" s="1126" customFormat="1" ht="26">
      <c r="A98" s="3092" t="s">
        <v>2321</v>
      </c>
      <c r="B98" s="3096">
        <f>估价对象房地状况!C24</f>
        <v>0</v>
      </c>
      <c r="C98" s="2001"/>
      <c r="D98" s="3101">
        <f t="shared" si="34"/>
        <v>0</v>
      </c>
      <c r="E98" s="3103"/>
      <c r="F98" s="1808"/>
      <c r="G98" s="1073"/>
      <c r="H98" s="3156" t="str">
        <f t="shared" si="29"/>
        <v>——</v>
      </c>
      <c r="I98" s="3107">
        <v>0.05</v>
      </c>
      <c r="J98" s="3108">
        <f t="shared" si="30"/>
        <v>0</v>
      </c>
      <c r="K98" s="3108">
        <f t="shared" si="31"/>
        <v>0</v>
      </c>
      <c r="L98" s="3108">
        <v>0</v>
      </c>
      <c r="M98" s="3108">
        <f t="shared" si="32"/>
        <v>0</v>
      </c>
      <c r="N98" s="3108">
        <f t="shared" si="33"/>
        <v>0</v>
      </c>
      <c r="AA98" s="1127"/>
      <c r="AB98" s="1127"/>
      <c r="AC98" s="1127"/>
      <c r="AD98" s="1127"/>
      <c r="AE98" s="1127"/>
      <c r="AF98" s="1127"/>
      <c r="AG98" s="1127"/>
      <c r="AH98" s="1127"/>
      <c r="AI98" s="1127"/>
      <c r="AJ98" s="1127"/>
      <c r="AK98" s="1127"/>
    </row>
    <row r="99" spans="1:37" s="1126" customFormat="1" ht="26">
      <c r="A99" s="3092" t="s">
        <v>2322</v>
      </c>
      <c r="B99" s="2011" t="s">
        <v>2323</v>
      </c>
      <c r="C99" s="2001"/>
      <c r="D99" s="3101">
        <f t="shared" si="34"/>
        <v>0</v>
      </c>
      <c r="E99" s="3103"/>
      <c r="F99" s="1808"/>
      <c r="G99" s="1073"/>
      <c r="H99" s="3156" t="str">
        <f t="shared" si="29"/>
        <v>——</v>
      </c>
      <c r="I99" s="3107">
        <v>0.06</v>
      </c>
      <c r="J99" s="3108">
        <f t="shared" si="30"/>
        <v>0</v>
      </c>
      <c r="K99" s="3108">
        <f t="shared" si="31"/>
        <v>0</v>
      </c>
      <c r="L99" s="3108">
        <v>0</v>
      </c>
      <c r="M99" s="3108">
        <f t="shared" si="32"/>
        <v>0</v>
      </c>
      <c r="N99" s="3108">
        <f t="shared" si="33"/>
        <v>0</v>
      </c>
      <c r="AA99" s="1127"/>
      <c r="AB99" s="1127"/>
      <c r="AC99" s="1127"/>
      <c r="AD99" s="1127"/>
      <c r="AE99" s="1127"/>
      <c r="AF99" s="1127"/>
      <c r="AG99" s="1127"/>
      <c r="AH99" s="1127"/>
      <c r="AI99" s="1127"/>
      <c r="AJ99" s="1127"/>
      <c r="AK99" s="1127"/>
    </row>
    <row r="100" spans="1:37" s="1126" customFormat="1" ht="26">
      <c r="A100" s="3092" t="s">
        <v>2324</v>
      </c>
      <c r="B100" s="1324" t="str">
        <f>估价对象房地状况!C21</f>
        <v>估价对象所在区域公共配套设施齐备情况</v>
      </c>
      <c r="C100" s="2001"/>
      <c r="D100" s="3101">
        <f t="shared" si="34"/>
        <v>0</v>
      </c>
      <c r="E100" s="3103"/>
      <c r="F100" s="1808"/>
      <c r="G100" s="1073"/>
      <c r="H100" s="3156" t="str">
        <f t="shared" si="29"/>
        <v>——</v>
      </c>
      <c r="I100" s="3107">
        <v>0.06</v>
      </c>
      <c r="J100" s="3108">
        <f t="shared" si="30"/>
        <v>0</v>
      </c>
      <c r="K100" s="3108">
        <f t="shared" si="31"/>
        <v>0</v>
      </c>
      <c r="L100" s="3108">
        <v>0</v>
      </c>
      <c r="M100" s="3108">
        <f t="shared" si="32"/>
        <v>0</v>
      </c>
      <c r="N100" s="3108">
        <f t="shared" si="33"/>
        <v>0</v>
      </c>
      <c r="AA100" s="1127"/>
      <c r="AB100" s="1127"/>
      <c r="AC100" s="1127"/>
      <c r="AD100" s="1127"/>
      <c r="AE100" s="1127"/>
      <c r="AF100" s="1127"/>
      <c r="AG100" s="1127"/>
      <c r="AH100" s="1127"/>
      <c r="AI100" s="1127"/>
      <c r="AJ100" s="1127"/>
      <c r="AK100" s="1127"/>
    </row>
    <row r="101" spans="1:37" s="1126" customFormat="1" ht="26">
      <c r="A101" s="3092" t="s">
        <v>2325</v>
      </c>
      <c r="B101" s="1324" t="str">
        <f>估价对象房地状况!C22</f>
        <v>估价对象所在区域基础设施水平</v>
      </c>
      <c r="C101" s="2001"/>
      <c r="D101" s="3101">
        <f t="shared" si="34"/>
        <v>0</v>
      </c>
      <c r="E101" s="3103"/>
      <c r="F101" s="1808"/>
      <c r="G101" s="1073"/>
      <c r="H101" s="3156" t="str">
        <f t="shared" si="29"/>
        <v>——</v>
      </c>
      <c r="I101" s="3107">
        <v>0.09</v>
      </c>
      <c r="J101" s="3108">
        <f t="shared" si="30"/>
        <v>0</v>
      </c>
      <c r="K101" s="3108">
        <f t="shared" si="31"/>
        <v>0</v>
      </c>
      <c r="L101" s="3108">
        <v>0</v>
      </c>
      <c r="M101" s="3108">
        <f t="shared" si="32"/>
        <v>0</v>
      </c>
      <c r="N101" s="3108">
        <f t="shared" si="33"/>
        <v>0</v>
      </c>
      <c r="AA101" s="1127"/>
      <c r="AB101" s="1127"/>
      <c r="AC101" s="1127"/>
      <c r="AD101" s="1127"/>
      <c r="AE101" s="1127"/>
      <c r="AF101" s="1127"/>
      <c r="AG101" s="1127"/>
      <c r="AH101" s="1127"/>
      <c r="AI101" s="1127"/>
      <c r="AJ101" s="1127"/>
      <c r="AK101" s="1127"/>
    </row>
    <row r="102" spans="1:37" s="1126" customFormat="1" ht="26.5" thickBot="1">
      <c r="A102" s="3099" t="s">
        <v>2326</v>
      </c>
      <c r="B102" s="3110" t="str">
        <f>估价对象房地状况!C20</f>
        <v>区域自然环境：；人文环境；综合评价环境状况一般</v>
      </c>
      <c r="C102" s="2001"/>
      <c r="D102" s="3101">
        <f t="shared" si="34"/>
        <v>0</v>
      </c>
      <c r="E102" s="3104"/>
      <c r="F102" s="1808"/>
      <c r="G102" s="1073"/>
      <c r="H102" s="3156" t="str">
        <f t="shared" si="29"/>
        <v>——</v>
      </c>
      <c r="I102" s="3109">
        <v>7.0000000000000007E-2</v>
      </c>
      <c r="J102" s="3108">
        <f t="shared" si="30"/>
        <v>0</v>
      </c>
      <c r="K102" s="3108">
        <f t="shared" si="31"/>
        <v>0</v>
      </c>
      <c r="L102" s="3108">
        <v>0</v>
      </c>
      <c r="M102" s="3108">
        <f t="shared" si="32"/>
        <v>0</v>
      </c>
      <c r="N102" s="3108">
        <f t="shared" si="33"/>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ht="13">
      <c r="A104" s="3674" t="s">
        <v>2337</v>
      </c>
      <c r="B104" s="3674"/>
      <c r="C104" s="3674"/>
      <c r="D104" s="3674"/>
      <c r="E104" s="3674"/>
      <c r="F104" s="3674"/>
      <c r="G104" s="3674"/>
      <c r="H104" s="3674"/>
      <c r="I104" s="3674"/>
      <c r="J104" s="3674"/>
      <c r="K104" s="3117"/>
      <c r="L104" s="3117"/>
      <c r="M104" s="3117"/>
      <c r="N104" s="3117"/>
    </row>
    <row r="105" spans="1:37" ht="13">
      <c r="A105" s="3676" t="s">
        <v>2338</v>
      </c>
      <c r="B105" s="3676" t="s">
        <v>2339</v>
      </c>
      <c r="C105" s="3044" t="s">
        <v>2340</v>
      </c>
      <c r="D105" s="3045"/>
      <c r="E105" s="3045"/>
      <c r="F105" s="3045"/>
      <c r="G105" s="3045"/>
      <c r="H105" s="3045"/>
      <c r="I105" s="3045"/>
      <c r="J105" s="3118"/>
      <c r="K105" s="3119"/>
      <c r="L105" s="3119"/>
      <c r="M105" s="3119"/>
      <c r="N105" s="3119"/>
    </row>
    <row r="106" spans="1:37" ht="13">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1"/>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1"/>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1"/>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1"/>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ht="13">
      <c r="A112" s="3681"/>
      <c r="B112" s="3120" t="s">
        <v>2747</v>
      </c>
      <c r="C112" s="3122">
        <f>$I$3</f>
        <v>0</v>
      </c>
      <c r="D112" s="3122">
        <f t="shared" ref="D112:M112" si="35">$I$3</f>
        <v>0</v>
      </c>
      <c r="E112" s="3122">
        <f t="shared" si="35"/>
        <v>0</v>
      </c>
      <c r="F112" s="3122">
        <f t="shared" si="35"/>
        <v>0</v>
      </c>
      <c r="G112" s="3122">
        <f t="shared" si="35"/>
        <v>0</v>
      </c>
      <c r="H112" s="3122">
        <f t="shared" si="35"/>
        <v>0</v>
      </c>
      <c r="I112" s="3122">
        <f t="shared" si="35"/>
        <v>0</v>
      </c>
      <c r="J112" s="3122">
        <f t="shared" si="35"/>
        <v>0</v>
      </c>
      <c r="K112" s="3122">
        <f t="shared" si="35"/>
        <v>0</v>
      </c>
      <c r="L112" s="3122">
        <f t="shared" si="35"/>
        <v>0</v>
      </c>
      <c r="M112" s="3122">
        <f t="shared" si="35"/>
        <v>0</v>
      </c>
      <c r="N112" s="3122">
        <f>$I$3</f>
        <v>0</v>
      </c>
    </row>
    <row r="113" spans="1:14">
      <c r="A113" s="3682"/>
      <c r="B113" s="3120">
        <v>6</v>
      </c>
      <c r="C113" s="3123">
        <f>(-0.5556*(C112^2)-0.2719*C112+8944)*(10^(-4))</f>
        <v>0.89440000000000008</v>
      </c>
      <c r="D113" s="3123">
        <f>(-0.5556*(D112^2)-0.2719*D112+8944)*(10^(-4))</f>
        <v>0.89440000000000008</v>
      </c>
      <c r="E113" s="3123">
        <f>(-0.7912*(E112^2)-11.3794*E112+8482)*(10^(-4))</f>
        <v>0.84820000000000007</v>
      </c>
      <c r="F113" s="3123">
        <f t="shared" ref="F113:I113" si="36">(-0.7912*(F112^2)-11.3794*F112+8482)*(10^(-4))</f>
        <v>0.84820000000000007</v>
      </c>
      <c r="G113" s="3123">
        <f t="shared" si="36"/>
        <v>0.84820000000000007</v>
      </c>
      <c r="H113" s="3123">
        <f t="shared" si="36"/>
        <v>0.84820000000000007</v>
      </c>
      <c r="I113" s="3123">
        <f t="shared" si="36"/>
        <v>0.84820000000000007</v>
      </c>
      <c r="J113" s="3123">
        <f>(-0.989*(J112^2)-63.78*J112+7771)*(10^(-4))</f>
        <v>0.77710000000000001</v>
      </c>
      <c r="K113" s="3123">
        <f t="shared" ref="K113:N113" si="37">(-0.989*(K112^2)-63.78*K112+7771)*(10^(-4))</f>
        <v>0.77710000000000001</v>
      </c>
      <c r="L113" s="3123">
        <f t="shared" si="37"/>
        <v>0.77710000000000001</v>
      </c>
      <c r="M113" s="3123">
        <f t="shared" si="37"/>
        <v>0.77710000000000001</v>
      </c>
      <c r="N113" s="3123">
        <f t="shared" si="37"/>
        <v>0.77710000000000001</v>
      </c>
    </row>
    <row r="114" spans="1:14" ht="13">
      <c r="A114" s="3675" t="s">
        <v>2342</v>
      </c>
      <c r="B114" s="3675"/>
      <c r="C114" s="3675"/>
      <c r="D114" s="3675"/>
      <c r="E114" s="3675"/>
      <c r="F114" s="3675"/>
      <c r="G114" s="3675"/>
      <c r="H114" s="3675"/>
      <c r="I114" s="3675"/>
      <c r="J114" s="3675"/>
      <c r="K114" s="3124"/>
      <c r="L114" s="3124"/>
      <c r="M114" s="3124"/>
      <c r="N114" s="3124"/>
    </row>
    <row r="116" spans="1:14" ht="13" thickBot="1"/>
    <row r="117" spans="1:14" ht="26" thickBot="1">
      <c r="A117" s="3125" t="s">
        <v>2343</v>
      </c>
      <c r="B117" s="3126">
        <f>G3</f>
        <v>1</v>
      </c>
      <c r="C117" s="3127" t="s">
        <v>2344</v>
      </c>
      <c r="D117" s="3128">
        <f>SUMPRODUCT((A119:A123=F117)*(B118:M118=H117)*B119:M123)</f>
        <v>0.57150000000000001</v>
      </c>
      <c r="E117" s="2915" t="s">
        <v>2199</v>
      </c>
      <c r="F117" s="3129" t="str">
        <f>E2</f>
        <v>工业</v>
      </c>
      <c r="G117" s="2915" t="s">
        <v>2200</v>
      </c>
      <c r="H117" s="3129" t="str">
        <f>G2</f>
        <v>九级</v>
      </c>
      <c r="I117" s="2915"/>
      <c r="J117" s="3130"/>
      <c r="K117" s="3130"/>
      <c r="L117" s="3130"/>
      <c r="M117" s="3130"/>
    </row>
    <row r="118" spans="1:14" ht="13">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ht="13">
      <c r="A119" s="3137" t="s">
        <v>2255</v>
      </c>
      <c r="B119" s="3138">
        <f>ROUND(0.9968-0.011*B117,4)</f>
        <v>0.98580000000000001</v>
      </c>
      <c r="C119" s="3138">
        <f>B119</f>
        <v>0.98580000000000001</v>
      </c>
      <c r="D119" s="3138">
        <f>ROUND(0.949-0.014*B117,4)</f>
        <v>0.93500000000000005</v>
      </c>
      <c r="E119" s="3138">
        <f>D119</f>
        <v>0.93500000000000005</v>
      </c>
      <c r="F119" s="3138">
        <f>E119</f>
        <v>0.93500000000000005</v>
      </c>
      <c r="G119" s="3138">
        <f>F119</f>
        <v>0.93500000000000005</v>
      </c>
      <c r="H119" s="3138">
        <f>G119</f>
        <v>0.93500000000000005</v>
      </c>
      <c r="I119" s="3138">
        <f>ROUND(0.8486-0.018*B117,4)</f>
        <v>0.8306</v>
      </c>
      <c r="J119" s="3138">
        <f t="shared" ref="J119:M122" si="38">I119</f>
        <v>0.8306</v>
      </c>
      <c r="K119" s="3138">
        <f t="shared" si="38"/>
        <v>0.8306</v>
      </c>
      <c r="L119" s="3138">
        <f t="shared" si="38"/>
        <v>0.8306</v>
      </c>
      <c r="M119" s="3139">
        <f t="shared" si="38"/>
        <v>0.8306</v>
      </c>
    </row>
    <row r="120" spans="1:14" ht="13">
      <c r="A120" s="3137" t="s">
        <v>2256</v>
      </c>
      <c r="B120" s="3138">
        <f>ROUND(0.993-0.0112*B117,4)</f>
        <v>0.98180000000000001</v>
      </c>
      <c r="C120" s="3138">
        <f>B120</f>
        <v>0.98180000000000001</v>
      </c>
      <c r="D120" s="3138">
        <f>ROUND(0.9415-0.0142*B117,4)</f>
        <v>0.92730000000000001</v>
      </c>
      <c r="E120" s="3138">
        <f t="shared" ref="E120:H121" si="39">D120</f>
        <v>0.92730000000000001</v>
      </c>
      <c r="F120" s="3138">
        <f t="shared" si="39"/>
        <v>0.92730000000000001</v>
      </c>
      <c r="G120" s="3138">
        <f t="shared" si="39"/>
        <v>0.92730000000000001</v>
      </c>
      <c r="H120" s="3138">
        <f t="shared" si="39"/>
        <v>0.92730000000000001</v>
      </c>
      <c r="I120" s="3138">
        <f>ROUND(0.838-0.0182*B117,4)</f>
        <v>0.81979999999999997</v>
      </c>
      <c r="J120" s="3138">
        <f t="shared" si="38"/>
        <v>0.81979999999999997</v>
      </c>
      <c r="K120" s="3138">
        <f t="shared" si="38"/>
        <v>0.81979999999999997</v>
      </c>
      <c r="L120" s="3138">
        <f t="shared" si="38"/>
        <v>0.81979999999999997</v>
      </c>
      <c r="M120" s="3139">
        <f t="shared" si="38"/>
        <v>0.81979999999999997</v>
      </c>
    </row>
    <row r="121" spans="1:14" ht="13">
      <c r="A121" s="3137" t="s">
        <v>2257</v>
      </c>
      <c r="B121" s="3138">
        <f>ROUND(0.9448-0.0115*B117,4)</f>
        <v>0.93330000000000002</v>
      </c>
      <c r="C121" s="3138">
        <f>B121</f>
        <v>0.93330000000000002</v>
      </c>
      <c r="D121" s="3138">
        <f>ROUND(0.937-0.0145*B117,4)</f>
        <v>0.92249999999999999</v>
      </c>
      <c r="E121" s="3138">
        <f t="shared" si="39"/>
        <v>0.92249999999999999</v>
      </c>
      <c r="F121" s="3138">
        <f t="shared" si="39"/>
        <v>0.92249999999999999</v>
      </c>
      <c r="G121" s="3138">
        <f t="shared" si="39"/>
        <v>0.92249999999999999</v>
      </c>
      <c r="H121" s="3138">
        <f t="shared" si="39"/>
        <v>0.92249999999999999</v>
      </c>
      <c r="I121" s="3138">
        <f>ROUND(0.7965-0.0185*B117,4)</f>
        <v>0.77800000000000002</v>
      </c>
      <c r="J121" s="3138">
        <f t="shared" si="38"/>
        <v>0.77800000000000002</v>
      </c>
      <c r="K121" s="3138">
        <f t="shared" si="38"/>
        <v>0.77800000000000002</v>
      </c>
      <c r="L121" s="3138">
        <f t="shared" si="38"/>
        <v>0.77800000000000002</v>
      </c>
      <c r="M121" s="3139">
        <f t="shared" si="38"/>
        <v>0.77800000000000002</v>
      </c>
    </row>
    <row r="122" spans="1:14" ht="13.5" thickBot="1">
      <c r="A122" s="3140" t="s">
        <v>2258</v>
      </c>
      <c r="B122" s="3141">
        <f>ROUND(0.7836-0.012*B117,4)</f>
        <v>0.77159999999999995</v>
      </c>
      <c r="C122" s="3141">
        <f>B122</f>
        <v>0.77159999999999995</v>
      </c>
      <c r="D122" s="3141">
        <f>ROUND(0.753-0.015*B117,4)</f>
        <v>0.73799999999999999</v>
      </c>
      <c r="E122" s="3141">
        <f>D122</f>
        <v>0.73799999999999999</v>
      </c>
      <c r="F122" s="3141">
        <f>E122</f>
        <v>0.73799999999999999</v>
      </c>
      <c r="G122" s="3141">
        <f>ROUND(0.6612-0.018*B117,4)</f>
        <v>0.64319999999999999</v>
      </c>
      <c r="H122" s="3141">
        <f>G122</f>
        <v>0.64319999999999999</v>
      </c>
      <c r="I122" s="3141">
        <f>ROUND(0.5905-0.019*B117,4)</f>
        <v>0.57150000000000001</v>
      </c>
      <c r="J122" s="3141">
        <f t="shared" si="38"/>
        <v>0.57150000000000001</v>
      </c>
      <c r="K122" s="3141">
        <f t="shared" si="38"/>
        <v>0.57150000000000001</v>
      </c>
      <c r="L122" s="3141">
        <f t="shared" si="38"/>
        <v>0.57150000000000001</v>
      </c>
      <c r="M122" s="3142">
        <f t="shared" si="38"/>
        <v>0.57150000000000001</v>
      </c>
    </row>
    <row r="123" spans="1:14" ht="13">
      <c r="A123" s="3143" t="s">
        <v>2931</v>
      </c>
      <c r="B123" s="3138">
        <f>ROUND(0.9404-0.0106*B117,4)</f>
        <v>0.92979999999999996</v>
      </c>
      <c r="C123" s="3138">
        <f>B123</f>
        <v>0.92979999999999996</v>
      </c>
      <c r="D123" s="3138">
        <f>ROUND(0.8955-0.0135*B117,4)</f>
        <v>0.88200000000000001</v>
      </c>
      <c r="E123" s="3138">
        <f t="shared" ref="E123" si="40">D123</f>
        <v>0.88200000000000001</v>
      </c>
      <c r="F123" s="3138">
        <f t="shared" ref="F123" si="41">E123</f>
        <v>0.88200000000000001</v>
      </c>
      <c r="G123" s="3138">
        <f t="shared" ref="G123" si="42">F123</f>
        <v>0.88200000000000001</v>
      </c>
      <c r="H123" s="3138">
        <f t="shared" ref="H123" si="43">G123</f>
        <v>0.88200000000000001</v>
      </c>
      <c r="I123" s="3138">
        <f>ROUND(0.7632-0.0166*B117,4)</f>
        <v>0.74660000000000004</v>
      </c>
      <c r="J123" s="3138">
        <f t="shared" ref="J123" si="44">I123</f>
        <v>0.74660000000000004</v>
      </c>
      <c r="K123" s="3138">
        <f t="shared" ref="K123" si="45">J123</f>
        <v>0.74660000000000004</v>
      </c>
      <c r="L123" s="3138">
        <f t="shared" ref="L123" si="46">K123</f>
        <v>0.74660000000000004</v>
      </c>
      <c r="M123" s="3139">
        <f t="shared" ref="M123" si="47">L123</f>
        <v>0.74660000000000004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J31" sqref="J31"/>
    </sheetView>
  </sheetViews>
  <sheetFormatPr defaultColWidth="8.26953125" defaultRowHeight="14"/>
  <cols>
    <col min="1" max="1" width="15.26953125" style="747" customWidth="1"/>
    <col min="2" max="9" width="15.26953125" style="773" customWidth="1"/>
    <col min="10" max="13" width="15.26953125" style="747" customWidth="1"/>
    <col min="14" max="14" width="10" style="747" customWidth="1"/>
    <col min="15" max="16" width="8.26953125" style="747"/>
    <col min="17" max="17" width="34.08984375" style="747" customWidth="1"/>
    <col min="18" max="18" width="8.26953125" style="747" customWidth="1"/>
    <col min="19" max="19" width="8.26953125" style="747"/>
    <col min="20" max="20" width="11.6328125" style="747" customWidth="1"/>
    <col min="21" max="16384" width="8.26953125" style="747"/>
  </cols>
  <sheetData>
    <row r="1" spans="1:13" ht="14.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5">
      <c r="A18" s="3253" t="s">
        <v>471</v>
      </c>
      <c r="B18" s="3253"/>
      <c r="C18" s="3254"/>
      <c r="D18" s="3254"/>
      <c r="E18" s="3253"/>
      <c r="F18" s="3254"/>
      <c r="G18" s="3254"/>
      <c r="H18" s="3255"/>
      <c r="I18" s="3255"/>
    </row>
    <row r="19" spans="1:13" ht="14.5" thickBot="1">
      <c r="A19" s="750" t="s">
        <v>2906</v>
      </c>
      <c r="B19" s="3220" t="s">
        <v>2907</v>
      </c>
      <c r="C19" s="3220" t="s">
        <v>546</v>
      </c>
      <c r="D19" s="3221"/>
      <c r="E19" s="750" t="s">
        <v>3089</v>
      </c>
      <c r="F19" s="775"/>
      <c r="G19" s="775"/>
    </row>
    <row r="20" spans="1:13" s="780" customFormat="1">
      <c r="A20" s="3683" t="s">
        <v>180</v>
      </c>
      <c r="B20" s="3693" t="s">
        <v>2923</v>
      </c>
      <c r="C20" s="3222" t="s">
        <v>2853</v>
      </c>
      <c r="D20" s="3223"/>
      <c r="E20" s="3224">
        <v>1</v>
      </c>
      <c r="F20" s="778" t="s">
        <v>2859</v>
      </c>
      <c r="G20" s="779"/>
      <c r="H20" s="773"/>
      <c r="I20" s="773"/>
    </row>
    <row r="21" spans="1:13" s="780" customFormat="1">
      <c r="A21" s="3684"/>
      <c r="B21" s="3688"/>
      <c r="C21" s="776" t="s">
        <v>2854</v>
      </c>
      <c r="D21" s="777"/>
      <c r="E21" s="3225">
        <v>1</v>
      </c>
      <c r="F21" s="778" t="s">
        <v>2860</v>
      </c>
      <c r="G21" s="779"/>
      <c r="H21" s="773"/>
      <c r="I21" s="773"/>
    </row>
    <row r="22" spans="1:13" s="780" customFormat="1">
      <c r="A22" s="3684"/>
      <c r="B22" s="3688"/>
      <c r="C22" s="776" t="s">
        <v>2855</v>
      </c>
      <c r="D22" s="777"/>
      <c r="E22" s="3225">
        <v>0.9</v>
      </c>
      <c r="F22" s="778" t="s">
        <v>2861</v>
      </c>
      <c r="G22" s="779"/>
      <c r="H22" s="773"/>
      <c r="I22" s="773"/>
    </row>
    <row r="23" spans="1:13" s="780" customFormat="1">
      <c r="A23" s="3684"/>
      <c r="B23" s="3688"/>
      <c r="C23" s="776" t="s">
        <v>2856</v>
      </c>
      <c r="D23" s="777"/>
      <c r="E23" s="3225">
        <v>0.9</v>
      </c>
      <c r="F23" s="778" t="s">
        <v>2862</v>
      </c>
      <c r="G23" s="779"/>
      <c r="H23" s="773"/>
      <c r="I23" s="773"/>
    </row>
    <row r="24" spans="1:13" s="780" customFormat="1">
      <c r="A24" s="3684"/>
      <c r="B24" s="3688"/>
      <c r="C24" s="776" t="s">
        <v>2857</v>
      </c>
      <c r="D24" s="777"/>
      <c r="E24" s="3225">
        <v>0.8</v>
      </c>
      <c r="F24" s="778" t="s">
        <v>2863</v>
      </c>
      <c r="G24" s="779"/>
      <c r="H24" s="773"/>
      <c r="I24" s="773"/>
    </row>
    <row r="25" spans="1:13" s="780" customFormat="1" ht="14.5" thickBot="1">
      <c r="A25" s="3685"/>
      <c r="B25" s="3694"/>
      <c r="C25" s="3226" t="s">
        <v>2858</v>
      </c>
      <c r="D25" s="3227"/>
      <c r="E25" s="3228">
        <v>0.8</v>
      </c>
      <c r="F25" s="778" t="s">
        <v>2864</v>
      </c>
      <c r="G25" s="779"/>
      <c r="H25" s="773"/>
      <c r="I25" s="773"/>
    </row>
    <row r="26" spans="1:13" s="780" customFormat="1" ht="14.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8"/>
      <c r="C28" s="776" t="s">
        <v>2869</v>
      </c>
      <c r="D28" s="777"/>
      <c r="E28" s="3225">
        <v>1</v>
      </c>
      <c r="F28" s="778" t="s">
        <v>2882</v>
      </c>
      <c r="G28" s="779"/>
      <c r="H28" s="773"/>
      <c r="I28" s="773"/>
    </row>
    <row r="29" spans="1:13" s="780" customFormat="1">
      <c r="A29" s="3691"/>
      <c r="B29" s="3688"/>
      <c r="C29" s="776" t="s">
        <v>2870</v>
      </c>
      <c r="D29" s="777"/>
      <c r="E29" s="3225">
        <v>0.8</v>
      </c>
      <c r="F29" s="778" t="s">
        <v>2883</v>
      </c>
      <c r="G29" s="779"/>
      <c r="H29" s="773"/>
      <c r="I29" s="773"/>
    </row>
    <row r="30" spans="1:13" s="780" customFormat="1">
      <c r="A30" s="3691"/>
      <c r="B30" s="3688"/>
      <c r="C30" s="776" t="s">
        <v>2871</v>
      </c>
      <c r="D30" s="777"/>
      <c r="E30" s="3225">
        <v>0.8</v>
      </c>
      <c r="F30" s="778" t="s">
        <v>2884</v>
      </c>
      <c r="G30" s="779"/>
      <c r="H30" s="773"/>
      <c r="I30" s="773"/>
    </row>
    <row r="31" spans="1:13" s="780" customFormat="1">
      <c r="A31" s="3691"/>
      <c r="B31" s="3688"/>
      <c r="C31" s="776" t="s">
        <v>2872</v>
      </c>
      <c r="D31" s="777"/>
      <c r="E31" s="3225">
        <v>0.8</v>
      </c>
      <c r="F31" s="778" t="s">
        <v>2885</v>
      </c>
      <c r="G31" s="779"/>
      <c r="H31" s="773"/>
      <c r="I31" s="773"/>
    </row>
    <row r="32" spans="1:13" s="780" customFormat="1">
      <c r="A32" s="3691"/>
      <c r="B32" s="3688"/>
      <c r="C32" s="776" t="s">
        <v>2873</v>
      </c>
      <c r="D32" s="777"/>
      <c r="E32" s="3225">
        <v>0.7</v>
      </c>
      <c r="F32" s="778" t="s">
        <v>2886</v>
      </c>
      <c r="G32" s="779"/>
      <c r="H32" s="773"/>
      <c r="I32" s="773"/>
    </row>
    <row r="33" spans="1:9" s="780" customFormat="1">
      <c r="A33" s="3691"/>
      <c r="B33" s="3688"/>
      <c r="C33" s="776" t="s">
        <v>2874</v>
      </c>
      <c r="D33" s="777"/>
      <c r="E33" s="3225">
        <v>0.8</v>
      </c>
      <c r="F33" s="778" t="s">
        <v>2887</v>
      </c>
      <c r="G33" s="779"/>
      <c r="H33" s="773"/>
      <c r="I33" s="773"/>
    </row>
    <row r="34" spans="1:9" s="780" customFormat="1">
      <c r="A34" s="3691"/>
      <c r="B34" s="3688"/>
      <c r="C34" s="776" t="s">
        <v>2875</v>
      </c>
      <c r="D34" s="777"/>
      <c r="E34" s="3225">
        <v>0.6</v>
      </c>
      <c r="F34" s="778" t="s">
        <v>2888</v>
      </c>
      <c r="G34" s="779"/>
      <c r="H34" s="773"/>
      <c r="I34" s="773"/>
    </row>
    <row r="35" spans="1:9" s="780" customFormat="1">
      <c r="A35" s="3691"/>
      <c r="B35" s="3688"/>
      <c r="C35" s="776" t="s">
        <v>2876</v>
      </c>
      <c r="D35" s="777"/>
      <c r="E35" s="3225">
        <v>0.2</v>
      </c>
      <c r="F35" s="778" t="s">
        <v>2889</v>
      </c>
      <c r="G35" s="779"/>
      <c r="H35" s="773"/>
      <c r="I35" s="773"/>
    </row>
    <row r="36" spans="1:9" s="780" customFormat="1">
      <c r="A36" s="3691"/>
      <c r="B36" s="3688"/>
      <c r="C36" s="776" t="s">
        <v>2877</v>
      </c>
      <c r="D36" s="777"/>
      <c r="E36" s="3225">
        <v>0.2</v>
      </c>
      <c r="F36" s="778" t="s">
        <v>2890</v>
      </c>
      <c r="G36" s="779"/>
      <c r="H36" s="773"/>
      <c r="I36" s="773"/>
    </row>
    <row r="37" spans="1:9" s="780" customFormat="1">
      <c r="A37" s="3691"/>
      <c r="B37" s="3687" t="s">
        <v>2924</v>
      </c>
      <c r="C37" s="776" t="s">
        <v>2878</v>
      </c>
      <c r="D37" s="777"/>
      <c r="E37" s="3225">
        <v>0.6</v>
      </c>
      <c r="F37" s="778" t="s">
        <v>2891</v>
      </c>
      <c r="G37" s="779"/>
      <c r="H37" s="773"/>
      <c r="I37" s="773"/>
    </row>
    <row r="38" spans="1:9" s="780" customFormat="1">
      <c r="A38" s="3691"/>
      <c r="B38" s="3688"/>
      <c r="C38" s="776" t="s">
        <v>2879</v>
      </c>
      <c r="D38" s="777"/>
      <c r="E38" s="3225">
        <v>0.6</v>
      </c>
      <c r="F38" s="778" t="s">
        <v>2892</v>
      </c>
      <c r="G38" s="779"/>
      <c r="H38" s="773"/>
      <c r="I38" s="773"/>
    </row>
    <row r="39" spans="1:9" s="780" customFormat="1" ht="14.5" thickBot="1">
      <c r="A39" s="3692"/>
      <c r="B39" s="3694"/>
      <c r="C39" s="3226" t="s">
        <v>2880</v>
      </c>
      <c r="D39" s="3227"/>
      <c r="E39" s="3228">
        <v>0.6</v>
      </c>
      <c r="F39" s="778" t="s">
        <v>2893</v>
      </c>
      <c r="G39" s="779"/>
      <c r="H39" s="773"/>
      <c r="I39" s="773"/>
    </row>
    <row r="40" spans="1:9" s="780" customFormat="1" ht="14.5" thickBot="1">
      <c r="A40" s="3229" t="s">
        <v>539</v>
      </c>
      <c r="B40" s="3230" t="s">
        <v>2925</v>
      </c>
      <c r="C40" s="3231" t="s">
        <v>2894</v>
      </c>
      <c r="D40" s="3232"/>
      <c r="E40" s="3233">
        <v>1</v>
      </c>
      <c r="F40" s="778" t="s">
        <v>2895</v>
      </c>
      <c r="G40" s="779"/>
      <c r="H40" s="773"/>
      <c r="I40" s="773"/>
    </row>
    <row r="41" spans="1:9" s="780" customFormat="1">
      <c r="A41" s="3683" t="s">
        <v>182</v>
      </c>
      <c r="B41" s="3693" t="s">
        <v>2920</v>
      </c>
      <c r="C41" s="3222" t="s">
        <v>2896</v>
      </c>
      <c r="D41" s="3223"/>
      <c r="E41" s="3224">
        <v>1</v>
      </c>
      <c r="F41" s="778" t="s">
        <v>2908</v>
      </c>
      <c r="G41" s="779"/>
      <c r="H41" s="773"/>
      <c r="I41" s="773"/>
    </row>
    <row r="42" spans="1:9" s="780" customFormat="1">
      <c r="A42" s="3684"/>
      <c r="B42" s="3688"/>
      <c r="C42" s="776" t="s">
        <v>2897</v>
      </c>
      <c r="D42" s="777"/>
      <c r="E42" s="3225">
        <v>1</v>
      </c>
      <c r="F42" s="778" t="s">
        <v>2909</v>
      </c>
      <c r="G42" s="779"/>
      <c r="H42" s="773"/>
      <c r="I42" s="773"/>
    </row>
    <row r="43" spans="1:9" s="780" customFormat="1">
      <c r="A43" s="3684"/>
      <c r="B43" s="3689"/>
      <c r="C43" s="776" t="s">
        <v>2898</v>
      </c>
      <c r="D43" s="777"/>
      <c r="E43" s="3225">
        <v>1.5</v>
      </c>
      <c r="F43" s="778" t="s">
        <v>2910</v>
      </c>
      <c r="G43" s="779"/>
      <c r="H43" s="773"/>
      <c r="I43" s="773"/>
    </row>
    <row r="44" spans="1:9" s="780" customFormat="1">
      <c r="A44" s="3684"/>
      <c r="B44" s="3176" t="s">
        <v>2921</v>
      </c>
      <c r="C44" s="776" t="s">
        <v>2919</v>
      </c>
      <c r="D44" s="777"/>
      <c r="E44" s="3225">
        <v>2</v>
      </c>
      <c r="F44" s="778" t="s">
        <v>2911</v>
      </c>
      <c r="G44" s="779"/>
      <c r="H44" s="773"/>
      <c r="I44" s="773"/>
    </row>
    <row r="45" spans="1:9" s="780" customFormat="1">
      <c r="A45" s="3684"/>
      <c r="B45" s="3687" t="s">
        <v>2922</v>
      </c>
      <c r="C45" s="776" t="s">
        <v>2899</v>
      </c>
      <c r="D45" s="777"/>
      <c r="E45" s="3225">
        <v>1</v>
      </c>
      <c r="F45" s="778" t="s">
        <v>2912</v>
      </c>
      <c r="G45" s="779"/>
      <c r="H45" s="773"/>
      <c r="I45" s="773"/>
    </row>
    <row r="46" spans="1:9" s="780" customFormat="1">
      <c r="A46" s="3684"/>
      <c r="B46" s="3688"/>
      <c r="C46" s="776" t="s">
        <v>2900</v>
      </c>
      <c r="D46" s="777"/>
      <c r="E46" s="3225">
        <v>1</v>
      </c>
      <c r="F46" s="778" t="s">
        <v>2913</v>
      </c>
      <c r="G46" s="779"/>
      <c r="H46" s="773"/>
      <c r="I46" s="773"/>
    </row>
    <row r="47" spans="1:9" s="780" customFormat="1">
      <c r="A47" s="3684"/>
      <c r="B47" s="3688"/>
      <c r="C47" s="776" t="s">
        <v>2901</v>
      </c>
      <c r="D47" s="777"/>
      <c r="E47" s="3225">
        <v>1</v>
      </c>
      <c r="F47" s="778" t="s">
        <v>2914</v>
      </c>
      <c r="G47" s="779"/>
      <c r="H47" s="773"/>
      <c r="I47" s="773"/>
    </row>
    <row r="48" spans="1:9" s="780" customFormat="1">
      <c r="A48" s="3684"/>
      <c r="B48" s="3688"/>
      <c r="C48" s="776" t="s">
        <v>2902</v>
      </c>
      <c r="D48" s="777"/>
      <c r="E48" s="3225">
        <v>1</v>
      </c>
      <c r="F48" s="778" t="s">
        <v>2915</v>
      </c>
      <c r="G48" s="779"/>
      <c r="H48" s="773"/>
      <c r="I48" s="773"/>
    </row>
    <row r="49" spans="1:9" s="780" customFormat="1">
      <c r="A49" s="3684"/>
      <c r="B49" s="3688"/>
      <c r="C49" s="776" t="s">
        <v>2903</v>
      </c>
      <c r="D49" s="777"/>
      <c r="E49" s="3225">
        <v>1</v>
      </c>
      <c r="F49" s="778" t="s">
        <v>2916</v>
      </c>
      <c r="G49" s="779"/>
      <c r="H49" s="773"/>
      <c r="I49" s="773"/>
    </row>
    <row r="50" spans="1:9" s="780" customFormat="1">
      <c r="A50" s="3684"/>
      <c r="B50" s="3688"/>
      <c r="C50" s="776" t="s">
        <v>2904</v>
      </c>
      <c r="D50" s="777"/>
      <c r="E50" s="3225">
        <v>1</v>
      </c>
      <c r="F50" s="778" t="s">
        <v>2917</v>
      </c>
      <c r="G50" s="779"/>
      <c r="H50" s="773"/>
      <c r="I50" s="773"/>
    </row>
    <row r="51" spans="1:9" s="780" customFormat="1" ht="14.5" thickBot="1">
      <c r="A51" s="3685"/>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7" t="s">
        <v>483</v>
      </c>
      <c r="C73" s="749" t="s">
        <v>484</v>
      </c>
      <c r="D73" s="749" t="s">
        <v>485</v>
      </c>
      <c r="E73" s="786">
        <v>0.2</v>
      </c>
      <c r="F73" s="2910">
        <v>25</v>
      </c>
      <c r="L73" s="747"/>
      <c r="M73" s="747"/>
      <c r="N73" s="747"/>
      <c r="O73" s="747"/>
    </row>
    <row r="74" spans="1:15" s="773" customFormat="1" ht="26">
      <c r="A74" s="2910">
        <v>2</v>
      </c>
      <c r="B74" s="3688"/>
      <c r="C74" s="749" t="s">
        <v>2749</v>
      </c>
      <c r="D74" s="749" t="s">
        <v>2750</v>
      </c>
      <c r="E74" s="786">
        <v>0.2</v>
      </c>
      <c r="F74" s="2910">
        <v>25</v>
      </c>
      <c r="L74" s="747"/>
      <c r="M74" s="747"/>
      <c r="N74" s="747"/>
      <c r="O74" s="747"/>
    </row>
    <row r="75" spans="1:15" s="773" customFormat="1" ht="26">
      <c r="A75" s="2910">
        <v>3</v>
      </c>
      <c r="B75" s="3688"/>
      <c r="C75" s="749" t="s">
        <v>2751</v>
      </c>
      <c r="D75" s="749" t="s">
        <v>2752</v>
      </c>
      <c r="E75" s="786">
        <v>0.2</v>
      </c>
      <c r="F75" s="2910">
        <v>25</v>
      </c>
      <c r="L75" s="747"/>
      <c r="M75" s="747"/>
      <c r="N75" s="747"/>
      <c r="O75" s="747"/>
    </row>
    <row r="76" spans="1:15" s="773" customFormat="1">
      <c r="A76" s="2910">
        <v>4</v>
      </c>
      <c r="B76" s="3688"/>
      <c r="C76" s="749" t="s">
        <v>2753</v>
      </c>
      <c r="D76" s="749" t="s">
        <v>2754</v>
      </c>
      <c r="E76" s="786">
        <v>0.15</v>
      </c>
      <c r="F76" s="2910">
        <v>20</v>
      </c>
      <c r="L76" s="747"/>
      <c r="M76" s="747"/>
      <c r="N76" s="747"/>
      <c r="O76" s="747"/>
    </row>
    <row r="77" spans="1:15" s="773" customFormat="1" ht="26">
      <c r="A77" s="2910">
        <v>5</v>
      </c>
      <c r="B77" s="3688"/>
      <c r="C77" s="749" t="s">
        <v>2755</v>
      </c>
      <c r="D77" s="749" t="s">
        <v>2756</v>
      </c>
      <c r="E77" s="786">
        <v>0.15</v>
      </c>
      <c r="F77" s="2910">
        <v>20</v>
      </c>
      <c r="L77" s="747"/>
      <c r="M77" s="747"/>
      <c r="N77" s="747"/>
      <c r="O77" s="747"/>
    </row>
    <row r="78" spans="1:15" s="773" customFormat="1" ht="26">
      <c r="A78" s="2910">
        <v>6</v>
      </c>
      <c r="B78" s="3688"/>
      <c r="C78" s="749" t="s">
        <v>2757</v>
      </c>
      <c r="D78" s="749" t="s">
        <v>2758</v>
      </c>
      <c r="E78" s="786">
        <v>0.15</v>
      </c>
      <c r="F78" s="2910">
        <v>20</v>
      </c>
      <c r="L78" s="747"/>
      <c r="M78" s="747"/>
      <c r="N78" s="747"/>
      <c r="O78" s="747"/>
    </row>
    <row r="79" spans="1:15" s="773" customFormat="1" ht="26">
      <c r="A79" s="2910">
        <v>7</v>
      </c>
      <c r="B79" s="3688"/>
      <c r="C79" s="749" t="s">
        <v>2759</v>
      </c>
      <c r="D79" s="749" t="s">
        <v>2760</v>
      </c>
      <c r="E79" s="786">
        <v>0.15</v>
      </c>
      <c r="F79" s="2910">
        <v>20</v>
      </c>
      <c r="L79" s="747"/>
      <c r="M79" s="747"/>
      <c r="N79" s="747"/>
      <c r="O79" s="747"/>
    </row>
    <row r="80" spans="1:15" s="773" customFormat="1" ht="26">
      <c r="A80" s="2910">
        <v>8</v>
      </c>
      <c r="B80" s="3688"/>
      <c r="C80" s="749" t="s">
        <v>2761</v>
      </c>
      <c r="D80" s="749" t="s">
        <v>2762</v>
      </c>
      <c r="E80" s="786">
        <v>0.1</v>
      </c>
      <c r="F80" s="2910">
        <v>15</v>
      </c>
      <c r="L80" s="747"/>
      <c r="M80" s="747"/>
      <c r="N80" s="747"/>
      <c r="O80" s="747"/>
    </row>
    <row r="81" spans="1:15" s="773" customFormat="1" ht="26">
      <c r="A81" s="2910">
        <v>9</v>
      </c>
      <c r="B81" s="3688"/>
      <c r="C81" s="749" t="s">
        <v>2763</v>
      </c>
      <c r="D81" s="749" t="s">
        <v>2764</v>
      </c>
      <c r="E81" s="786">
        <v>0.1</v>
      </c>
      <c r="F81" s="2910">
        <v>15</v>
      </c>
      <c r="L81" s="747"/>
      <c r="M81" s="747"/>
      <c r="N81" s="747"/>
      <c r="O81" s="747"/>
    </row>
    <row r="82" spans="1:15" s="773" customFormat="1" ht="26">
      <c r="A82" s="2910">
        <v>10</v>
      </c>
      <c r="B82" s="3688"/>
      <c r="C82" s="749" t="s">
        <v>2765</v>
      </c>
      <c r="D82" s="749" t="s">
        <v>2766</v>
      </c>
      <c r="E82" s="786">
        <v>0.1</v>
      </c>
      <c r="F82" s="2910">
        <v>15</v>
      </c>
      <c r="L82" s="747"/>
      <c r="M82" s="747"/>
      <c r="N82" s="747"/>
      <c r="O82" s="747"/>
    </row>
    <row r="83" spans="1:15" s="773" customFormat="1" ht="26">
      <c r="A83" s="2910">
        <v>11</v>
      </c>
      <c r="B83" s="3688"/>
      <c r="C83" s="749" t="s">
        <v>2767</v>
      </c>
      <c r="D83" s="749" t="s">
        <v>2768</v>
      </c>
      <c r="E83" s="786">
        <v>0.1</v>
      </c>
      <c r="F83" s="2910">
        <v>15</v>
      </c>
      <c r="L83" s="747"/>
      <c r="M83" s="747"/>
      <c r="N83" s="747"/>
      <c r="O83" s="747"/>
    </row>
    <row r="84" spans="1:15" s="773" customFormat="1" ht="26">
      <c r="A84" s="2910">
        <v>12</v>
      </c>
      <c r="B84" s="3688"/>
      <c r="C84" s="749" t="s">
        <v>2769</v>
      </c>
      <c r="D84" s="749" t="s">
        <v>2770</v>
      </c>
      <c r="E84" s="786">
        <v>0.1</v>
      </c>
      <c r="F84" s="2910">
        <v>15</v>
      </c>
      <c r="L84" s="747"/>
      <c r="M84" s="747"/>
      <c r="N84" s="747"/>
      <c r="O84" s="747"/>
    </row>
    <row r="85" spans="1:15" s="773" customFormat="1">
      <c r="A85" s="2910">
        <v>13</v>
      </c>
      <c r="B85" s="3688"/>
      <c r="C85" s="749" t="s">
        <v>2771</v>
      </c>
      <c r="D85" s="749" t="s">
        <v>2772</v>
      </c>
      <c r="E85" s="786">
        <v>0.1</v>
      </c>
      <c r="F85" s="2910">
        <v>15</v>
      </c>
      <c r="L85" s="747"/>
      <c r="M85" s="747"/>
      <c r="N85" s="747"/>
      <c r="O85" s="747"/>
    </row>
    <row r="86" spans="1:15" s="773" customFormat="1">
      <c r="A86" s="2910">
        <v>14</v>
      </c>
      <c r="B86" s="3688"/>
      <c r="C86" s="749" t="s">
        <v>2773</v>
      </c>
      <c r="D86" s="749" t="s">
        <v>2774</v>
      </c>
      <c r="E86" s="786">
        <v>0.1</v>
      </c>
      <c r="F86" s="2910">
        <v>15</v>
      </c>
      <c r="L86" s="747"/>
      <c r="M86" s="747"/>
      <c r="N86" s="747"/>
      <c r="O86" s="747"/>
    </row>
    <row r="87" spans="1:15" s="773" customFormat="1">
      <c r="A87" s="2910">
        <v>15</v>
      </c>
      <c r="B87" s="3688"/>
      <c r="C87" s="749" t="s">
        <v>2775</v>
      </c>
      <c r="D87" s="749" t="s">
        <v>2776</v>
      </c>
      <c r="E87" s="786">
        <v>0.1</v>
      </c>
      <c r="F87" s="2910">
        <v>15</v>
      </c>
      <c r="L87" s="747"/>
      <c r="M87" s="747"/>
      <c r="N87" s="747"/>
      <c r="O87" s="747"/>
    </row>
    <row r="88" spans="1:15" s="773" customFormat="1" ht="26">
      <c r="A88" s="2910">
        <v>16</v>
      </c>
      <c r="B88" s="3688"/>
      <c r="C88" s="749" t="s">
        <v>2777</v>
      </c>
      <c r="D88" s="749" t="s">
        <v>2778</v>
      </c>
      <c r="E88" s="786">
        <v>0.1</v>
      </c>
      <c r="F88" s="2910">
        <v>15</v>
      </c>
      <c r="L88" s="747"/>
      <c r="M88" s="747"/>
      <c r="N88" s="747"/>
      <c r="O88" s="747"/>
    </row>
    <row r="89" spans="1:15" s="773" customFormat="1" ht="26">
      <c r="A89" s="2910">
        <v>17</v>
      </c>
      <c r="B89" s="3689"/>
      <c r="C89" s="749" t="s">
        <v>2779</v>
      </c>
      <c r="D89" s="749" t="s">
        <v>2780</v>
      </c>
      <c r="E89" s="786">
        <v>0.1</v>
      </c>
      <c r="F89" s="2910">
        <v>15</v>
      </c>
      <c r="L89" s="747"/>
      <c r="M89" s="747"/>
      <c r="N89" s="747"/>
      <c r="O89" s="747"/>
    </row>
    <row r="90" spans="1:15" s="773" customFormat="1">
      <c r="A90" s="2910">
        <v>18</v>
      </c>
      <c r="B90" s="3687" t="s">
        <v>486</v>
      </c>
      <c r="C90" s="749" t="s">
        <v>487</v>
      </c>
      <c r="D90" s="749" t="s">
        <v>488</v>
      </c>
      <c r="E90" s="786">
        <v>0.2</v>
      </c>
      <c r="F90" s="2910">
        <v>25</v>
      </c>
      <c r="L90" s="747"/>
      <c r="M90" s="747"/>
    </row>
    <row r="91" spans="1:15" s="773" customFormat="1" ht="26">
      <c r="A91" s="2910">
        <v>19</v>
      </c>
      <c r="B91" s="3688"/>
      <c r="C91" s="749" t="s">
        <v>2781</v>
      </c>
      <c r="D91" s="749" t="s">
        <v>491</v>
      </c>
      <c r="E91" s="786">
        <v>0.2</v>
      </c>
      <c r="F91" s="2910">
        <v>25</v>
      </c>
      <c r="L91" s="747"/>
      <c r="M91" s="747"/>
    </row>
    <row r="92" spans="1:15" s="773" customFormat="1">
      <c r="A92" s="2910">
        <v>20</v>
      </c>
      <c r="B92" s="3688"/>
      <c r="C92" s="749" t="s">
        <v>489</v>
      </c>
      <c r="D92" s="749" t="s">
        <v>490</v>
      </c>
      <c r="E92" s="786">
        <v>0.15</v>
      </c>
      <c r="F92" s="2910">
        <v>20</v>
      </c>
      <c r="L92" s="747"/>
      <c r="M92" s="747"/>
    </row>
    <row r="93" spans="1:15" s="773" customFormat="1" ht="26">
      <c r="A93" s="2910">
        <v>21</v>
      </c>
      <c r="B93" s="3688"/>
      <c r="C93" s="749" t="s">
        <v>2782</v>
      </c>
      <c r="D93" s="749" t="s">
        <v>492</v>
      </c>
      <c r="E93" s="786">
        <v>0.15</v>
      </c>
      <c r="F93" s="2910">
        <v>20</v>
      </c>
      <c r="L93" s="747"/>
      <c r="M93" s="747"/>
    </row>
    <row r="94" spans="1:15" s="773" customFormat="1" ht="26">
      <c r="A94" s="2910">
        <v>22</v>
      </c>
      <c r="B94" s="3688"/>
      <c r="C94" s="749" t="s">
        <v>2784</v>
      </c>
      <c r="D94" s="749" t="s">
        <v>2785</v>
      </c>
      <c r="E94" s="786">
        <v>0.15</v>
      </c>
      <c r="F94" s="2910">
        <v>20</v>
      </c>
      <c r="L94" s="747"/>
      <c r="M94" s="747"/>
    </row>
    <row r="95" spans="1:15" s="773" customFormat="1" ht="39">
      <c r="A95" s="2910">
        <v>23</v>
      </c>
      <c r="B95" s="3688"/>
      <c r="C95" s="749" t="s">
        <v>2786</v>
      </c>
      <c r="D95" s="749" t="s">
        <v>2787</v>
      </c>
      <c r="E95" s="786">
        <v>0.15</v>
      </c>
      <c r="F95" s="2910">
        <v>20</v>
      </c>
      <c r="L95" s="747"/>
      <c r="M95" s="747"/>
    </row>
    <row r="96" spans="1:15" s="773" customFormat="1">
      <c r="A96" s="2910">
        <v>24</v>
      </c>
      <c r="B96" s="3688"/>
      <c r="C96" s="749" t="s">
        <v>2788</v>
      </c>
      <c r="D96" s="749" t="s">
        <v>2789</v>
      </c>
      <c r="E96" s="786">
        <v>0.1</v>
      </c>
      <c r="F96" s="2910">
        <v>15</v>
      </c>
      <c r="L96" s="747"/>
      <c r="M96" s="747"/>
    </row>
    <row r="97" spans="1:13" s="773" customFormat="1" ht="26">
      <c r="A97" s="2910">
        <v>25</v>
      </c>
      <c r="B97" s="3688"/>
      <c r="C97" s="749" t="s">
        <v>2783</v>
      </c>
      <c r="D97" s="749" t="s">
        <v>2790</v>
      </c>
      <c r="E97" s="786">
        <v>0.1</v>
      </c>
      <c r="F97" s="2910">
        <v>15</v>
      </c>
      <c r="L97" s="747"/>
      <c r="M97" s="747"/>
    </row>
    <row r="98" spans="1:13" s="773" customFormat="1" ht="26">
      <c r="A98" s="2910">
        <v>26</v>
      </c>
      <c r="B98" s="3688"/>
      <c r="C98" s="749" t="s">
        <v>2791</v>
      </c>
      <c r="D98" s="749" t="s">
        <v>2792</v>
      </c>
      <c r="E98" s="786">
        <v>0.1</v>
      </c>
      <c r="F98" s="2910">
        <v>15</v>
      </c>
      <c r="L98" s="747"/>
      <c r="M98" s="747"/>
    </row>
    <row r="99" spans="1:13" s="773" customFormat="1" ht="26">
      <c r="A99" s="2910">
        <v>27</v>
      </c>
      <c r="B99" s="3688"/>
      <c r="C99" s="749" t="s">
        <v>2793</v>
      </c>
      <c r="D99" s="749" t="s">
        <v>2794</v>
      </c>
      <c r="E99" s="786">
        <v>0.1</v>
      </c>
      <c r="F99" s="2910">
        <v>15</v>
      </c>
      <c r="L99" s="747"/>
      <c r="M99" s="747"/>
    </row>
    <row r="100" spans="1:13" s="773" customFormat="1" ht="26">
      <c r="A100" s="2910">
        <v>28</v>
      </c>
      <c r="B100" s="3688"/>
      <c r="C100" s="749" t="s">
        <v>2795</v>
      </c>
      <c r="D100" s="749" t="s">
        <v>2796</v>
      </c>
      <c r="E100" s="786">
        <v>0.1</v>
      </c>
      <c r="F100" s="2910">
        <v>15</v>
      </c>
      <c r="L100" s="747"/>
      <c r="M100" s="747"/>
    </row>
    <row r="101" spans="1:13" s="773" customFormat="1" ht="26">
      <c r="A101" s="2910">
        <v>29</v>
      </c>
      <c r="B101" s="3688"/>
      <c r="C101" s="749" t="s">
        <v>2797</v>
      </c>
      <c r="D101" s="749" t="s">
        <v>2798</v>
      </c>
      <c r="E101" s="786">
        <v>0.1</v>
      </c>
      <c r="F101" s="2910">
        <v>15</v>
      </c>
      <c r="L101" s="747"/>
      <c r="M101" s="747"/>
    </row>
    <row r="102" spans="1:13" s="773" customFormat="1" ht="26">
      <c r="A102" s="2910">
        <v>30</v>
      </c>
      <c r="B102" s="3688"/>
      <c r="C102" s="749" t="s">
        <v>2799</v>
      </c>
      <c r="D102" s="749" t="s">
        <v>2800</v>
      </c>
      <c r="E102" s="786">
        <v>0.1</v>
      </c>
      <c r="F102" s="2910">
        <v>15</v>
      </c>
      <c r="L102" s="747"/>
      <c r="M102" s="747"/>
    </row>
    <row r="103" spans="1:13" s="773" customFormat="1" ht="26">
      <c r="A103" s="2910">
        <v>31</v>
      </c>
      <c r="B103" s="3688"/>
      <c r="C103" s="749" t="s">
        <v>2801</v>
      </c>
      <c r="D103" s="749" t="s">
        <v>2802</v>
      </c>
      <c r="E103" s="786">
        <v>0.1</v>
      </c>
      <c r="F103" s="2910">
        <v>15</v>
      </c>
      <c r="L103" s="747"/>
      <c r="M103" s="747"/>
    </row>
    <row r="104" spans="1:13" s="773" customFormat="1" ht="26">
      <c r="A104" s="2910">
        <v>32</v>
      </c>
      <c r="B104" s="3688"/>
      <c r="C104" s="749" t="s">
        <v>2803</v>
      </c>
      <c r="D104" s="749" t="s">
        <v>2804</v>
      </c>
      <c r="E104" s="786">
        <v>0.1</v>
      </c>
      <c r="F104" s="2910">
        <v>15</v>
      </c>
      <c r="L104" s="747"/>
      <c r="M104" s="747"/>
    </row>
    <row r="105" spans="1:13" s="773" customFormat="1" ht="26">
      <c r="A105" s="2910">
        <v>33</v>
      </c>
      <c r="B105" s="3688"/>
      <c r="C105" s="749" t="s">
        <v>2805</v>
      </c>
      <c r="D105" s="749" t="s">
        <v>2806</v>
      </c>
      <c r="E105" s="786">
        <v>0.1</v>
      </c>
      <c r="F105" s="2910">
        <v>15</v>
      </c>
      <c r="L105" s="747"/>
      <c r="M105" s="747"/>
    </row>
    <row r="106" spans="1:13" s="773" customFormat="1" ht="26">
      <c r="A106" s="2910">
        <v>34</v>
      </c>
      <c r="B106" s="3689"/>
      <c r="C106" s="749" t="s">
        <v>2807</v>
      </c>
      <c r="D106" s="749" t="s">
        <v>2808</v>
      </c>
      <c r="E106" s="786">
        <v>0.1</v>
      </c>
      <c r="F106" s="2910">
        <v>15</v>
      </c>
      <c r="L106" s="747"/>
      <c r="M106" s="747"/>
    </row>
    <row r="107" spans="1:13" s="773" customFormat="1" ht="26">
      <c r="A107" s="2910">
        <v>35</v>
      </c>
      <c r="B107" s="3687" t="s">
        <v>493</v>
      </c>
      <c r="C107" s="2910" t="s">
        <v>494</v>
      </c>
      <c r="D107" s="749" t="s">
        <v>2809</v>
      </c>
      <c r="E107" s="786">
        <v>0.15</v>
      </c>
      <c r="F107" s="2910">
        <v>20</v>
      </c>
      <c r="L107" s="747"/>
      <c r="M107" s="747"/>
    </row>
    <row r="108" spans="1:13" s="773" customFormat="1" ht="26">
      <c r="A108" s="2910">
        <v>36</v>
      </c>
      <c r="B108" s="3688"/>
      <c r="C108" s="2910" t="s">
        <v>2811</v>
      </c>
      <c r="D108" s="749" t="s">
        <v>2812</v>
      </c>
      <c r="E108" s="786">
        <v>0.15</v>
      </c>
      <c r="F108" s="2910">
        <v>20</v>
      </c>
      <c r="L108" s="747"/>
      <c r="M108" s="747"/>
    </row>
    <row r="109" spans="1:13" s="773" customFormat="1" ht="26">
      <c r="A109" s="2910">
        <v>37</v>
      </c>
      <c r="B109" s="3688"/>
      <c r="C109" s="2910" t="s">
        <v>2810</v>
      </c>
      <c r="D109" s="749" t="s">
        <v>2817</v>
      </c>
      <c r="E109" s="786">
        <v>0.15</v>
      </c>
      <c r="F109" s="2910">
        <v>20</v>
      </c>
      <c r="L109" s="747"/>
      <c r="M109" s="747"/>
    </row>
    <row r="110" spans="1:13" s="773" customFormat="1">
      <c r="A110" s="2910">
        <v>38</v>
      </c>
      <c r="B110" s="3688"/>
      <c r="C110" s="2910" t="s">
        <v>2813</v>
      </c>
      <c r="D110" s="749" t="s">
        <v>2818</v>
      </c>
      <c r="E110" s="786">
        <v>0.1</v>
      </c>
      <c r="F110" s="2910">
        <v>15</v>
      </c>
      <c r="L110" s="747"/>
      <c r="M110" s="747"/>
    </row>
    <row r="111" spans="1:13" s="773" customFormat="1" ht="26">
      <c r="A111" s="2910">
        <v>39</v>
      </c>
      <c r="B111" s="3688"/>
      <c r="C111" s="2910" t="s">
        <v>2814</v>
      </c>
      <c r="D111" s="749" t="s">
        <v>2815</v>
      </c>
      <c r="E111" s="786">
        <v>0.1</v>
      </c>
      <c r="F111" s="2910">
        <v>15</v>
      </c>
      <c r="L111" s="747"/>
      <c r="M111" s="747"/>
    </row>
    <row r="112" spans="1:13" s="773" customFormat="1" ht="26">
      <c r="A112" s="2910">
        <v>40</v>
      </c>
      <c r="B112" s="3689"/>
      <c r="C112" s="2910" t="s">
        <v>2816</v>
      </c>
      <c r="D112" s="749" t="s">
        <v>2819</v>
      </c>
      <c r="E112" s="786">
        <v>0.1</v>
      </c>
      <c r="F112" s="2910">
        <v>15</v>
      </c>
      <c r="L112" s="747"/>
      <c r="M112" s="747"/>
    </row>
    <row r="113" spans="1:6" s="773" customFormat="1" ht="26">
      <c r="A113" s="2910">
        <v>41</v>
      </c>
      <c r="B113" s="3686" t="s">
        <v>495</v>
      </c>
      <c r="C113" s="2910" t="s">
        <v>496</v>
      </c>
      <c r="D113" s="749" t="s">
        <v>497</v>
      </c>
      <c r="E113" s="786">
        <v>0.1</v>
      </c>
      <c r="F113" s="2910">
        <v>15</v>
      </c>
    </row>
    <row r="114" spans="1:6" s="773" customFormat="1">
      <c r="A114" s="2910">
        <v>42</v>
      </c>
      <c r="B114" s="3686"/>
      <c r="C114" s="2910" t="s">
        <v>498</v>
      </c>
      <c r="D114" s="749" t="s">
        <v>499</v>
      </c>
      <c r="E114" s="786">
        <v>0.1</v>
      </c>
      <c r="F114" s="2910">
        <v>15</v>
      </c>
    </row>
    <row r="115" spans="1:6" s="773" customFormat="1" ht="26">
      <c r="A115" s="2910">
        <v>43</v>
      </c>
      <c r="B115" s="3686"/>
      <c r="C115" s="2910" t="s">
        <v>2820</v>
      </c>
      <c r="D115" s="749" t="s">
        <v>2821</v>
      </c>
      <c r="E115" s="786">
        <v>0.1</v>
      </c>
      <c r="F115" s="2910">
        <v>15</v>
      </c>
    </row>
    <row r="116" spans="1:6" s="773" customFormat="1" ht="26">
      <c r="A116" s="2910">
        <v>44</v>
      </c>
      <c r="B116" s="3687" t="s">
        <v>500</v>
      </c>
      <c r="C116" s="2910" t="s">
        <v>2822</v>
      </c>
      <c r="D116" s="749" t="s">
        <v>2823</v>
      </c>
      <c r="E116" s="786">
        <v>0.1</v>
      </c>
      <c r="F116" s="2910">
        <v>15</v>
      </c>
    </row>
    <row r="117" spans="1:6" s="773" customFormat="1" ht="26">
      <c r="A117" s="2910">
        <v>45</v>
      </c>
      <c r="B117" s="3689"/>
      <c r="C117" s="749" t="s">
        <v>2824</v>
      </c>
      <c r="D117" s="749" t="s">
        <v>2825</v>
      </c>
      <c r="E117" s="786">
        <v>0.1</v>
      </c>
      <c r="F117" s="2910">
        <v>15</v>
      </c>
    </row>
    <row r="118" spans="1:6" s="773" customFormat="1" ht="26">
      <c r="A118" s="2910">
        <v>46</v>
      </c>
      <c r="B118" s="3687" t="s">
        <v>501</v>
      </c>
      <c r="C118" s="2910" t="s">
        <v>2828</v>
      </c>
      <c r="D118" s="749" t="s">
        <v>2826</v>
      </c>
      <c r="E118" s="786">
        <v>0.1</v>
      </c>
      <c r="F118" s="2910">
        <v>15</v>
      </c>
    </row>
    <row r="119" spans="1:6" s="773" customFormat="1" ht="26">
      <c r="A119" s="2910">
        <v>47</v>
      </c>
      <c r="B119" s="3689"/>
      <c r="C119" s="2910" t="s">
        <v>2827</v>
      </c>
      <c r="D119" s="749" t="s">
        <v>2829</v>
      </c>
      <c r="E119" s="786">
        <v>0.1</v>
      </c>
      <c r="F119" s="2910">
        <v>15</v>
      </c>
    </row>
    <row r="120" spans="1:6" s="773" customFormat="1" ht="26">
      <c r="A120" s="2910">
        <v>48</v>
      </c>
      <c r="B120" s="3687" t="s">
        <v>502</v>
      </c>
      <c r="C120" s="2910" t="s">
        <v>503</v>
      </c>
      <c r="D120" s="749" t="s">
        <v>504</v>
      </c>
      <c r="E120" s="786">
        <v>0.1</v>
      </c>
      <c r="F120" s="2910">
        <v>15</v>
      </c>
    </row>
    <row r="121" spans="1:6" s="773" customFormat="1">
      <c r="A121" s="2910">
        <v>49</v>
      </c>
      <c r="B121" s="3689"/>
      <c r="C121" s="2910" t="s">
        <v>2830</v>
      </c>
      <c r="D121" s="749" t="s">
        <v>2831</v>
      </c>
      <c r="E121" s="786">
        <v>0.1</v>
      </c>
      <c r="F121" s="2910">
        <v>15</v>
      </c>
    </row>
    <row r="122" spans="1:6" s="773" customFormat="1" ht="26">
      <c r="A122" s="2910">
        <v>50</v>
      </c>
      <c r="B122" s="3686" t="s">
        <v>505</v>
      </c>
      <c r="C122" s="2910" t="s">
        <v>506</v>
      </c>
      <c r="D122" s="749" t="s">
        <v>507</v>
      </c>
      <c r="E122" s="786">
        <v>0.1</v>
      </c>
      <c r="F122" s="2910">
        <v>15</v>
      </c>
    </row>
    <row r="123" spans="1:6" s="773" customFormat="1" ht="26">
      <c r="A123" s="2910">
        <v>51</v>
      </c>
      <c r="B123" s="3686"/>
      <c r="C123" s="2910" t="s">
        <v>508</v>
      </c>
      <c r="D123" s="749" t="s">
        <v>509</v>
      </c>
      <c r="E123" s="786">
        <v>0.1</v>
      </c>
      <c r="F123" s="2910">
        <v>15</v>
      </c>
    </row>
    <row r="124" spans="1:6" s="773" customFormat="1" ht="26">
      <c r="A124" s="2910">
        <v>52</v>
      </c>
      <c r="B124" s="3686" t="s">
        <v>510</v>
      </c>
      <c r="C124" s="2910" t="s">
        <v>511</v>
      </c>
      <c r="D124" s="749" t="s">
        <v>2832</v>
      </c>
      <c r="E124" s="786">
        <v>0.1</v>
      </c>
      <c r="F124" s="2910">
        <v>15</v>
      </c>
    </row>
    <row r="125" spans="1:6" s="773" customFormat="1" ht="26">
      <c r="A125" s="2910">
        <v>53</v>
      </c>
      <c r="B125" s="3686"/>
      <c r="C125" s="2910" t="s">
        <v>512</v>
      </c>
      <c r="D125" s="749" t="s">
        <v>513</v>
      </c>
      <c r="E125" s="786">
        <v>0.1</v>
      </c>
      <c r="F125" s="2910">
        <v>15</v>
      </c>
    </row>
    <row r="126" spans="1:6" s="773" customFormat="1" ht="26">
      <c r="A126" s="2910">
        <v>54</v>
      </c>
      <c r="B126" s="2910" t="s">
        <v>514</v>
      </c>
      <c r="C126" s="2910" t="s">
        <v>515</v>
      </c>
      <c r="D126" s="749" t="s">
        <v>516</v>
      </c>
      <c r="E126" s="786">
        <v>0.1</v>
      </c>
      <c r="F126" s="2910">
        <v>15</v>
      </c>
    </row>
    <row r="127" spans="1:6" s="773" customFormat="1">
      <c r="A127" s="2910">
        <v>55</v>
      </c>
      <c r="B127" s="3686" t="s">
        <v>518</v>
      </c>
      <c r="C127" s="2910" t="s">
        <v>521</v>
      </c>
      <c r="D127" s="749" t="s">
        <v>522</v>
      </c>
      <c r="E127" s="786">
        <v>0.1</v>
      </c>
      <c r="F127" s="2910">
        <v>15</v>
      </c>
    </row>
    <row r="128" spans="1:6" s="773" customFormat="1">
      <c r="A128" s="2910">
        <v>56</v>
      </c>
      <c r="B128" s="3686"/>
      <c r="C128" s="2910" t="s">
        <v>523</v>
      </c>
      <c r="D128" s="749" t="s">
        <v>524</v>
      </c>
      <c r="E128" s="786">
        <v>0.1</v>
      </c>
      <c r="F128" s="2910">
        <v>15</v>
      </c>
    </row>
    <row r="129" spans="1:6" s="773" customFormat="1" ht="26">
      <c r="A129" s="2910">
        <v>57</v>
      </c>
      <c r="B129" s="3686"/>
      <c r="C129" s="2910" t="s">
        <v>519</v>
      </c>
      <c r="D129" s="749" t="s">
        <v>520</v>
      </c>
      <c r="E129" s="786">
        <v>0.1</v>
      </c>
      <c r="F129" s="2910">
        <v>15</v>
      </c>
    </row>
    <row r="130" spans="1:6" s="773" customFormat="1" ht="26">
      <c r="A130" s="2910">
        <v>58</v>
      </c>
      <c r="B130" s="3686" t="s">
        <v>517</v>
      </c>
      <c r="C130" s="2910" t="s">
        <v>2833</v>
      </c>
      <c r="D130" s="749" t="s">
        <v>2834</v>
      </c>
      <c r="E130" s="786">
        <v>0.1</v>
      </c>
      <c r="F130" s="2910">
        <v>15</v>
      </c>
    </row>
    <row r="131" spans="1:6" ht="26">
      <c r="A131" s="2910">
        <v>59</v>
      </c>
      <c r="B131" s="3686"/>
      <c r="C131" s="2910" t="s">
        <v>2835</v>
      </c>
      <c r="D131" s="749" t="s">
        <v>2836</v>
      </c>
      <c r="E131" s="786">
        <v>0.1</v>
      </c>
      <c r="F131" s="2910">
        <v>15</v>
      </c>
    </row>
    <row r="132" spans="1:6" ht="26">
      <c r="A132" s="2910">
        <v>60</v>
      </c>
      <c r="B132" s="3687" t="s">
        <v>528</v>
      </c>
      <c r="C132" s="2910" t="s">
        <v>529</v>
      </c>
      <c r="D132" s="749" t="s">
        <v>2839</v>
      </c>
      <c r="E132" s="786">
        <v>0.1</v>
      </c>
      <c r="F132" s="2910">
        <v>15</v>
      </c>
    </row>
    <row r="133" spans="1:6" ht="26">
      <c r="A133" s="2910">
        <v>61</v>
      </c>
      <c r="B133" s="3689"/>
      <c r="C133" s="2910" t="s">
        <v>2837</v>
      </c>
      <c r="D133" s="749" t="s">
        <v>2838</v>
      </c>
      <c r="E133" s="786">
        <v>0.1</v>
      </c>
      <c r="F133" s="2910">
        <v>15</v>
      </c>
    </row>
    <row r="134" spans="1:6" ht="26">
      <c r="A134" s="2910">
        <v>62</v>
      </c>
      <c r="B134" s="2910" t="s">
        <v>525</v>
      </c>
      <c r="C134" s="2910" t="s">
        <v>526</v>
      </c>
      <c r="D134" s="749" t="s">
        <v>527</v>
      </c>
      <c r="E134" s="786">
        <v>0.1</v>
      </c>
      <c r="F134" s="2910">
        <v>15</v>
      </c>
    </row>
    <row r="135" spans="1:6" ht="26">
      <c r="A135" s="2910">
        <v>63</v>
      </c>
      <c r="B135" s="3686" t="s">
        <v>530</v>
      </c>
      <c r="C135" s="2910" t="s">
        <v>531</v>
      </c>
      <c r="D135" s="749" t="s">
        <v>2841</v>
      </c>
      <c r="E135" s="786">
        <v>0.1</v>
      </c>
      <c r="F135" s="2910">
        <v>15</v>
      </c>
    </row>
    <row r="136" spans="1:6">
      <c r="A136" s="2910">
        <v>64</v>
      </c>
      <c r="B136" s="3686"/>
      <c r="C136" s="2910" t="s">
        <v>2840</v>
      </c>
      <c r="D136" s="749" t="s">
        <v>2842</v>
      </c>
      <c r="E136" s="786">
        <v>0.1</v>
      </c>
      <c r="F136" s="2910">
        <v>15</v>
      </c>
    </row>
    <row r="137" spans="1:6" ht="2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271" zoomScale="80" zoomScaleNormal="80" workbookViewId="0">
      <selection activeCell="J88" sqref="J1:J1048576"/>
    </sheetView>
  </sheetViews>
  <sheetFormatPr defaultColWidth="9" defaultRowHeight="12"/>
  <cols>
    <col min="1" max="1" width="9" style="3237"/>
    <col min="2" max="13" width="9" style="3235"/>
    <col min="14" max="14" width="15" style="3235" customWidth="1"/>
    <col min="15" max="16384" width="9" style="3235"/>
  </cols>
  <sheetData>
    <row r="1" spans="1:20" s="3250" customFormat="1" ht="15.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5"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SUMPRODUCT((A95:A184=ROUNDDOWN(基准地价修正2022!G3,1))*(B94:M94=基准地价修正2022!G2)*(B95:M184))</f>
        <v>1.2302</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5"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5"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5"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SUMPRODUCT((A371:A460=ROUNDDOWN(基准地价修正2022!G3,1))*(B370:M370=基准地价修正2022!G2)*(B371:M460))</f>
        <v>1.1198999999999999</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5"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0" customWidth="1"/>
    <col min="2" max="2" width="12.453125" style="1470" customWidth="1"/>
    <col min="3" max="3" width="12.08984375" style="1470" customWidth="1"/>
    <col min="4" max="4" width="14.08984375" style="1470" customWidth="1"/>
    <col min="5" max="5" width="12.453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5">
      <c r="A2" s="2014" t="s">
        <v>2357</v>
      </c>
      <c r="B2" s="2428">
        <f ca="1">SUMIF(B6:B13,"&lt;&gt;#ref!",B6:B13)</f>
        <v>0</v>
      </c>
      <c r="C2" s="2014" t="s">
        <v>2358</v>
      </c>
      <c r="D2" s="2014" t="s">
        <v>2359</v>
      </c>
      <c r="E2" s="2438">
        <f ca="1">SUMIF(E6:E13,"&lt;&gt;#ref!",E6:E13)</f>
        <v>0</v>
      </c>
      <c r="F2" s="2618"/>
      <c r="G2" s="2618"/>
      <c r="H2" s="2618"/>
      <c r="I2" s="2618"/>
      <c r="J2" s="2618"/>
      <c r="K2" s="2618"/>
      <c r="L2" s="2618"/>
      <c r="M2" s="2618"/>
      <c r="N2" s="2618"/>
      <c r="O2" s="2618"/>
      <c r="P2" s="2618"/>
    </row>
    <row r="3" spans="1:16" ht="15.5">
      <c r="A3" s="2014" t="s">
        <v>2360</v>
      </c>
      <c r="B3" s="2428" t="e">
        <f ca="1">ROUND(B2*10000/E2,0)</f>
        <v>#DIV/0!</v>
      </c>
      <c r="C3" s="2014" t="s">
        <v>2366</v>
      </c>
      <c r="D3" s="2618"/>
      <c r="E3" s="2618"/>
      <c r="F3" s="2618"/>
      <c r="G3" s="2618"/>
      <c r="H3" s="2618"/>
      <c r="I3" s="2618"/>
      <c r="J3" s="2618"/>
      <c r="K3" s="2618"/>
      <c r="L3" s="2618"/>
      <c r="M3" s="2618"/>
      <c r="N3" s="2618"/>
      <c r="O3" s="2618"/>
      <c r="P3" s="2618"/>
    </row>
    <row r="4" spans="1:16" ht="15.5">
      <c r="A4" s="2619"/>
      <c r="B4" s="2618"/>
      <c r="C4" s="2618"/>
      <c r="D4" s="2618"/>
      <c r="E4" s="2618"/>
      <c r="F4" s="2618"/>
      <c r="G4" s="2618"/>
      <c r="H4" s="2618"/>
      <c r="I4" s="2618"/>
      <c r="J4" s="2618"/>
      <c r="K4" s="2618"/>
      <c r="L4" s="2618"/>
      <c r="M4" s="2618"/>
      <c r="N4" s="2618"/>
      <c r="O4" s="2618"/>
      <c r="P4" s="2618"/>
    </row>
    <row r="5" spans="1:16" ht="30">
      <c r="A5" s="2434" t="s">
        <v>2361</v>
      </c>
      <c r="B5" s="2436" t="s">
        <v>2362</v>
      </c>
      <c r="C5" s="2015"/>
      <c r="D5" s="2618"/>
      <c r="E5" s="2437" t="s">
        <v>2363</v>
      </c>
      <c r="F5" s="2618"/>
      <c r="G5" s="2618"/>
      <c r="H5" s="2618"/>
      <c r="I5" s="2618"/>
      <c r="J5" s="2618"/>
      <c r="K5" s="2618"/>
      <c r="L5" s="2618"/>
      <c r="M5" s="2618"/>
      <c r="N5" s="2618"/>
      <c r="O5" s="2618"/>
      <c r="P5" s="2618"/>
    </row>
    <row r="6" spans="1:16" ht="15.5">
      <c r="A6" s="2435" t="s">
        <v>2364</v>
      </c>
      <c r="B6" s="2428" t="e">
        <f ca="1">SUMIF(INDIRECT("'"&amp;A6&amp;"'"&amp;"!A:A"),"总价",INDIRECT("'"&amp;A6&amp;"'"&amp;"!B:B"))</f>
        <v>#REF!</v>
      </c>
      <c r="C6" s="2014" t="s">
        <v>2358</v>
      </c>
      <c r="D6" s="2618"/>
      <c r="E6" s="2438" t="e">
        <f ca="1">SUMIF(INDIRECT("'"&amp;A6&amp;"'"&amp;"!C:C"),"建筑面积",INDIRECT("'"&amp;A6&amp;"'"&amp;"!D:D"))</f>
        <v>#REF!</v>
      </c>
      <c r="F6" s="2618"/>
      <c r="G6" s="2618"/>
      <c r="H6" s="2618"/>
      <c r="I6" s="2618"/>
      <c r="J6" s="2618"/>
      <c r="K6" s="2618"/>
      <c r="L6" s="2618"/>
      <c r="M6" s="2618"/>
      <c r="N6" s="2618"/>
      <c r="O6" s="2618"/>
      <c r="P6" s="2618"/>
    </row>
    <row r="7" spans="1:16" ht="15.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K1" zoomScaleNormal="100" workbookViewId="0">
      <pane ySplit="12" topLeftCell="A13" activePane="bottomLeft" state="frozen"/>
      <selection pane="bottomLeft" activeCell="AC10" sqref="AC10"/>
    </sheetView>
  </sheetViews>
  <sheetFormatPr defaultColWidth="9" defaultRowHeight="12.5"/>
  <cols>
    <col min="1" max="1" width="9" style="2045"/>
    <col min="2" max="7" width="9" style="2045" customWidth="1"/>
    <col min="8" max="8" width="9" style="2069"/>
    <col min="9" max="9" width="9" style="2045"/>
    <col min="10" max="13" width="9" style="2045" customWidth="1"/>
    <col min="14" max="14" width="2.453125" style="3305" customWidth="1"/>
    <col min="15" max="15" width="9" style="2069" customWidth="1"/>
    <col min="16" max="18" width="9" style="2045" customWidth="1"/>
    <col min="19" max="19" width="2.7265625" style="3305" customWidth="1"/>
    <col min="20" max="20" width="7.08984375" style="2069" customWidth="1"/>
    <col min="21" max="23" width="7.08984375" style="2045" customWidth="1"/>
    <col min="24" max="24" width="2.453125" style="3305" customWidth="1"/>
    <col min="25" max="30" width="9.7265625" style="2045" customWidth="1"/>
    <col min="31" max="31" width="2.453125" style="3305" customWidth="1"/>
    <col min="32" max="37" width="9.453125" style="2045" customWidth="1"/>
    <col min="38" max="16384" width="9" style="2045"/>
  </cols>
  <sheetData>
    <row r="1" spans="1:37" s="2026" customFormat="1" ht="13">
      <c r="B1" s="3700" t="s">
        <v>695</v>
      </c>
      <c r="C1" s="3700"/>
      <c r="D1" s="3700"/>
      <c r="E1" s="3700"/>
      <c r="F1" s="3700"/>
      <c r="G1" s="3700"/>
      <c r="H1" s="3699" t="s">
        <v>696</v>
      </c>
      <c r="I1" s="3699"/>
      <c r="J1" s="3699"/>
      <c r="K1" s="3699"/>
      <c r="L1" s="3699"/>
      <c r="M1" s="3699"/>
      <c r="N1" s="3301"/>
      <c r="O1" s="3699" t="s">
        <v>697</v>
      </c>
      <c r="P1" s="3699"/>
      <c r="Q1" s="3699"/>
      <c r="R1" s="3699"/>
      <c r="S1" s="3301"/>
      <c r="T1" s="3699" t="s">
        <v>698</v>
      </c>
      <c r="U1" s="3699"/>
      <c r="V1" s="3699"/>
      <c r="W1" s="3699"/>
      <c r="X1" s="3301"/>
      <c r="Y1" s="3698" t="s">
        <v>699</v>
      </c>
      <c r="Z1" s="3699"/>
      <c r="AA1" s="3699"/>
      <c r="AB1" s="3699"/>
      <c r="AC1" s="3699"/>
      <c r="AD1" s="3699"/>
      <c r="AE1" s="3301"/>
      <c r="AF1" s="3698" t="s">
        <v>700</v>
      </c>
      <c r="AG1" s="3699"/>
      <c r="AH1" s="3699"/>
      <c r="AI1" s="3699"/>
      <c r="AJ1" s="3699"/>
      <c r="AK1" s="3699"/>
    </row>
    <row r="2" spans="1:37" s="2027" customFormat="1" ht="14.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ht="13">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ht="13">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ht="13">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ht="13">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ht="13">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ht="13">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ht="13">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ht="13">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6">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6"/>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6"/>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6"/>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6"/>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6"/>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6"/>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7"/>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5">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6"/>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6"/>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7"/>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5">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6"/>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6"/>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ht="13">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7"/>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t="13"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ht="13">
      <c r="A92" s="2117" t="s">
        <v>755</v>
      </c>
      <c r="F92" s="2045"/>
      <c r="G92" s="2045"/>
      <c r="H92" s="2045"/>
      <c r="I92" s="2045"/>
      <c r="N92" s="3304"/>
      <c r="O92" s="2119"/>
      <c r="S92" s="3304"/>
      <c r="T92" s="2119"/>
      <c r="X92" s="3304"/>
      <c r="AE92" s="3304"/>
    </row>
    <row r="93" spans="1:31" s="2118" customFormat="1" ht="13">
      <c r="A93" s="2118" t="s">
        <v>756</v>
      </c>
      <c r="F93" s="2045"/>
      <c r="G93" s="2045"/>
      <c r="H93" s="2045"/>
      <c r="I93" s="2045"/>
      <c r="N93" s="3304"/>
      <c r="O93" s="2119"/>
      <c r="S93" s="3304"/>
      <c r="T93" s="2119"/>
      <c r="X93" s="3304"/>
      <c r="AE93" s="3304"/>
    </row>
    <row r="94" spans="1:31" s="2118" customFormat="1" ht="13">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ht="13">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34"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ht="13">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ht="13">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ht="13">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ht="13">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ht="13">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ht="13">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ht="13">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ht="13">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ht="13">
      <c r="A19" s="133"/>
      <c r="B19" s="163"/>
      <c r="C19" s="163"/>
      <c r="D19" s="2019" t="s">
        <v>2379</v>
      </c>
      <c r="E19" s="1335"/>
      <c r="F19" s="1335"/>
      <c r="G19" s="1335"/>
      <c r="H19" s="1069"/>
      <c r="I19" s="163"/>
      <c r="J19" s="163"/>
      <c r="K19" s="163"/>
      <c r="L19" s="163"/>
      <c r="M19" s="163"/>
      <c r="N19" s="163"/>
      <c r="O19" s="163"/>
      <c r="P19" s="163"/>
      <c r="Q19" s="163"/>
      <c r="R19" s="722"/>
      <c r="S19" s="133"/>
    </row>
    <row r="20" spans="1:45" ht="16"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ht="13">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ht="13">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ht="13">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ht="13">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ht="13">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ht="13">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ht="13">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ht="13">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ht="13">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ht="13">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ht="13">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ht="13">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ht="13">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ht="13">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ht="13">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ht="13">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ht="13">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ht="13">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ht="13">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ht="13">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ht="13">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ht="13">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ht="13">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ht="13">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ht="13">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ht="13">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ht="13">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ht="13">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ht="13">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ht="13">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ht="13">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ht="13">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ht="13">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ht="13">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ht="13">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ht="13">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ht="13">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ht="13">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ht="13">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ht="13">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ht="13">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ht="13">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ht="13">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ht="13">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ht="13">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ht="13">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ht="13">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ht="13">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ht="13">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ht="13">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ht="13">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ht="13">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ht="13">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ht="13">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ht="13">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ht="13">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ht="13">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ht="13">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ht="13">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ht="13">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ht="13">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ht="13">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ht="13">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ht="13">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ht="13">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ht="13">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ht="13">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ht="13">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ht="13">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ht="13">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ht="13">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ht="13">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ht="13">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ht="13">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ht="13">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ht="13">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ht="13">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ht="13">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ht="13">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ht="13">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ht="13">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ht="13">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ht="13">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ht="13">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ht="13">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ht="13">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ht="13">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ht="13">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ht="13">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ht="13">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ht="13">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ht="13">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ht="13">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ht="13">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ht="13">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ht="13">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ht="13">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ht="13">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ht="13">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ht="13">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ht="13">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ht="13">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ht="13">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ht="13">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ht="13">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ht="13">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ht="13">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ht="13">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ht="13">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ht="13">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ht="13">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ht="13">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ht="13">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ht="13">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ht="13">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ht="13">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ht="13">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ht="13">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ht="13">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ht="13">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ht="13">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ht="13">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ht="13">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ht="13">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ht="13">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ht="13">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ht="13">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ht="13">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ht="13">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ht="13">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ht="13">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ht="13">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ht="13">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ht="13">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ht="13">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ht="13">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ht="13">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ht="13">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ht="13">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ht="13">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ht="13">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ht="13">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ht="13">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ht="13">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ht="13">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ht="13">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ht="13">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ht="13">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ht="13">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ht="13">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ht="13">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ht="13">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ht="13">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ht="13">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ht="13">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ht="13">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ht="13">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ht="13">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ht="13">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ht="13">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ht="13">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ht="13">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ht="13">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ht="13">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ht="13">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ht="13">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ht="13">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ht="13">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ht="13">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ht="13">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ht="13">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ht="13">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ht="13">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ht="13">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ht="13">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ht="13">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ht="13">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ht="13">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ht="13">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ht="13">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ht="13">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ht="13">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ht="13">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ht="13">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ht="13">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ht="13">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ht="13">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ht="13">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ht="13">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ht="13">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ht="13">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ht="13">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ht="13">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ht="13">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ht="13">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ht="13">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ht="13">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ht="13">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ht="13">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ht="13">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ht="13">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ht="13">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ht="13">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ht="13">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ht="13">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ht="13">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ht="13">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ht="13">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ht="13">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ht="13">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ht="13">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ht="13">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ht="13">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ht="13">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ht="13">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ht="13">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ht="13">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ht="13">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ht="13">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ht="13">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ht="13">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ht="13">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ht="13">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ht="13">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ht="13">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ht="13">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ht="13">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ht="13">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ht="13">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ht="13">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ht="13">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ht="13">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ht="13">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ht="13">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ht="13">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ht="13">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ht="13">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ht="13">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ht="13">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ht="13">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ht="13">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ht="13">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ht="13">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ht="13">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ht="13">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ht="13">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ht="13">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ht="13">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ht="13">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ht="13">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ht="13">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ht="13">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ht="13">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ht="13">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ht="13">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ht="13">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ht="13">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ht="13">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ht="13">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ht="13">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ht="13">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ht="13">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ht="13">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ht="13">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ht="13">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ht="13">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ht="13">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ht="13">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ht="13">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ht="13">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ht="13">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ht="13">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ht="13">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ht="13">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ht="13">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ht="13">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ht="13">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ht="13">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ht="13">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ht="13">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ht="13">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ht="13">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ht="13">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ht="13">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ht="13">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ht="13">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ht="13">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ht="13">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ht="13">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ht="13">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ht="13">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ht="13">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ht="13">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ht="13">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ht="13">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ht="13">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ht="13">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ht="13">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ht="13">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ht="13">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ht="13">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ht="13">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ht="13">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ht="13">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ht="13">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ht="13">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ht="13">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ht="13">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ht="13">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ht="13">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ht="13">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ht="13">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ht="13">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ht="13">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ht="13">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ht="13">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ht="13">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ht="13">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ht="13">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ht="13">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ht="13">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ht="13">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ht="13">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ht="13">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ht="13">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ht="13">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ht="13">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ht="13">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ht="13">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ht="13">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ht="13">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ht="13">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ht="13">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ht="13">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ht="13">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ht="13">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ht="13">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ht="13">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ht="13">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ht="13">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ht="13">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ht="13">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ht="13">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ht="13">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ht="13">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ht="13">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ht="13">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ht="13">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ht="13">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ht="13">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ht="13">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ht="13">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ht="13">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ht="13">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ht="13">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ht="13">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ht="13">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ht="13">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ht="13">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ht="13">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ht="13">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ht="13">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ht="13">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ht="13">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ht="13">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ht="13">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ht="13">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ht="13">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ht="13">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ht="13">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ht="13">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ht="13">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ht="13">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ht="13">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ht="13">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ht="13">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ht="13">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ht="13">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ht="13">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ht="13">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ht="13">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ht="13">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ht="13">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ht="13">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ht="13">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ht="13">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ht="13">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ht="13">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ht="13">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ht="13">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ht="13">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ht="13">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ht="13">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ht="13">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ht="13">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ht="13">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ht="13">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ht="13">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ht="13">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ht="13">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ht="13">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ht="13">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ht="13">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ht="13">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ht="13">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ht="13">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ht="13">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ht="13">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ht="13">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ht="13">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ht="13">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ht="13">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ht="13">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ht="13">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ht="13">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ht="13">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ht="13">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ht="13">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ht="13">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ht="13">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ht="13">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ht="13">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ht="13">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ht="13">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ht="13">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ht="13">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ht="13">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ht="13">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ht="13">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ht="13">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ht="13">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ht="13">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ht="13">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ht="13">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ht="13">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ht="13">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ht="13">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ht="13">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ht="13">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ht="13">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ht="13">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ht="13">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ht="13">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ht="13">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ht="13">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ht="13">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ht="13">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ht="13">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ht="13">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ht="13">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ht="13">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ht="13">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ht="13">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ht="13">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ht="13">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ht="13">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ht="13">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ht="13">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ht="13">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ht="13">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ht="13">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ht="13">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ht="13">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ht="13">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ht="13">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ht="13">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ht="13">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ht="13">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ht="13">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ht="13">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ht="13">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ht="13">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ht="13">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ht="13">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ht="13">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ht="13">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ht="13">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ht="13">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ht="13">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ht="13">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ht="13">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ht="13">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ht="13">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ht="13">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ht="13">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ht="13">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ht="13">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ht="13">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ht="13">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ht="13">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ht="13">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ht="13">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ht="13">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ht="13">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ht="13">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ht="13">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ht="13">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ht="13">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ht="13">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ht="13">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ht="13">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ht="13">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85" customWidth="1"/>
    <col min="2" max="2" width="37.26953125" style="1485" customWidth="1"/>
    <col min="3" max="3" width="11.36328125" style="1485" customWidth="1"/>
    <col min="4" max="4" width="31.7265625" style="1485" customWidth="1"/>
    <col min="5" max="5" width="0.453125" style="1485" customWidth="1"/>
    <col min="6" max="7" width="13" style="1485" customWidth="1"/>
    <col min="8" max="16384" width="9" style="1485"/>
  </cols>
  <sheetData>
    <row r="1" spans="1:5" ht="18">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8.5" thickBot="1">
      <c r="A4" s="1486"/>
      <c r="B4" s="3376" t="s">
        <v>1159</v>
      </c>
      <c r="C4" s="3376"/>
      <c r="D4" s="3376"/>
      <c r="E4" s="1486"/>
    </row>
    <row r="5" spans="1:5" ht="16" thickTop="1">
      <c r="A5" s="1484"/>
      <c r="B5" s="3374" t="s">
        <v>1151</v>
      </c>
      <c r="C5" s="1487" t="s">
        <v>1152</v>
      </c>
      <c r="D5" s="864" t="e">
        <f ca="1">结果表!H101</f>
        <v>#REF!</v>
      </c>
      <c r="E5" s="1484"/>
    </row>
    <row r="6" spans="1:5" ht="15.5">
      <c r="A6" s="1484"/>
      <c r="B6" s="3374"/>
      <c r="C6" s="1487" t="s">
        <v>1153</v>
      </c>
      <c r="D6" s="864" t="e">
        <f ca="1">NUMBERSTRING(INT(D5*10000),2)&amp;"元整"</f>
        <v>#REF!</v>
      </c>
      <c r="E6" s="1484"/>
    </row>
    <row r="7" spans="1:5" ht="15.5">
      <c r="A7" s="1484"/>
      <c r="B7" s="3379"/>
      <c r="C7" s="1488" t="s">
        <v>1154</v>
      </c>
      <c r="D7" s="865" t="e">
        <f ca="1">结果表!H102</f>
        <v>#REF!</v>
      </c>
      <c r="E7" s="1484"/>
    </row>
    <row r="8" spans="1:5" ht="15.5">
      <c r="A8" s="1484"/>
      <c r="B8" s="3380" t="str">
        <f>结果表!E103</f>
        <v>2.估价师知悉的法定优先受偿款</v>
      </c>
      <c r="C8" s="1489" t="s">
        <v>1155</v>
      </c>
      <c r="D8" s="865">
        <f>结果表!H103</f>
        <v>0</v>
      </c>
      <c r="E8" s="1484"/>
    </row>
    <row r="9" spans="1:5" ht="15.5">
      <c r="A9" s="1484"/>
      <c r="B9" s="3382"/>
      <c r="C9" s="1487" t="s">
        <v>1153</v>
      </c>
      <c r="D9" s="864" t="str">
        <f>NUMBERSTRING(INT(D8*10000),2)&amp;"元整"</f>
        <v>零元整</v>
      </c>
      <c r="E9" s="1484"/>
    </row>
    <row r="10" spans="1:5" ht="16">
      <c r="A10" s="1484"/>
      <c r="B10" s="1490" t="s">
        <v>1158</v>
      </c>
      <c r="C10" s="1491" t="s">
        <v>1156</v>
      </c>
      <c r="D10" s="866">
        <f>结果表!H104</f>
        <v>0</v>
      </c>
      <c r="E10" s="1484"/>
    </row>
    <row r="11" spans="1:5" ht="16">
      <c r="A11" s="1484"/>
      <c r="B11" s="1490" t="s">
        <v>1160</v>
      </c>
      <c r="C11" s="1491" t="s">
        <v>1161</v>
      </c>
      <c r="D11" s="866">
        <f>结果表!H105</f>
        <v>0</v>
      </c>
      <c r="E11" s="1484"/>
    </row>
    <row r="12" spans="1:5" ht="16">
      <c r="A12" s="1484"/>
      <c r="B12" s="1490" t="s">
        <v>1162</v>
      </c>
      <c r="C12" s="1491" t="s">
        <v>1161</v>
      </c>
      <c r="D12" s="866">
        <f>结果表!H106</f>
        <v>0</v>
      </c>
      <c r="E12" s="1484"/>
    </row>
    <row r="13" spans="1:5" ht="15.5">
      <c r="A13" s="1484"/>
      <c r="B13" s="3373" t="str">
        <f>结果表!E107</f>
        <v>3.房地产抵押价值</v>
      </c>
      <c r="C13" s="1492" t="s">
        <v>1152</v>
      </c>
      <c r="D13" s="867" t="e">
        <f ca="1">结果表!H107</f>
        <v>#REF!</v>
      </c>
      <c r="E13" s="1484"/>
    </row>
    <row r="14" spans="1:5" ht="15.5">
      <c r="A14" s="1484"/>
      <c r="B14" s="3374"/>
      <c r="C14" s="1487" t="s">
        <v>1153</v>
      </c>
      <c r="D14" s="864" t="e">
        <f ca="1">NUMBERSTRING(INT(D13*10000),2)&amp;"元整"</f>
        <v>#REF!</v>
      </c>
      <c r="E14" s="1484"/>
    </row>
    <row r="15" spans="1:5" ht="15.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5">
      <c r="A17" s="1484"/>
      <c r="B17" s="3381"/>
      <c r="C17" s="1487" t="s">
        <v>1165</v>
      </c>
      <c r="D17" s="864" t="e">
        <f>NUMBERSTRING(INT(D16*10000),2)&amp;"元整"</f>
        <v>#VALUE!</v>
      </c>
      <c r="E17" s="1484"/>
    </row>
    <row r="18" spans="1:5" ht="15.5">
      <c r="A18" s="1484"/>
      <c r="B18" s="3382"/>
      <c r="C18" s="1488" t="s">
        <v>1154</v>
      </c>
      <c r="D18" s="873" t="str">
        <f>结果表!H110</f>
        <v>——</v>
      </c>
      <c r="E18" s="1484"/>
    </row>
    <row r="19" spans="1:5" ht="15.5">
      <c r="A19" s="1484"/>
      <c r="B19" s="3373" t="str">
        <f>结果表!E111</f>
        <v>——</v>
      </c>
      <c r="C19" s="1492" t="s">
        <v>1152</v>
      </c>
      <c r="D19" s="865" t="str">
        <f>结果表!H111</f>
        <v>——</v>
      </c>
      <c r="E19" s="1484"/>
    </row>
    <row r="20" spans="1:5" ht="15.5">
      <c r="A20" s="1484"/>
      <c r="B20" s="3374"/>
      <c r="C20" s="1487" t="s">
        <v>1165</v>
      </c>
      <c r="D20" s="864" t="e">
        <f>NUMBERSTRING(INT(D19*10000),2)&amp;"元整"</f>
        <v>#VALUE!</v>
      </c>
      <c r="E20" s="1484"/>
    </row>
    <row r="21" spans="1:5" ht="16" thickBot="1">
      <c r="A21" s="1484"/>
      <c r="B21" s="3375"/>
      <c r="C21" s="1494" t="s">
        <v>1163</v>
      </c>
      <c r="D21" s="874" t="str">
        <f>结果表!H112</f>
        <v>——</v>
      </c>
      <c r="E21" s="1484"/>
    </row>
    <row r="22" spans="1:5" ht="14.5" thickTop="1">
      <c r="A22" s="1484"/>
      <c r="B22" s="1495" t="s">
        <v>1166</v>
      </c>
      <c r="C22" s="1484"/>
      <c r="D22" s="1484"/>
      <c r="E22" s="1484"/>
    </row>
    <row r="23" spans="1:5">
      <c r="A23" s="1484"/>
      <c r="B23" s="1484"/>
      <c r="C23" s="1484"/>
      <c r="D23" s="1484"/>
      <c r="E23" s="1484"/>
    </row>
    <row r="24" spans="1:5" ht="1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1" customWidth="1"/>
    <col min="2" max="2" width="29.26953125" style="253" customWidth="1"/>
    <col min="3" max="3" width="12.08984375" style="253" customWidth="1"/>
    <col min="4" max="5" width="11.26953125" style="274" customWidth="1"/>
    <col min="6" max="6" width="9.453125" style="253" customWidth="1"/>
    <col min="7" max="7" width="31.90625" style="253" customWidth="1"/>
    <col min="8" max="254" width="9" style="253" customWidth="1"/>
    <col min="255" max="16384" width="8.36328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ht="13">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6">
      <c r="A25" s="794" t="s">
        <v>581</v>
      </c>
      <c r="B25" s="217" t="s">
        <v>663</v>
      </c>
      <c r="C25" s="1112" t="e">
        <f ca="1">ROUND(IF('数据-取费表'!B22&lt;=1,C20*F22*'数据-取费表'!B23/2,C20*(POWER((1+F22),'数据-取费表'!B23/2)-1)),0)</f>
        <v>#VALUE!</v>
      </c>
      <c r="D25" s="240"/>
      <c r="E25" s="243"/>
      <c r="F25" s="241"/>
      <c r="G25" s="244" t="s">
        <v>110</v>
      </c>
    </row>
    <row r="26" spans="1:7" s="216" customFormat="1" ht="13">
      <c r="A26" s="794" t="s">
        <v>583</v>
      </c>
      <c r="B26" s="217" t="s">
        <v>665</v>
      </c>
      <c r="C26" s="240" t="e">
        <f ca="1">ROUND(IF('数据-取费表'!B22&lt;=1,F21*F22*'数据-取费表'!B23/2,F21*(POWER((1+F22),'数据-取费表'!B23/2)-1)),4)</f>
        <v>#VALUE!</v>
      </c>
      <c r="D26" s="240"/>
      <c r="E26" s="243"/>
      <c r="F26" s="241"/>
      <c r="G26" s="245"/>
    </row>
    <row r="27" spans="1:7" s="216" customFormat="1" ht="27">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6">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6">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5">
      <c r="B55" s="272" t="s">
        <v>66</v>
      </c>
      <c r="C55" s="273"/>
    </row>
    <row r="56" spans="1:7" ht="13">
      <c r="B56" s="275" t="s">
        <v>67</v>
      </c>
      <c r="C56" s="276" t="e">
        <f ca="1">ROUND(C51/C52,3)</f>
        <v>#VALUE!</v>
      </c>
    </row>
    <row r="57" spans="1:7" ht="13">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25" zoomScale="80" zoomScaleNormal="90" zoomScaleSheetLayoutView="80" workbookViewId="0">
      <selection activeCell="D45" sqref="D45"/>
    </sheetView>
  </sheetViews>
  <sheetFormatPr defaultColWidth="8.90625" defaultRowHeight="12"/>
  <cols>
    <col min="1" max="1" width="9.6328125" style="3182" customWidth="1"/>
    <col min="2" max="2" width="18.6328125" style="3182" customWidth="1"/>
    <col min="3" max="6" width="10.26953125" style="3182" customWidth="1"/>
    <col min="7" max="7" width="8.90625" style="3182"/>
    <col min="8" max="8" width="8.90625" style="3178"/>
    <col min="9" max="9" width="13.36328125" style="3178" customWidth="1"/>
    <col min="10" max="13" width="13.36328125" style="3182" customWidth="1"/>
    <col min="14" max="14" width="18.26953125" style="3182" customWidth="1"/>
    <col min="15" max="17" width="15.08984375" style="3182" customWidth="1"/>
    <col min="18" max="20" width="11.453125" style="3182" customWidth="1"/>
    <col min="21" max="16384" width="8.90625" style="3182"/>
  </cols>
  <sheetData>
    <row r="1" spans="1:20" ht="12.5"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5"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5"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5"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5"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5"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5"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5"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5"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5"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5"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5"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5"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5"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5"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5"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5"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5"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5"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5"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5"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5"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97" workbookViewId="0">
      <selection activeCell="B87" sqref="B87:G126"/>
    </sheetView>
  </sheetViews>
  <sheetFormatPr defaultColWidth="8.90625" defaultRowHeight="14"/>
  <cols>
    <col min="1" max="1" width="12.6328125" style="2889" customWidth="1"/>
    <col min="2" max="2" width="20" style="2889" customWidth="1"/>
    <col min="3" max="7" width="8.90625" style="3157"/>
    <col min="8" max="16384" width="8.90625" style="2880"/>
  </cols>
  <sheetData>
    <row r="1" spans="1:7">
      <c r="A1" s="3716" t="s">
        <v>626</v>
      </c>
      <c r="B1" s="3716"/>
    </row>
    <row r="2" spans="1:7" ht="14.5" thickBot="1">
      <c r="A2" s="2912"/>
      <c r="B2" s="2912"/>
    </row>
    <row r="3" spans="1:7" ht="14.5" thickBot="1">
      <c r="A3" s="2912"/>
      <c r="B3" s="2912"/>
      <c r="C3" s="2881" t="s">
        <v>629</v>
      </c>
      <c r="D3" s="2881" t="s">
        <v>630</v>
      </c>
      <c r="E3" s="2881" t="s">
        <v>631</v>
      </c>
      <c r="F3" s="2881" t="s">
        <v>182</v>
      </c>
      <c r="G3" s="2881" t="s">
        <v>2737</v>
      </c>
    </row>
    <row r="4" spans="1:7" ht="14.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240" customWidth="1"/>
    <col min="2" max="2" width="13.26953125" style="1246" customWidth="1"/>
    <col min="3" max="3" width="15.6328125" style="1246" customWidth="1"/>
    <col min="4" max="4" width="9.36328125" style="1246" bestFit="1" customWidth="1"/>
    <col min="5" max="5" width="13.453125" style="1246" customWidth="1"/>
    <col min="6" max="6" width="9" style="1246"/>
    <col min="7" max="7" width="9.36328125" style="1246" bestFit="1" customWidth="1"/>
    <col min="8" max="8" width="12.26953125" style="1246" customWidth="1"/>
    <col min="9" max="9" width="9" style="1246"/>
    <col min="10" max="10" width="9.36328125" style="1246" bestFit="1" customWidth="1"/>
    <col min="11" max="11" width="4" style="1240" customWidth="1"/>
    <col min="12" max="12" width="5.08984375" style="1246" customWidth="1"/>
    <col min="13" max="13" width="13.7265625" style="1246" customWidth="1"/>
    <col min="14" max="256" width="9" style="1246"/>
    <col min="257" max="257" width="4.90625" style="1237" customWidth="1"/>
    <col min="258" max="258" width="13.26953125" style="1237" customWidth="1"/>
    <col min="259" max="259" width="15.6328125" style="1237" customWidth="1"/>
    <col min="260" max="260" width="9.36328125" style="1237" bestFit="1" customWidth="1"/>
    <col min="261" max="261" width="13.453125" style="1237" customWidth="1"/>
    <col min="262" max="262" width="9" style="1237"/>
    <col min="263" max="263" width="9.36328125" style="1237" bestFit="1" customWidth="1"/>
    <col min="264" max="265" width="9" style="1237"/>
    <col min="266" max="266" width="9.36328125" style="1237" bestFit="1" customWidth="1"/>
    <col min="267" max="267" width="4" style="1237" customWidth="1"/>
    <col min="268" max="268" width="5.08984375" style="1237" customWidth="1"/>
    <col min="269" max="269" width="13.7265625" style="1237" customWidth="1"/>
    <col min="270" max="512" width="9" style="1237"/>
    <col min="513" max="513" width="4.90625" style="1237" customWidth="1"/>
    <col min="514" max="514" width="13.26953125" style="1237" customWidth="1"/>
    <col min="515" max="515" width="15.6328125" style="1237" customWidth="1"/>
    <col min="516" max="516" width="9.36328125" style="1237" bestFit="1" customWidth="1"/>
    <col min="517" max="517" width="13.453125" style="1237" customWidth="1"/>
    <col min="518" max="518" width="9" style="1237"/>
    <col min="519" max="519" width="9.36328125" style="1237" bestFit="1" customWidth="1"/>
    <col min="520" max="521" width="9" style="1237"/>
    <col min="522" max="522" width="9.36328125" style="1237" bestFit="1" customWidth="1"/>
    <col min="523" max="523" width="4" style="1237" customWidth="1"/>
    <col min="524" max="524" width="5.08984375" style="1237" customWidth="1"/>
    <col min="525" max="525" width="13.7265625" style="1237" customWidth="1"/>
    <col min="526" max="768" width="9" style="1237"/>
    <col min="769" max="769" width="4.90625" style="1237" customWidth="1"/>
    <col min="770" max="770" width="13.26953125" style="1237" customWidth="1"/>
    <col min="771" max="771" width="15.6328125" style="1237" customWidth="1"/>
    <col min="772" max="772" width="9.36328125" style="1237" bestFit="1" customWidth="1"/>
    <col min="773" max="773" width="13.453125" style="1237" customWidth="1"/>
    <col min="774" max="774" width="9" style="1237"/>
    <col min="775" max="775" width="9.36328125" style="1237" bestFit="1" customWidth="1"/>
    <col min="776" max="777" width="9" style="1237"/>
    <col min="778" max="778" width="9.36328125" style="1237" bestFit="1" customWidth="1"/>
    <col min="779" max="779" width="4" style="1237" customWidth="1"/>
    <col min="780" max="780" width="5.08984375" style="1237" customWidth="1"/>
    <col min="781" max="781" width="13.7265625" style="1237" customWidth="1"/>
    <col min="782" max="1024" width="9" style="1237"/>
    <col min="1025" max="1025" width="4.90625" style="1237" customWidth="1"/>
    <col min="1026" max="1026" width="13.26953125" style="1237" customWidth="1"/>
    <col min="1027" max="1027" width="15.6328125" style="1237" customWidth="1"/>
    <col min="1028" max="1028" width="9.36328125" style="1237" bestFit="1" customWidth="1"/>
    <col min="1029" max="1029" width="13.453125" style="1237" customWidth="1"/>
    <col min="1030" max="1030" width="9" style="1237"/>
    <col min="1031" max="1031" width="9.36328125" style="1237" bestFit="1" customWidth="1"/>
    <col min="1032" max="1033" width="9" style="1237"/>
    <col min="1034" max="1034" width="9.36328125" style="1237" bestFit="1" customWidth="1"/>
    <col min="1035" max="1035" width="4" style="1237" customWidth="1"/>
    <col min="1036" max="1036" width="5.08984375" style="1237" customWidth="1"/>
    <col min="1037" max="1037" width="13.7265625" style="1237" customWidth="1"/>
    <col min="1038" max="1280" width="9" style="1237"/>
    <col min="1281" max="1281" width="4.90625" style="1237" customWidth="1"/>
    <col min="1282" max="1282" width="13.26953125" style="1237" customWidth="1"/>
    <col min="1283" max="1283" width="15.6328125" style="1237" customWidth="1"/>
    <col min="1284" max="1284" width="9.36328125" style="1237" bestFit="1" customWidth="1"/>
    <col min="1285" max="1285" width="13.453125" style="1237" customWidth="1"/>
    <col min="1286" max="1286" width="9" style="1237"/>
    <col min="1287" max="1287" width="9.36328125" style="1237" bestFit="1" customWidth="1"/>
    <col min="1288" max="1289" width="9" style="1237"/>
    <col min="1290" max="1290" width="9.36328125" style="1237" bestFit="1" customWidth="1"/>
    <col min="1291" max="1291" width="4" style="1237" customWidth="1"/>
    <col min="1292" max="1292" width="5.08984375" style="1237" customWidth="1"/>
    <col min="1293" max="1293" width="13.7265625" style="1237" customWidth="1"/>
    <col min="1294" max="1536" width="9" style="1237"/>
    <col min="1537" max="1537" width="4.90625" style="1237" customWidth="1"/>
    <col min="1538" max="1538" width="13.26953125" style="1237" customWidth="1"/>
    <col min="1539" max="1539" width="15.6328125" style="1237" customWidth="1"/>
    <col min="1540" max="1540" width="9.36328125" style="1237" bestFit="1" customWidth="1"/>
    <col min="1541" max="1541" width="13.453125" style="1237" customWidth="1"/>
    <col min="1542" max="1542" width="9" style="1237"/>
    <col min="1543" max="1543" width="9.36328125" style="1237" bestFit="1" customWidth="1"/>
    <col min="1544" max="1545" width="9" style="1237"/>
    <col min="1546" max="1546" width="9.36328125" style="1237" bestFit="1" customWidth="1"/>
    <col min="1547" max="1547" width="4" style="1237" customWidth="1"/>
    <col min="1548" max="1548" width="5.08984375" style="1237" customWidth="1"/>
    <col min="1549" max="1549" width="13.7265625" style="1237" customWidth="1"/>
    <col min="1550" max="1792" width="9" style="1237"/>
    <col min="1793" max="1793" width="4.90625" style="1237" customWidth="1"/>
    <col min="1794" max="1794" width="13.26953125" style="1237" customWidth="1"/>
    <col min="1795" max="1795" width="15.6328125" style="1237" customWidth="1"/>
    <col min="1796" max="1796" width="9.36328125" style="1237" bestFit="1" customWidth="1"/>
    <col min="1797" max="1797" width="13.453125" style="1237" customWidth="1"/>
    <col min="1798" max="1798" width="9" style="1237"/>
    <col min="1799" max="1799" width="9.36328125" style="1237" bestFit="1" customWidth="1"/>
    <col min="1800" max="1801" width="9" style="1237"/>
    <col min="1802" max="1802" width="9.36328125" style="1237" bestFit="1" customWidth="1"/>
    <col min="1803" max="1803" width="4" style="1237" customWidth="1"/>
    <col min="1804" max="1804" width="5.08984375" style="1237" customWidth="1"/>
    <col min="1805" max="1805" width="13.7265625" style="1237" customWidth="1"/>
    <col min="1806" max="2048" width="9" style="1237"/>
    <col min="2049" max="2049" width="4.90625" style="1237" customWidth="1"/>
    <col min="2050" max="2050" width="13.26953125" style="1237" customWidth="1"/>
    <col min="2051" max="2051" width="15.6328125" style="1237" customWidth="1"/>
    <col min="2052" max="2052" width="9.36328125" style="1237" bestFit="1" customWidth="1"/>
    <col min="2053" max="2053" width="13.453125" style="1237" customWidth="1"/>
    <col min="2054" max="2054" width="9" style="1237"/>
    <col min="2055" max="2055" width="9.36328125" style="1237" bestFit="1" customWidth="1"/>
    <col min="2056" max="2057" width="9" style="1237"/>
    <col min="2058" max="2058" width="9.36328125" style="1237" bestFit="1" customWidth="1"/>
    <col min="2059" max="2059" width="4" style="1237" customWidth="1"/>
    <col min="2060" max="2060" width="5.08984375" style="1237" customWidth="1"/>
    <col min="2061" max="2061" width="13.7265625" style="1237" customWidth="1"/>
    <col min="2062" max="2304" width="9" style="1237"/>
    <col min="2305" max="2305" width="4.90625" style="1237" customWidth="1"/>
    <col min="2306" max="2306" width="13.26953125" style="1237" customWidth="1"/>
    <col min="2307" max="2307" width="15.6328125" style="1237" customWidth="1"/>
    <col min="2308" max="2308" width="9.36328125" style="1237" bestFit="1" customWidth="1"/>
    <col min="2309" max="2309" width="13.453125" style="1237" customWidth="1"/>
    <col min="2310" max="2310" width="9" style="1237"/>
    <col min="2311" max="2311" width="9.36328125" style="1237" bestFit="1" customWidth="1"/>
    <col min="2312" max="2313" width="9" style="1237"/>
    <col min="2314" max="2314" width="9.36328125" style="1237" bestFit="1" customWidth="1"/>
    <col min="2315" max="2315" width="4" style="1237" customWidth="1"/>
    <col min="2316" max="2316" width="5.08984375" style="1237" customWidth="1"/>
    <col min="2317" max="2317" width="13.7265625" style="1237" customWidth="1"/>
    <col min="2318" max="2560" width="9" style="1237"/>
    <col min="2561" max="2561" width="4.90625" style="1237" customWidth="1"/>
    <col min="2562" max="2562" width="13.26953125" style="1237" customWidth="1"/>
    <col min="2563" max="2563" width="15.6328125" style="1237" customWidth="1"/>
    <col min="2564" max="2564" width="9.36328125" style="1237" bestFit="1" customWidth="1"/>
    <col min="2565" max="2565" width="13.453125" style="1237" customWidth="1"/>
    <col min="2566" max="2566" width="9" style="1237"/>
    <col min="2567" max="2567" width="9.36328125" style="1237" bestFit="1" customWidth="1"/>
    <col min="2568" max="2569" width="9" style="1237"/>
    <col min="2570" max="2570" width="9.36328125" style="1237" bestFit="1" customWidth="1"/>
    <col min="2571" max="2571" width="4" style="1237" customWidth="1"/>
    <col min="2572" max="2572" width="5.08984375" style="1237" customWidth="1"/>
    <col min="2573" max="2573" width="13.7265625" style="1237" customWidth="1"/>
    <col min="2574" max="2816" width="9" style="1237"/>
    <col min="2817" max="2817" width="4.90625" style="1237" customWidth="1"/>
    <col min="2818" max="2818" width="13.26953125" style="1237" customWidth="1"/>
    <col min="2819" max="2819" width="15.6328125" style="1237" customWidth="1"/>
    <col min="2820" max="2820" width="9.36328125" style="1237" bestFit="1" customWidth="1"/>
    <col min="2821" max="2821" width="13.453125" style="1237" customWidth="1"/>
    <col min="2822" max="2822" width="9" style="1237"/>
    <col min="2823" max="2823" width="9.36328125" style="1237" bestFit="1" customWidth="1"/>
    <col min="2824" max="2825" width="9" style="1237"/>
    <col min="2826" max="2826" width="9.36328125" style="1237" bestFit="1" customWidth="1"/>
    <col min="2827" max="2827" width="4" style="1237" customWidth="1"/>
    <col min="2828" max="2828" width="5.08984375" style="1237" customWidth="1"/>
    <col min="2829" max="2829" width="13.7265625" style="1237" customWidth="1"/>
    <col min="2830" max="3072" width="9" style="1237"/>
    <col min="3073" max="3073" width="4.90625" style="1237" customWidth="1"/>
    <col min="3074" max="3074" width="13.26953125" style="1237" customWidth="1"/>
    <col min="3075" max="3075" width="15.6328125" style="1237" customWidth="1"/>
    <col min="3076" max="3076" width="9.36328125" style="1237" bestFit="1" customWidth="1"/>
    <col min="3077" max="3077" width="13.453125" style="1237" customWidth="1"/>
    <col min="3078" max="3078" width="9" style="1237"/>
    <col min="3079" max="3079" width="9.36328125" style="1237" bestFit="1" customWidth="1"/>
    <col min="3080" max="3081" width="9" style="1237"/>
    <col min="3082" max="3082" width="9.36328125" style="1237" bestFit="1" customWidth="1"/>
    <col min="3083" max="3083" width="4" style="1237" customWidth="1"/>
    <col min="3084" max="3084" width="5.08984375" style="1237" customWidth="1"/>
    <col min="3085" max="3085" width="13.7265625" style="1237" customWidth="1"/>
    <col min="3086" max="3328" width="9" style="1237"/>
    <col min="3329" max="3329" width="4.90625" style="1237" customWidth="1"/>
    <col min="3330" max="3330" width="13.26953125" style="1237" customWidth="1"/>
    <col min="3331" max="3331" width="15.6328125" style="1237" customWidth="1"/>
    <col min="3332" max="3332" width="9.36328125" style="1237" bestFit="1" customWidth="1"/>
    <col min="3333" max="3333" width="13.453125" style="1237" customWidth="1"/>
    <col min="3334" max="3334" width="9" style="1237"/>
    <col min="3335" max="3335" width="9.36328125" style="1237" bestFit="1" customWidth="1"/>
    <col min="3336" max="3337" width="9" style="1237"/>
    <col min="3338" max="3338" width="9.36328125" style="1237" bestFit="1" customWidth="1"/>
    <col min="3339" max="3339" width="4" style="1237" customWidth="1"/>
    <col min="3340" max="3340" width="5.08984375" style="1237" customWidth="1"/>
    <col min="3341" max="3341" width="13.7265625" style="1237" customWidth="1"/>
    <col min="3342" max="3584" width="9" style="1237"/>
    <col min="3585" max="3585" width="4.90625" style="1237" customWidth="1"/>
    <col min="3586" max="3586" width="13.26953125" style="1237" customWidth="1"/>
    <col min="3587" max="3587" width="15.6328125" style="1237" customWidth="1"/>
    <col min="3588" max="3588" width="9.36328125" style="1237" bestFit="1" customWidth="1"/>
    <col min="3589" max="3589" width="13.453125" style="1237" customWidth="1"/>
    <col min="3590" max="3590" width="9" style="1237"/>
    <col min="3591" max="3591" width="9.36328125" style="1237" bestFit="1" customWidth="1"/>
    <col min="3592" max="3593" width="9" style="1237"/>
    <col min="3594" max="3594" width="9.36328125" style="1237" bestFit="1" customWidth="1"/>
    <col min="3595" max="3595" width="4" style="1237" customWidth="1"/>
    <col min="3596" max="3596" width="5.08984375" style="1237" customWidth="1"/>
    <col min="3597" max="3597" width="13.7265625" style="1237" customWidth="1"/>
    <col min="3598" max="3840" width="9" style="1237"/>
    <col min="3841" max="3841" width="4.90625" style="1237" customWidth="1"/>
    <col min="3842" max="3842" width="13.26953125" style="1237" customWidth="1"/>
    <col min="3843" max="3843" width="15.6328125" style="1237" customWidth="1"/>
    <col min="3844" max="3844" width="9.36328125" style="1237" bestFit="1" customWidth="1"/>
    <col min="3845" max="3845" width="13.453125" style="1237" customWidth="1"/>
    <col min="3846" max="3846" width="9" style="1237"/>
    <col min="3847" max="3847" width="9.36328125" style="1237" bestFit="1" customWidth="1"/>
    <col min="3848" max="3849" width="9" style="1237"/>
    <col min="3850" max="3850" width="9.36328125" style="1237" bestFit="1" customWidth="1"/>
    <col min="3851" max="3851" width="4" style="1237" customWidth="1"/>
    <col min="3852" max="3852" width="5.08984375" style="1237" customWidth="1"/>
    <col min="3853" max="3853" width="13.7265625" style="1237" customWidth="1"/>
    <col min="3854" max="4096" width="9" style="1237"/>
    <col min="4097" max="4097" width="4.90625" style="1237" customWidth="1"/>
    <col min="4098" max="4098" width="13.26953125" style="1237" customWidth="1"/>
    <col min="4099" max="4099" width="15.6328125" style="1237" customWidth="1"/>
    <col min="4100" max="4100" width="9.36328125" style="1237" bestFit="1" customWidth="1"/>
    <col min="4101" max="4101" width="13.453125" style="1237" customWidth="1"/>
    <col min="4102" max="4102" width="9" style="1237"/>
    <col min="4103" max="4103" width="9.36328125" style="1237" bestFit="1" customWidth="1"/>
    <col min="4104" max="4105" width="9" style="1237"/>
    <col min="4106" max="4106" width="9.36328125" style="1237" bestFit="1" customWidth="1"/>
    <col min="4107" max="4107" width="4" style="1237" customWidth="1"/>
    <col min="4108" max="4108" width="5.08984375" style="1237" customWidth="1"/>
    <col min="4109" max="4109" width="13.7265625" style="1237" customWidth="1"/>
    <col min="4110" max="4352" width="9" style="1237"/>
    <col min="4353" max="4353" width="4.90625" style="1237" customWidth="1"/>
    <col min="4354" max="4354" width="13.26953125" style="1237" customWidth="1"/>
    <col min="4355" max="4355" width="15.6328125" style="1237" customWidth="1"/>
    <col min="4356" max="4356" width="9.36328125" style="1237" bestFit="1" customWidth="1"/>
    <col min="4357" max="4357" width="13.453125" style="1237" customWidth="1"/>
    <col min="4358" max="4358" width="9" style="1237"/>
    <col min="4359" max="4359" width="9.36328125" style="1237" bestFit="1" customWidth="1"/>
    <col min="4360" max="4361" width="9" style="1237"/>
    <col min="4362" max="4362" width="9.36328125" style="1237" bestFit="1" customWidth="1"/>
    <col min="4363" max="4363" width="4" style="1237" customWidth="1"/>
    <col min="4364" max="4364" width="5.08984375" style="1237" customWidth="1"/>
    <col min="4365" max="4365" width="13.7265625" style="1237" customWidth="1"/>
    <col min="4366" max="4608" width="9" style="1237"/>
    <col min="4609" max="4609" width="4.90625" style="1237" customWidth="1"/>
    <col min="4610" max="4610" width="13.26953125" style="1237" customWidth="1"/>
    <col min="4611" max="4611" width="15.6328125" style="1237" customWidth="1"/>
    <col min="4612" max="4612" width="9.36328125" style="1237" bestFit="1" customWidth="1"/>
    <col min="4613" max="4613" width="13.453125" style="1237" customWidth="1"/>
    <col min="4614" max="4614" width="9" style="1237"/>
    <col min="4615" max="4615" width="9.36328125" style="1237" bestFit="1" customWidth="1"/>
    <col min="4616" max="4617" width="9" style="1237"/>
    <col min="4618" max="4618" width="9.36328125" style="1237" bestFit="1" customWidth="1"/>
    <col min="4619" max="4619" width="4" style="1237" customWidth="1"/>
    <col min="4620" max="4620" width="5.08984375" style="1237" customWidth="1"/>
    <col min="4621" max="4621" width="13.7265625" style="1237" customWidth="1"/>
    <col min="4622" max="4864" width="9" style="1237"/>
    <col min="4865" max="4865" width="4.90625" style="1237" customWidth="1"/>
    <col min="4866" max="4866" width="13.26953125" style="1237" customWidth="1"/>
    <col min="4867" max="4867" width="15.6328125" style="1237" customWidth="1"/>
    <col min="4868" max="4868" width="9.36328125" style="1237" bestFit="1" customWidth="1"/>
    <col min="4869" max="4869" width="13.453125" style="1237" customWidth="1"/>
    <col min="4870" max="4870" width="9" style="1237"/>
    <col min="4871" max="4871" width="9.36328125" style="1237" bestFit="1" customWidth="1"/>
    <col min="4872" max="4873" width="9" style="1237"/>
    <col min="4874" max="4874" width="9.36328125" style="1237" bestFit="1" customWidth="1"/>
    <col min="4875" max="4875" width="4" style="1237" customWidth="1"/>
    <col min="4876" max="4876" width="5.08984375" style="1237" customWidth="1"/>
    <col min="4877" max="4877" width="13.7265625" style="1237" customWidth="1"/>
    <col min="4878" max="5120" width="9" style="1237"/>
    <col min="5121" max="5121" width="4.90625" style="1237" customWidth="1"/>
    <col min="5122" max="5122" width="13.26953125" style="1237" customWidth="1"/>
    <col min="5123" max="5123" width="15.6328125" style="1237" customWidth="1"/>
    <col min="5124" max="5124" width="9.36328125" style="1237" bestFit="1" customWidth="1"/>
    <col min="5125" max="5125" width="13.453125" style="1237" customWidth="1"/>
    <col min="5126" max="5126" width="9" style="1237"/>
    <col min="5127" max="5127" width="9.36328125" style="1237" bestFit="1" customWidth="1"/>
    <col min="5128" max="5129" width="9" style="1237"/>
    <col min="5130" max="5130" width="9.36328125" style="1237" bestFit="1" customWidth="1"/>
    <col min="5131" max="5131" width="4" style="1237" customWidth="1"/>
    <col min="5132" max="5132" width="5.08984375" style="1237" customWidth="1"/>
    <col min="5133" max="5133" width="13.7265625" style="1237" customWidth="1"/>
    <col min="5134" max="5376" width="9" style="1237"/>
    <col min="5377" max="5377" width="4.90625" style="1237" customWidth="1"/>
    <col min="5378" max="5378" width="13.26953125" style="1237" customWidth="1"/>
    <col min="5379" max="5379" width="15.6328125" style="1237" customWidth="1"/>
    <col min="5380" max="5380" width="9.36328125" style="1237" bestFit="1" customWidth="1"/>
    <col min="5381" max="5381" width="13.453125" style="1237" customWidth="1"/>
    <col min="5382" max="5382" width="9" style="1237"/>
    <col min="5383" max="5383" width="9.36328125" style="1237" bestFit="1" customWidth="1"/>
    <col min="5384" max="5385" width="9" style="1237"/>
    <col min="5386" max="5386" width="9.36328125" style="1237" bestFit="1" customWidth="1"/>
    <col min="5387" max="5387" width="4" style="1237" customWidth="1"/>
    <col min="5388" max="5388" width="5.08984375" style="1237" customWidth="1"/>
    <col min="5389" max="5389" width="13.7265625" style="1237" customWidth="1"/>
    <col min="5390" max="5632" width="9" style="1237"/>
    <col min="5633" max="5633" width="4.90625" style="1237" customWidth="1"/>
    <col min="5634" max="5634" width="13.26953125" style="1237" customWidth="1"/>
    <col min="5635" max="5635" width="15.6328125" style="1237" customWidth="1"/>
    <col min="5636" max="5636" width="9.36328125" style="1237" bestFit="1" customWidth="1"/>
    <col min="5637" max="5637" width="13.453125" style="1237" customWidth="1"/>
    <col min="5638" max="5638" width="9" style="1237"/>
    <col min="5639" max="5639" width="9.36328125" style="1237" bestFit="1" customWidth="1"/>
    <col min="5640" max="5641" width="9" style="1237"/>
    <col min="5642" max="5642" width="9.36328125" style="1237" bestFit="1" customWidth="1"/>
    <col min="5643" max="5643" width="4" style="1237" customWidth="1"/>
    <col min="5644" max="5644" width="5.08984375" style="1237" customWidth="1"/>
    <col min="5645" max="5645" width="13.7265625" style="1237" customWidth="1"/>
    <col min="5646" max="5888" width="9" style="1237"/>
    <col min="5889" max="5889" width="4.90625" style="1237" customWidth="1"/>
    <col min="5890" max="5890" width="13.26953125" style="1237" customWidth="1"/>
    <col min="5891" max="5891" width="15.6328125" style="1237" customWidth="1"/>
    <col min="5892" max="5892" width="9.36328125" style="1237" bestFit="1" customWidth="1"/>
    <col min="5893" max="5893" width="13.453125" style="1237" customWidth="1"/>
    <col min="5894" max="5894" width="9" style="1237"/>
    <col min="5895" max="5895" width="9.36328125" style="1237" bestFit="1" customWidth="1"/>
    <col min="5896" max="5897" width="9" style="1237"/>
    <col min="5898" max="5898" width="9.36328125" style="1237" bestFit="1" customWidth="1"/>
    <col min="5899" max="5899" width="4" style="1237" customWidth="1"/>
    <col min="5900" max="5900" width="5.08984375" style="1237" customWidth="1"/>
    <col min="5901" max="5901" width="13.7265625" style="1237" customWidth="1"/>
    <col min="5902" max="6144" width="9" style="1237"/>
    <col min="6145" max="6145" width="4.90625" style="1237" customWidth="1"/>
    <col min="6146" max="6146" width="13.26953125" style="1237" customWidth="1"/>
    <col min="6147" max="6147" width="15.6328125" style="1237" customWidth="1"/>
    <col min="6148" max="6148" width="9.36328125" style="1237" bestFit="1" customWidth="1"/>
    <col min="6149" max="6149" width="13.453125" style="1237" customWidth="1"/>
    <col min="6150" max="6150" width="9" style="1237"/>
    <col min="6151" max="6151" width="9.36328125" style="1237" bestFit="1" customWidth="1"/>
    <col min="6152" max="6153" width="9" style="1237"/>
    <col min="6154" max="6154" width="9.36328125" style="1237" bestFit="1" customWidth="1"/>
    <col min="6155" max="6155" width="4" style="1237" customWidth="1"/>
    <col min="6156" max="6156" width="5.08984375" style="1237" customWidth="1"/>
    <col min="6157" max="6157" width="13.7265625" style="1237" customWidth="1"/>
    <col min="6158" max="6400" width="9" style="1237"/>
    <col min="6401" max="6401" width="4.90625" style="1237" customWidth="1"/>
    <col min="6402" max="6402" width="13.26953125" style="1237" customWidth="1"/>
    <col min="6403" max="6403" width="15.6328125" style="1237" customWidth="1"/>
    <col min="6404" max="6404" width="9.36328125" style="1237" bestFit="1" customWidth="1"/>
    <col min="6405" max="6405" width="13.453125" style="1237" customWidth="1"/>
    <col min="6406" max="6406" width="9" style="1237"/>
    <col min="6407" max="6407" width="9.36328125" style="1237" bestFit="1" customWidth="1"/>
    <col min="6408" max="6409" width="9" style="1237"/>
    <col min="6410" max="6410" width="9.36328125" style="1237" bestFit="1" customWidth="1"/>
    <col min="6411" max="6411" width="4" style="1237" customWidth="1"/>
    <col min="6412" max="6412" width="5.08984375" style="1237" customWidth="1"/>
    <col min="6413" max="6413" width="13.7265625" style="1237" customWidth="1"/>
    <col min="6414" max="6656" width="9" style="1237"/>
    <col min="6657" max="6657" width="4.90625" style="1237" customWidth="1"/>
    <col min="6658" max="6658" width="13.26953125" style="1237" customWidth="1"/>
    <col min="6659" max="6659" width="15.6328125" style="1237" customWidth="1"/>
    <col min="6660" max="6660" width="9.36328125" style="1237" bestFit="1" customWidth="1"/>
    <col min="6661" max="6661" width="13.453125" style="1237" customWidth="1"/>
    <col min="6662" max="6662" width="9" style="1237"/>
    <col min="6663" max="6663" width="9.36328125" style="1237" bestFit="1" customWidth="1"/>
    <col min="6664" max="6665" width="9" style="1237"/>
    <col min="6666" max="6666" width="9.36328125" style="1237" bestFit="1" customWidth="1"/>
    <col min="6667" max="6667" width="4" style="1237" customWidth="1"/>
    <col min="6668" max="6668" width="5.08984375" style="1237" customWidth="1"/>
    <col min="6669" max="6669" width="13.7265625" style="1237" customWidth="1"/>
    <col min="6670" max="6912" width="9" style="1237"/>
    <col min="6913" max="6913" width="4.90625" style="1237" customWidth="1"/>
    <col min="6914" max="6914" width="13.26953125" style="1237" customWidth="1"/>
    <col min="6915" max="6915" width="15.6328125" style="1237" customWidth="1"/>
    <col min="6916" max="6916" width="9.36328125" style="1237" bestFit="1" customWidth="1"/>
    <col min="6917" max="6917" width="13.453125" style="1237" customWidth="1"/>
    <col min="6918" max="6918" width="9" style="1237"/>
    <col min="6919" max="6919" width="9.36328125" style="1237" bestFit="1" customWidth="1"/>
    <col min="6920" max="6921" width="9" style="1237"/>
    <col min="6922" max="6922" width="9.36328125" style="1237" bestFit="1" customWidth="1"/>
    <col min="6923" max="6923" width="4" style="1237" customWidth="1"/>
    <col min="6924" max="6924" width="5.08984375" style="1237" customWidth="1"/>
    <col min="6925" max="6925" width="13.7265625" style="1237" customWidth="1"/>
    <col min="6926" max="7168" width="9" style="1237"/>
    <col min="7169" max="7169" width="4.90625" style="1237" customWidth="1"/>
    <col min="7170" max="7170" width="13.26953125" style="1237" customWidth="1"/>
    <col min="7171" max="7171" width="15.6328125" style="1237" customWidth="1"/>
    <col min="7172" max="7172" width="9.36328125" style="1237" bestFit="1" customWidth="1"/>
    <col min="7173" max="7173" width="13.453125" style="1237" customWidth="1"/>
    <col min="7174" max="7174" width="9" style="1237"/>
    <col min="7175" max="7175" width="9.36328125" style="1237" bestFit="1" customWidth="1"/>
    <col min="7176" max="7177" width="9" style="1237"/>
    <col min="7178" max="7178" width="9.36328125" style="1237" bestFit="1" customWidth="1"/>
    <col min="7179" max="7179" width="4" style="1237" customWidth="1"/>
    <col min="7180" max="7180" width="5.08984375" style="1237" customWidth="1"/>
    <col min="7181" max="7181" width="13.7265625" style="1237" customWidth="1"/>
    <col min="7182" max="7424" width="9" style="1237"/>
    <col min="7425" max="7425" width="4.90625" style="1237" customWidth="1"/>
    <col min="7426" max="7426" width="13.26953125" style="1237" customWidth="1"/>
    <col min="7427" max="7427" width="15.6328125" style="1237" customWidth="1"/>
    <col min="7428" max="7428" width="9.36328125" style="1237" bestFit="1" customWidth="1"/>
    <col min="7429" max="7429" width="13.453125" style="1237" customWidth="1"/>
    <col min="7430" max="7430" width="9" style="1237"/>
    <col min="7431" max="7431" width="9.36328125" style="1237" bestFit="1" customWidth="1"/>
    <col min="7432" max="7433" width="9" style="1237"/>
    <col min="7434" max="7434" width="9.36328125" style="1237" bestFit="1" customWidth="1"/>
    <col min="7435" max="7435" width="4" style="1237" customWidth="1"/>
    <col min="7436" max="7436" width="5.08984375" style="1237" customWidth="1"/>
    <col min="7437" max="7437" width="13.7265625" style="1237" customWidth="1"/>
    <col min="7438" max="7680" width="9" style="1237"/>
    <col min="7681" max="7681" width="4.90625" style="1237" customWidth="1"/>
    <col min="7682" max="7682" width="13.26953125" style="1237" customWidth="1"/>
    <col min="7683" max="7683" width="15.6328125" style="1237" customWidth="1"/>
    <col min="7684" max="7684" width="9.36328125" style="1237" bestFit="1" customWidth="1"/>
    <col min="7685" max="7685" width="13.453125" style="1237" customWidth="1"/>
    <col min="7686" max="7686" width="9" style="1237"/>
    <col min="7687" max="7687" width="9.36328125" style="1237" bestFit="1" customWidth="1"/>
    <col min="7688" max="7689" width="9" style="1237"/>
    <col min="7690" max="7690" width="9.36328125" style="1237" bestFit="1" customWidth="1"/>
    <col min="7691" max="7691" width="4" style="1237" customWidth="1"/>
    <col min="7692" max="7692" width="5.08984375" style="1237" customWidth="1"/>
    <col min="7693" max="7693" width="13.7265625" style="1237" customWidth="1"/>
    <col min="7694" max="7936" width="9" style="1237"/>
    <col min="7937" max="7937" width="4.90625" style="1237" customWidth="1"/>
    <col min="7938" max="7938" width="13.26953125" style="1237" customWidth="1"/>
    <col min="7939" max="7939" width="15.6328125" style="1237" customWidth="1"/>
    <col min="7940" max="7940" width="9.36328125" style="1237" bestFit="1" customWidth="1"/>
    <col min="7941" max="7941" width="13.453125" style="1237" customWidth="1"/>
    <col min="7942" max="7942" width="9" style="1237"/>
    <col min="7943" max="7943" width="9.36328125" style="1237" bestFit="1" customWidth="1"/>
    <col min="7944" max="7945" width="9" style="1237"/>
    <col min="7946" max="7946" width="9.36328125" style="1237" bestFit="1" customWidth="1"/>
    <col min="7947" max="7947" width="4" style="1237" customWidth="1"/>
    <col min="7948" max="7948" width="5.08984375" style="1237" customWidth="1"/>
    <col min="7949" max="7949" width="13.7265625" style="1237" customWidth="1"/>
    <col min="7950" max="8192" width="9" style="1237"/>
    <col min="8193" max="8193" width="4.90625" style="1237" customWidth="1"/>
    <col min="8194" max="8194" width="13.26953125" style="1237" customWidth="1"/>
    <col min="8195" max="8195" width="15.6328125" style="1237" customWidth="1"/>
    <col min="8196" max="8196" width="9.36328125" style="1237" bestFit="1" customWidth="1"/>
    <col min="8197" max="8197" width="13.453125" style="1237" customWidth="1"/>
    <col min="8198" max="8198" width="9" style="1237"/>
    <col min="8199" max="8199" width="9.36328125" style="1237" bestFit="1" customWidth="1"/>
    <col min="8200" max="8201" width="9" style="1237"/>
    <col min="8202" max="8202" width="9.36328125" style="1237" bestFit="1" customWidth="1"/>
    <col min="8203" max="8203" width="4" style="1237" customWidth="1"/>
    <col min="8204" max="8204" width="5.08984375" style="1237" customWidth="1"/>
    <col min="8205" max="8205" width="13.7265625" style="1237" customWidth="1"/>
    <col min="8206" max="8448" width="9" style="1237"/>
    <col min="8449" max="8449" width="4.90625" style="1237" customWidth="1"/>
    <col min="8450" max="8450" width="13.26953125" style="1237" customWidth="1"/>
    <col min="8451" max="8451" width="15.6328125" style="1237" customWidth="1"/>
    <col min="8452" max="8452" width="9.36328125" style="1237" bestFit="1" customWidth="1"/>
    <col min="8453" max="8453" width="13.453125" style="1237" customWidth="1"/>
    <col min="8454" max="8454" width="9" style="1237"/>
    <col min="8455" max="8455" width="9.36328125" style="1237" bestFit="1" customWidth="1"/>
    <col min="8456" max="8457" width="9" style="1237"/>
    <col min="8458" max="8458" width="9.36328125" style="1237" bestFit="1" customWidth="1"/>
    <col min="8459" max="8459" width="4" style="1237" customWidth="1"/>
    <col min="8460" max="8460" width="5.08984375" style="1237" customWidth="1"/>
    <col min="8461" max="8461" width="13.7265625" style="1237" customWidth="1"/>
    <col min="8462" max="8704" width="9" style="1237"/>
    <col min="8705" max="8705" width="4.90625" style="1237" customWidth="1"/>
    <col min="8706" max="8706" width="13.26953125" style="1237" customWidth="1"/>
    <col min="8707" max="8707" width="15.6328125" style="1237" customWidth="1"/>
    <col min="8708" max="8708" width="9.36328125" style="1237" bestFit="1" customWidth="1"/>
    <col min="8709" max="8709" width="13.453125" style="1237" customWidth="1"/>
    <col min="8710" max="8710" width="9" style="1237"/>
    <col min="8711" max="8711" width="9.36328125" style="1237" bestFit="1" customWidth="1"/>
    <col min="8712" max="8713" width="9" style="1237"/>
    <col min="8714" max="8714" width="9.36328125" style="1237" bestFit="1" customWidth="1"/>
    <col min="8715" max="8715" width="4" style="1237" customWidth="1"/>
    <col min="8716" max="8716" width="5.08984375" style="1237" customWidth="1"/>
    <col min="8717" max="8717" width="13.7265625" style="1237" customWidth="1"/>
    <col min="8718" max="8960" width="9" style="1237"/>
    <col min="8961" max="8961" width="4.90625" style="1237" customWidth="1"/>
    <col min="8962" max="8962" width="13.26953125" style="1237" customWidth="1"/>
    <col min="8963" max="8963" width="15.6328125" style="1237" customWidth="1"/>
    <col min="8964" max="8964" width="9.36328125" style="1237" bestFit="1" customWidth="1"/>
    <col min="8965" max="8965" width="13.453125" style="1237" customWidth="1"/>
    <col min="8966" max="8966" width="9" style="1237"/>
    <col min="8967" max="8967" width="9.36328125" style="1237" bestFit="1" customWidth="1"/>
    <col min="8968" max="8969" width="9" style="1237"/>
    <col min="8970" max="8970" width="9.36328125" style="1237" bestFit="1" customWidth="1"/>
    <col min="8971" max="8971" width="4" style="1237" customWidth="1"/>
    <col min="8972" max="8972" width="5.08984375" style="1237" customWidth="1"/>
    <col min="8973" max="8973" width="13.7265625" style="1237" customWidth="1"/>
    <col min="8974" max="9216" width="9" style="1237"/>
    <col min="9217" max="9217" width="4.90625" style="1237" customWidth="1"/>
    <col min="9218" max="9218" width="13.26953125" style="1237" customWidth="1"/>
    <col min="9219" max="9219" width="15.6328125" style="1237" customWidth="1"/>
    <col min="9220" max="9220" width="9.36328125" style="1237" bestFit="1" customWidth="1"/>
    <col min="9221" max="9221" width="13.453125" style="1237" customWidth="1"/>
    <col min="9222" max="9222" width="9" style="1237"/>
    <col min="9223" max="9223" width="9.36328125" style="1237" bestFit="1" customWidth="1"/>
    <col min="9224" max="9225" width="9" style="1237"/>
    <col min="9226" max="9226" width="9.36328125" style="1237" bestFit="1" customWidth="1"/>
    <col min="9227" max="9227" width="4" style="1237" customWidth="1"/>
    <col min="9228" max="9228" width="5.08984375" style="1237" customWidth="1"/>
    <col min="9229" max="9229" width="13.7265625" style="1237" customWidth="1"/>
    <col min="9230" max="9472" width="9" style="1237"/>
    <col min="9473" max="9473" width="4.90625" style="1237" customWidth="1"/>
    <col min="9474" max="9474" width="13.26953125" style="1237" customWidth="1"/>
    <col min="9475" max="9475" width="15.6328125" style="1237" customWidth="1"/>
    <col min="9476" max="9476" width="9.36328125" style="1237" bestFit="1" customWidth="1"/>
    <col min="9477" max="9477" width="13.453125" style="1237" customWidth="1"/>
    <col min="9478" max="9478" width="9" style="1237"/>
    <col min="9479" max="9479" width="9.36328125" style="1237" bestFit="1" customWidth="1"/>
    <col min="9480" max="9481" width="9" style="1237"/>
    <col min="9482" max="9482" width="9.36328125" style="1237" bestFit="1" customWidth="1"/>
    <col min="9483" max="9483" width="4" style="1237" customWidth="1"/>
    <col min="9484" max="9484" width="5.08984375" style="1237" customWidth="1"/>
    <col min="9485" max="9485" width="13.7265625" style="1237" customWidth="1"/>
    <col min="9486" max="9728" width="9" style="1237"/>
    <col min="9729" max="9729" width="4.90625" style="1237" customWidth="1"/>
    <col min="9730" max="9730" width="13.26953125" style="1237" customWidth="1"/>
    <col min="9731" max="9731" width="15.6328125" style="1237" customWidth="1"/>
    <col min="9732" max="9732" width="9.36328125" style="1237" bestFit="1" customWidth="1"/>
    <col min="9733" max="9733" width="13.453125" style="1237" customWidth="1"/>
    <col min="9734" max="9734" width="9" style="1237"/>
    <col min="9735" max="9735" width="9.36328125" style="1237" bestFit="1" customWidth="1"/>
    <col min="9736" max="9737" width="9" style="1237"/>
    <col min="9738" max="9738" width="9.36328125" style="1237" bestFit="1" customWidth="1"/>
    <col min="9739" max="9739" width="4" style="1237" customWidth="1"/>
    <col min="9740" max="9740" width="5.08984375" style="1237" customWidth="1"/>
    <col min="9741" max="9741" width="13.7265625" style="1237" customWidth="1"/>
    <col min="9742" max="9984" width="9" style="1237"/>
    <col min="9985" max="9985" width="4.90625" style="1237" customWidth="1"/>
    <col min="9986" max="9986" width="13.26953125" style="1237" customWidth="1"/>
    <col min="9987" max="9987" width="15.6328125" style="1237" customWidth="1"/>
    <col min="9988" max="9988" width="9.36328125" style="1237" bestFit="1" customWidth="1"/>
    <col min="9989" max="9989" width="13.453125" style="1237" customWidth="1"/>
    <col min="9990" max="9990" width="9" style="1237"/>
    <col min="9991" max="9991" width="9.36328125" style="1237" bestFit="1" customWidth="1"/>
    <col min="9992" max="9993" width="9" style="1237"/>
    <col min="9994" max="9994" width="9.36328125" style="1237" bestFit="1" customWidth="1"/>
    <col min="9995" max="9995" width="4" style="1237" customWidth="1"/>
    <col min="9996" max="9996" width="5.08984375" style="1237" customWidth="1"/>
    <col min="9997" max="9997" width="13.7265625" style="1237" customWidth="1"/>
    <col min="9998" max="10240" width="9" style="1237"/>
    <col min="10241" max="10241" width="4.90625" style="1237" customWidth="1"/>
    <col min="10242" max="10242" width="13.26953125" style="1237" customWidth="1"/>
    <col min="10243" max="10243" width="15.6328125" style="1237" customWidth="1"/>
    <col min="10244" max="10244" width="9.36328125" style="1237" bestFit="1" customWidth="1"/>
    <col min="10245" max="10245" width="13.453125" style="1237" customWidth="1"/>
    <col min="10246" max="10246" width="9" style="1237"/>
    <col min="10247" max="10247" width="9.36328125" style="1237" bestFit="1" customWidth="1"/>
    <col min="10248" max="10249" width="9" style="1237"/>
    <col min="10250" max="10250" width="9.36328125" style="1237" bestFit="1" customWidth="1"/>
    <col min="10251" max="10251" width="4" style="1237" customWidth="1"/>
    <col min="10252" max="10252" width="5.08984375" style="1237" customWidth="1"/>
    <col min="10253" max="10253" width="13.7265625" style="1237" customWidth="1"/>
    <col min="10254" max="10496" width="9" style="1237"/>
    <col min="10497" max="10497" width="4.90625" style="1237" customWidth="1"/>
    <col min="10498" max="10498" width="13.26953125" style="1237" customWidth="1"/>
    <col min="10499" max="10499" width="15.6328125" style="1237" customWidth="1"/>
    <col min="10500" max="10500" width="9.36328125" style="1237" bestFit="1" customWidth="1"/>
    <col min="10501" max="10501" width="13.453125" style="1237" customWidth="1"/>
    <col min="10502" max="10502" width="9" style="1237"/>
    <col min="10503" max="10503" width="9.36328125" style="1237" bestFit="1" customWidth="1"/>
    <col min="10504" max="10505" width="9" style="1237"/>
    <col min="10506" max="10506" width="9.36328125" style="1237" bestFit="1" customWidth="1"/>
    <col min="10507" max="10507" width="4" style="1237" customWidth="1"/>
    <col min="10508" max="10508" width="5.08984375" style="1237" customWidth="1"/>
    <col min="10509" max="10509" width="13.7265625" style="1237" customWidth="1"/>
    <col min="10510" max="10752" width="9" style="1237"/>
    <col min="10753" max="10753" width="4.90625" style="1237" customWidth="1"/>
    <col min="10754" max="10754" width="13.26953125" style="1237" customWidth="1"/>
    <col min="10755" max="10755" width="15.6328125" style="1237" customWidth="1"/>
    <col min="10756" max="10756" width="9.36328125" style="1237" bestFit="1" customWidth="1"/>
    <col min="10757" max="10757" width="13.453125" style="1237" customWidth="1"/>
    <col min="10758" max="10758" width="9" style="1237"/>
    <col min="10759" max="10759" width="9.36328125" style="1237" bestFit="1" customWidth="1"/>
    <col min="10760" max="10761" width="9" style="1237"/>
    <col min="10762" max="10762" width="9.36328125" style="1237" bestFit="1" customWidth="1"/>
    <col min="10763" max="10763" width="4" style="1237" customWidth="1"/>
    <col min="10764" max="10764" width="5.08984375" style="1237" customWidth="1"/>
    <col min="10765" max="10765" width="13.7265625" style="1237" customWidth="1"/>
    <col min="10766" max="11008" width="9" style="1237"/>
    <col min="11009" max="11009" width="4.90625" style="1237" customWidth="1"/>
    <col min="11010" max="11010" width="13.26953125" style="1237" customWidth="1"/>
    <col min="11011" max="11011" width="15.6328125" style="1237" customWidth="1"/>
    <col min="11012" max="11012" width="9.36328125" style="1237" bestFit="1" customWidth="1"/>
    <col min="11013" max="11013" width="13.453125" style="1237" customWidth="1"/>
    <col min="11014" max="11014" width="9" style="1237"/>
    <col min="11015" max="11015" width="9.36328125" style="1237" bestFit="1" customWidth="1"/>
    <col min="11016" max="11017" width="9" style="1237"/>
    <col min="11018" max="11018" width="9.36328125" style="1237" bestFit="1" customWidth="1"/>
    <col min="11019" max="11019" width="4" style="1237" customWidth="1"/>
    <col min="11020" max="11020" width="5.08984375" style="1237" customWidth="1"/>
    <col min="11021" max="11021" width="13.7265625" style="1237" customWidth="1"/>
    <col min="11022" max="11264" width="9" style="1237"/>
    <col min="11265" max="11265" width="4.90625" style="1237" customWidth="1"/>
    <col min="11266" max="11266" width="13.26953125" style="1237" customWidth="1"/>
    <col min="11267" max="11267" width="15.6328125" style="1237" customWidth="1"/>
    <col min="11268" max="11268" width="9.36328125" style="1237" bestFit="1" customWidth="1"/>
    <col min="11269" max="11269" width="13.453125" style="1237" customWidth="1"/>
    <col min="11270" max="11270" width="9" style="1237"/>
    <col min="11271" max="11271" width="9.36328125" style="1237" bestFit="1" customWidth="1"/>
    <col min="11272" max="11273" width="9" style="1237"/>
    <col min="11274" max="11274" width="9.36328125" style="1237" bestFit="1" customWidth="1"/>
    <col min="11275" max="11275" width="4" style="1237" customWidth="1"/>
    <col min="11276" max="11276" width="5.08984375" style="1237" customWidth="1"/>
    <col min="11277" max="11277" width="13.7265625" style="1237" customWidth="1"/>
    <col min="11278" max="11520" width="9" style="1237"/>
    <col min="11521" max="11521" width="4.90625" style="1237" customWidth="1"/>
    <col min="11522" max="11522" width="13.26953125" style="1237" customWidth="1"/>
    <col min="11523" max="11523" width="15.6328125" style="1237" customWidth="1"/>
    <col min="11524" max="11524" width="9.36328125" style="1237" bestFit="1" customWidth="1"/>
    <col min="11525" max="11525" width="13.453125" style="1237" customWidth="1"/>
    <col min="11526" max="11526" width="9" style="1237"/>
    <col min="11527" max="11527" width="9.36328125" style="1237" bestFit="1" customWidth="1"/>
    <col min="11528" max="11529" width="9" style="1237"/>
    <col min="11530" max="11530" width="9.36328125" style="1237" bestFit="1" customWidth="1"/>
    <col min="11531" max="11531" width="4" style="1237" customWidth="1"/>
    <col min="11532" max="11532" width="5.08984375" style="1237" customWidth="1"/>
    <col min="11533" max="11533" width="13.7265625" style="1237" customWidth="1"/>
    <col min="11534" max="11776" width="9" style="1237"/>
    <col min="11777" max="11777" width="4.90625" style="1237" customWidth="1"/>
    <col min="11778" max="11778" width="13.26953125" style="1237" customWidth="1"/>
    <col min="11779" max="11779" width="15.6328125" style="1237" customWidth="1"/>
    <col min="11780" max="11780" width="9.36328125" style="1237" bestFit="1" customWidth="1"/>
    <col min="11781" max="11781" width="13.453125" style="1237" customWidth="1"/>
    <col min="11782" max="11782" width="9" style="1237"/>
    <col min="11783" max="11783" width="9.36328125" style="1237" bestFit="1" customWidth="1"/>
    <col min="11784" max="11785" width="9" style="1237"/>
    <col min="11786" max="11786" width="9.36328125" style="1237" bestFit="1" customWidth="1"/>
    <col min="11787" max="11787" width="4" style="1237" customWidth="1"/>
    <col min="11788" max="11788" width="5.08984375" style="1237" customWidth="1"/>
    <col min="11789" max="11789" width="13.7265625" style="1237" customWidth="1"/>
    <col min="11790" max="12032" width="9" style="1237"/>
    <col min="12033" max="12033" width="4.90625" style="1237" customWidth="1"/>
    <col min="12034" max="12034" width="13.26953125" style="1237" customWidth="1"/>
    <col min="12035" max="12035" width="15.6328125" style="1237" customWidth="1"/>
    <col min="12036" max="12036" width="9.36328125" style="1237" bestFit="1" customWidth="1"/>
    <col min="12037" max="12037" width="13.453125" style="1237" customWidth="1"/>
    <col min="12038" max="12038" width="9" style="1237"/>
    <col min="12039" max="12039" width="9.36328125" style="1237" bestFit="1" customWidth="1"/>
    <col min="12040" max="12041" width="9" style="1237"/>
    <col min="12042" max="12042" width="9.36328125" style="1237" bestFit="1" customWidth="1"/>
    <col min="12043" max="12043" width="4" style="1237" customWidth="1"/>
    <col min="12044" max="12044" width="5.08984375" style="1237" customWidth="1"/>
    <col min="12045" max="12045" width="13.7265625" style="1237" customWidth="1"/>
    <col min="12046" max="12288" width="9" style="1237"/>
    <col min="12289" max="12289" width="4.90625" style="1237" customWidth="1"/>
    <col min="12290" max="12290" width="13.26953125" style="1237" customWidth="1"/>
    <col min="12291" max="12291" width="15.6328125" style="1237" customWidth="1"/>
    <col min="12292" max="12292" width="9.36328125" style="1237" bestFit="1" customWidth="1"/>
    <col min="12293" max="12293" width="13.453125" style="1237" customWidth="1"/>
    <col min="12294" max="12294" width="9" style="1237"/>
    <col min="12295" max="12295" width="9.36328125" style="1237" bestFit="1" customWidth="1"/>
    <col min="12296" max="12297" width="9" style="1237"/>
    <col min="12298" max="12298" width="9.36328125" style="1237" bestFit="1" customWidth="1"/>
    <col min="12299" max="12299" width="4" style="1237" customWidth="1"/>
    <col min="12300" max="12300" width="5.08984375" style="1237" customWidth="1"/>
    <col min="12301" max="12301" width="13.7265625" style="1237" customWidth="1"/>
    <col min="12302" max="12544" width="9" style="1237"/>
    <col min="12545" max="12545" width="4.90625" style="1237" customWidth="1"/>
    <col min="12546" max="12546" width="13.26953125" style="1237" customWidth="1"/>
    <col min="12547" max="12547" width="15.6328125" style="1237" customWidth="1"/>
    <col min="12548" max="12548" width="9.36328125" style="1237" bestFit="1" customWidth="1"/>
    <col min="12549" max="12549" width="13.453125" style="1237" customWidth="1"/>
    <col min="12550" max="12550" width="9" style="1237"/>
    <col min="12551" max="12551" width="9.36328125" style="1237" bestFit="1" customWidth="1"/>
    <col min="12552" max="12553" width="9" style="1237"/>
    <col min="12554" max="12554" width="9.36328125" style="1237" bestFit="1" customWidth="1"/>
    <col min="12555" max="12555" width="4" style="1237" customWidth="1"/>
    <col min="12556" max="12556" width="5.08984375" style="1237" customWidth="1"/>
    <col min="12557" max="12557" width="13.7265625" style="1237" customWidth="1"/>
    <col min="12558" max="12800" width="9" style="1237"/>
    <col min="12801" max="12801" width="4.90625" style="1237" customWidth="1"/>
    <col min="12802" max="12802" width="13.26953125" style="1237" customWidth="1"/>
    <col min="12803" max="12803" width="15.6328125" style="1237" customWidth="1"/>
    <col min="12804" max="12804" width="9.36328125" style="1237" bestFit="1" customWidth="1"/>
    <col min="12805" max="12805" width="13.453125" style="1237" customWidth="1"/>
    <col min="12806" max="12806" width="9" style="1237"/>
    <col min="12807" max="12807" width="9.36328125" style="1237" bestFit="1" customWidth="1"/>
    <col min="12808" max="12809" width="9" style="1237"/>
    <col min="12810" max="12810" width="9.36328125" style="1237" bestFit="1" customWidth="1"/>
    <col min="12811" max="12811" width="4" style="1237" customWidth="1"/>
    <col min="12812" max="12812" width="5.08984375" style="1237" customWidth="1"/>
    <col min="12813" max="12813" width="13.7265625" style="1237" customWidth="1"/>
    <col min="12814" max="13056" width="9" style="1237"/>
    <col min="13057" max="13057" width="4.90625" style="1237" customWidth="1"/>
    <col min="13058" max="13058" width="13.26953125" style="1237" customWidth="1"/>
    <col min="13059" max="13059" width="15.6328125" style="1237" customWidth="1"/>
    <col min="13060" max="13060" width="9.36328125" style="1237" bestFit="1" customWidth="1"/>
    <col min="13061" max="13061" width="13.453125" style="1237" customWidth="1"/>
    <col min="13062" max="13062" width="9" style="1237"/>
    <col min="13063" max="13063" width="9.36328125" style="1237" bestFit="1" customWidth="1"/>
    <col min="13064" max="13065" width="9" style="1237"/>
    <col min="13066" max="13066" width="9.36328125" style="1237" bestFit="1" customWidth="1"/>
    <col min="13067" max="13067" width="4" style="1237" customWidth="1"/>
    <col min="13068" max="13068" width="5.08984375" style="1237" customWidth="1"/>
    <col min="13069" max="13069" width="13.7265625" style="1237" customWidth="1"/>
    <col min="13070" max="13312" width="9" style="1237"/>
    <col min="13313" max="13313" width="4.90625" style="1237" customWidth="1"/>
    <col min="13314" max="13314" width="13.26953125" style="1237" customWidth="1"/>
    <col min="13315" max="13315" width="15.6328125" style="1237" customWidth="1"/>
    <col min="13316" max="13316" width="9.36328125" style="1237" bestFit="1" customWidth="1"/>
    <col min="13317" max="13317" width="13.453125" style="1237" customWidth="1"/>
    <col min="13318" max="13318" width="9" style="1237"/>
    <col min="13319" max="13319" width="9.36328125" style="1237" bestFit="1" customWidth="1"/>
    <col min="13320" max="13321" width="9" style="1237"/>
    <col min="13322" max="13322" width="9.36328125" style="1237" bestFit="1" customWidth="1"/>
    <col min="13323" max="13323" width="4" style="1237" customWidth="1"/>
    <col min="13324" max="13324" width="5.08984375" style="1237" customWidth="1"/>
    <col min="13325" max="13325" width="13.7265625" style="1237" customWidth="1"/>
    <col min="13326" max="13568" width="9" style="1237"/>
    <col min="13569" max="13569" width="4.90625" style="1237" customWidth="1"/>
    <col min="13570" max="13570" width="13.26953125" style="1237" customWidth="1"/>
    <col min="13571" max="13571" width="15.6328125" style="1237" customWidth="1"/>
    <col min="13572" max="13572" width="9.36328125" style="1237" bestFit="1" customWidth="1"/>
    <col min="13573" max="13573" width="13.453125" style="1237" customWidth="1"/>
    <col min="13574" max="13574" width="9" style="1237"/>
    <col min="13575" max="13575" width="9.36328125" style="1237" bestFit="1" customWidth="1"/>
    <col min="13576" max="13577" width="9" style="1237"/>
    <col min="13578" max="13578" width="9.36328125" style="1237" bestFit="1" customWidth="1"/>
    <col min="13579" max="13579" width="4" style="1237" customWidth="1"/>
    <col min="13580" max="13580" width="5.08984375" style="1237" customWidth="1"/>
    <col min="13581" max="13581" width="13.7265625" style="1237" customWidth="1"/>
    <col min="13582" max="13824" width="9" style="1237"/>
    <col min="13825" max="13825" width="4.90625" style="1237" customWidth="1"/>
    <col min="13826" max="13826" width="13.26953125" style="1237" customWidth="1"/>
    <col min="13827" max="13827" width="15.6328125" style="1237" customWidth="1"/>
    <col min="13828" max="13828" width="9.36328125" style="1237" bestFit="1" customWidth="1"/>
    <col min="13829" max="13829" width="13.453125" style="1237" customWidth="1"/>
    <col min="13830" max="13830" width="9" style="1237"/>
    <col min="13831" max="13831" width="9.36328125" style="1237" bestFit="1" customWidth="1"/>
    <col min="13832" max="13833" width="9" style="1237"/>
    <col min="13834" max="13834" width="9.36328125" style="1237" bestFit="1" customWidth="1"/>
    <col min="13835" max="13835" width="4" style="1237" customWidth="1"/>
    <col min="13836" max="13836" width="5.08984375" style="1237" customWidth="1"/>
    <col min="13837" max="13837" width="13.7265625" style="1237" customWidth="1"/>
    <col min="13838" max="14080" width="9" style="1237"/>
    <col min="14081" max="14081" width="4.90625" style="1237" customWidth="1"/>
    <col min="14082" max="14082" width="13.26953125" style="1237" customWidth="1"/>
    <col min="14083" max="14083" width="15.6328125" style="1237" customWidth="1"/>
    <col min="14084" max="14084" width="9.36328125" style="1237" bestFit="1" customWidth="1"/>
    <col min="14085" max="14085" width="13.453125" style="1237" customWidth="1"/>
    <col min="14086" max="14086" width="9" style="1237"/>
    <col min="14087" max="14087" width="9.36328125" style="1237" bestFit="1" customWidth="1"/>
    <col min="14088" max="14089" width="9" style="1237"/>
    <col min="14090" max="14090" width="9.36328125" style="1237" bestFit="1" customWidth="1"/>
    <col min="14091" max="14091" width="4" style="1237" customWidth="1"/>
    <col min="14092" max="14092" width="5.08984375" style="1237" customWidth="1"/>
    <col min="14093" max="14093" width="13.7265625" style="1237" customWidth="1"/>
    <col min="14094" max="14336" width="9" style="1237"/>
    <col min="14337" max="14337" width="4.90625" style="1237" customWidth="1"/>
    <col min="14338" max="14338" width="13.26953125" style="1237" customWidth="1"/>
    <col min="14339" max="14339" width="15.6328125" style="1237" customWidth="1"/>
    <col min="14340" max="14340" width="9.36328125" style="1237" bestFit="1" customWidth="1"/>
    <col min="14341" max="14341" width="13.453125" style="1237" customWidth="1"/>
    <col min="14342" max="14342" width="9" style="1237"/>
    <col min="14343" max="14343" width="9.36328125" style="1237" bestFit="1" customWidth="1"/>
    <col min="14344" max="14345" width="9" style="1237"/>
    <col min="14346" max="14346" width="9.36328125" style="1237" bestFit="1" customWidth="1"/>
    <col min="14347" max="14347" width="4" style="1237" customWidth="1"/>
    <col min="14348" max="14348" width="5.08984375" style="1237" customWidth="1"/>
    <col min="14349" max="14349" width="13.7265625" style="1237" customWidth="1"/>
    <col min="14350" max="14592" width="9" style="1237"/>
    <col min="14593" max="14593" width="4.90625" style="1237" customWidth="1"/>
    <col min="14594" max="14594" width="13.26953125" style="1237" customWidth="1"/>
    <col min="14595" max="14595" width="15.6328125" style="1237" customWidth="1"/>
    <col min="14596" max="14596" width="9.36328125" style="1237" bestFit="1" customWidth="1"/>
    <col min="14597" max="14597" width="13.453125" style="1237" customWidth="1"/>
    <col min="14598" max="14598" width="9" style="1237"/>
    <col min="14599" max="14599" width="9.36328125" style="1237" bestFit="1" customWidth="1"/>
    <col min="14600" max="14601" width="9" style="1237"/>
    <col min="14602" max="14602" width="9.36328125" style="1237" bestFit="1" customWidth="1"/>
    <col min="14603" max="14603" width="4" style="1237" customWidth="1"/>
    <col min="14604" max="14604" width="5.08984375" style="1237" customWidth="1"/>
    <col min="14605" max="14605" width="13.7265625" style="1237" customWidth="1"/>
    <col min="14606" max="14848" width="9" style="1237"/>
    <col min="14849" max="14849" width="4.90625" style="1237" customWidth="1"/>
    <col min="14850" max="14850" width="13.26953125" style="1237" customWidth="1"/>
    <col min="14851" max="14851" width="15.6328125" style="1237" customWidth="1"/>
    <col min="14852" max="14852" width="9.36328125" style="1237" bestFit="1" customWidth="1"/>
    <col min="14853" max="14853" width="13.453125" style="1237" customWidth="1"/>
    <col min="14854" max="14854" width="9" style="1237"/>
    <col min="14855" max="14855" width="9.36328125" style="1237" bestFit="1" customWidth="1"/>
    <col min="14856" max="14857" width="9" style="1237"/>
    <col min="14858" max="14858" width="9.36328125" style="1237" bestFit="1" customWidth="1"/>
    <col min="14859" max="14859" width="4" style="1237" customWidth="1"/>
    <col min="14860" max="14860" width="5.08984375" style="1237" customWidth="1"/>
    <col min="14861" max="14861" width="13.7265625" style="1237" customWidth="1"/>
    <col min="14862" max="15104" width="9" style="1237"/>
    <col min="15105" max="15105" width="4.90625" style="1237" customWidth="1"/>
    <col min="15106" max="15106" width="13.26953125" style="1237" customWidth="1"/>
    <col min="15107" max="15107" width="15.6328125" style="1237" customWidth="1"/>
    <col min="15108" max="15108" width="9.36328125" style="1237" bestFit="1" customWidth="1"/>
    <col min="15109" max="15109" width="13.453125" style="1237" customWidth="1"/>
    <col min="15110" max="15110" width="9" style="1237"/>
    <col min="15111" max="15111" width="9.36328125" style="1237" bestFit="1" customWidth="1"/>
    <col min="15112" max="15113" width="9" style="1237"/>
    <col min="15114" max="15114" width="9.36328125" style="1237" bestFit="1" customWidth="1"/>
    <col min="15115" max="15115" width="4" style="1237" customWidth="1"/>
    <col min="15116" max="15116" width="5.08984375" style="1237" customWidth="1"/>
    <col min="15117" max="15117" width="13.7265625" style="1237" customWidth="1"/>
    <col min="15118" max="15360" width="9" style="1237"/>
    <col min="15361" max="15361" width="4.90625" style="1237" customWidth="1"/>
    <col min="15362" max="15362" width="13.26953125" style="1237" customWidth="1"/>
    <col min="15363" max="15363" width="15.6328125" style="1237" customWidth="1"/>
    <col min="15364" max="15364" width="9.36328125" style="1237" bestFit="1" customWidth="1"/>
    <col min="15365" max="15365" width="13.453125" style="1237" customWidth="1"/>
    <col min="15366" max="15366" width="9" style="1237"/>
    <col min="15367" max="15367" width="9.36328125" style="1237" bestFit="1" customWidth="1"/>
    <col min="15368" max="15369" width="9" style="1237"/>
    <col min="15370" max="15370" width="9.36328125" style="1237" bestFit="1" customWidth="1"/>
    <col min="15371" max="15371" width="4" style="1237" customWidth="1"/>
    <col min="15372" max="15372" width="5.08984375" style="1237" customWidth="1"/>
    <col min="15373" max="15373" width="13.7265625" style="1237" customWidth="1"/>
    <col min="15374" max="15616" width="9" style="1237"/>
    <col min="15617" max="15617" width="4.90625" style="1237" customWidth="1"/>
    <col min="15618" max="15618" width="13.26953125" style="1237" customWidth="1"/>
    <col min="15619" max="15619" width="15.6328125" style="1237" customWidth="1"/>
    <col min="15620" max="15620" width="9.36328125" style="1237" bestFit="1" customWidth="1"/>
    <col min="15621" max="15621" width="13.453125" style="1237" customWidth="1"/>
    <col min="15622" max="15622" width="9" style="1237"/>
    <col min="15623" max="15623" width="9.36328125" style="1237" bestFit="1" customWidth="1"/>
    <col min="15624" max="15625" width="9" style="1237"/>
    <col min="15626" max="15626" width="9.36328125" style="1237" bestFit="1" customWidth="1"/>
    <col min="15627" max="15627" width="4" style="1237" customWidth="1"/>
    <col min="15628" max="15628" width="5.08984375" style="1237" customWidth="1"/>
    <col min="15629" max="15629" width="13.7265625" style="1237" customWidth="1"/>
    <col min="15630" max="15872" width="9" style="1237"/>
    <col min="15873" max="15873" width="4.90625" style="1237" customWidth="1"/>
    <col min="15874" max="15874" width="13.26953125" style="1237" customWidth="1"/>
    <col min="15875" max="15875" width="15.6328125" style="1237" customWidth="1"/>
    <col min="15876" max="15876" width="9.36328125" style="1237" bestFit="1" customWidth="1"/>
    <col min="15877" max="15877" width="13.453125" style="1237" customWidth="1"/>
    <col min="15878" max="15878" width="9" style="1237"/>
    <col min="15879" max="15879" width="9.36328125" style="1237" bestFit="1" customWidth="1"/>
    <col min="15880" max="15881" width="9" style="1237"/>
    <col min="15882" max="15882" width="9.36328125" style="1237" bestFit="1" customWidth="1"/>
    <col min="15883" max="15883" width="4" style="1237" customWidth="1"/>
    <col min="15884" max="15884" width="5.08984375" style="1237" customWidth="1"/>
    <col min="15885" max="15885" width="13.7265625" style="1237" customWidth="1"/>
    <col min="15886" max="16128" width="9" style="1237"/>
    <col min="16129" max="16129" width="4.90625" style="1237" customWidth="1"/>
    <col min="16130" max="16130" width="13.26953125" style="1237" customWidth="1"/>
    <col min="16131" max="16131" width="15.6328125" style="1237" customWidth="1"/>
    <col min="16132" max="16132" width="9.36328125" style="1237" bestFit="1" customWidth="1"/>
    <col min="16133" max="16133" width="13.453125" style="1237" customWidth="1"/>
    <col min="16134" max="16134" width="9" style="1237"/>
    <col min="16135" max="16135" width="9.36328125" style="1237" bestFit="1" customWidth="1"/>
    <col min="16136" max="16137" width="9" style="1237"/>
    <col min="16138" max="16138" width="9.36328125" style="1237" bestFit="1" customWidth="1"/>
    <col min="16139" max="16139" width="4" style="1237" customWidth="1"/>
    <col min="16140" max="16140" width="5.08984375" style="1237" customWidth="1"/>
    <col min="16141" max="16141" width="13.7265625" style="1237" customWidth="1"/>
    <col min="16142" max="16384" width="9" style="1237"/>
  </cols>
  <sheetData>
    <row r="1" spans="1:257" s="1299" customFormat="1" ht="14.5" thickBot="1">
      <c r="A1" s="1293"/>
      <c r="B1" s="1300" t="s">
        <v>840</v>
      </c>
      <c r="C1" s="1294">
        <f>项目基本情况!D3</f>
        <v>44872</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1">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3">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0">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0" customWidth="1"/>
    <col min="2" max="9" width="12.08984375" style="1470" customWidth="1"/>
    <col min="10" max="16384" width="9" style="1470"/>
  </cols>
  <sheetData>
    <row r="1" spans="1:9" ht="18.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6">
      <c r="A3" s="3387"/>
      <c r="B3" s="3387"/>
      <c r="C3" s="3387"/>
      <c r="D3" s="868" t="s">
        <v>1167</v>
      </c>
      <c r="E3" s="868" t="s">
        <v>1173</v>
      </c>
      <c r="F3" s="868" t="s">
        <v>1167</v>
      </c>
      <c r="G3" s="868" t="s">
        <v>1168</v>
      </c>
      <c r="H3" s="868" t="s">
        <v>1167</v>
      </c>
      <c r="I3" s="868" t="s">
        <v>1168</v>
      </c>
    </row>
    <row r="4" spans="1:9" ht="15.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5">
      <c r="A6" s="3386" t="str">
        <f>结果表!A120</f>
        <v>估价师知悉的法定优先受偿款</v>
      </c>
      <c r="B6" s="3386"/>
      <c r="C6" s="3386"/>
      <c r="D6" s="3386">
        <f>结果表!D120</f>
        <v>0</v>
      </c>
      <c r="E6" s="3386"/>
      <c r="F6" s="3386"/>
      <c r="G6" s="3386"/>
      <c r="H6" s="3386"/>
      <c r="I6" s="3386"/>
    </row>
    <row r="7" spans="1:9" ht="15.5">
      <c r="A7" s="3387" t="s">
        <v>1169</v>
      </c>
      <c r="B7" s="3387"/>
      <c r="C7" s="3387"/>
      <c r="D7" s="3389" t="str">
        <f>结果表!D121</f>
        <v>零元整</v>
      </c>
      <c r="E7" s="3390"/>
      <c r="F7" s="3390"/>
      <c r="G7" s="3390"/>
      <c r="H7" s="3390"/>
      <c r="I7" s="3391"/>
    </row>
    <row r="8" spans="1:9" ht="15.5">
      <c r="A8" s="3386" t="str">
        <f>结果表!A122</f>
        <v>房地产抵押价值</v>
      </c>
      <c r="B8" s="3386"/>
      <c r="C8" s="3386"/>
      <c r="D8" s="3386" t="e">
        <f ca="1">结果表!D122</f>
        <v>#REF!</v>
      </c>
      <c r="E8" s="3386"/>
      <c r="F8" s="3386"/>
      <c r="G8" s="3386"/>
      <c r="H8" s="3386"/>
      <c r="I8" s="3386"/>
    </row>
    <row r="9" spans="1:9" ht="15.5">
      <c r="A9" s="3387" t="s">
        <v>1169</v>
      </c>
      <c r="B9" s="3387"/>
      <c r="C9" s="3387"/>
      <c r="D9" s="3388" t="e">
        <f ca="1">结果表!D123</f>
        <v>#REF!</v>
      </c>
      <c r="E9" s="3388"/>
      <c r="F9" s="3388"/>
      <c r="G9" s="3388"/>
      <c r="H9" s="3388"/>
      <c r="I9" s="3388"/>
    </row>
    <row r="10" spans="1:9" ht="15.5">
      <c r="A10" s="3386" t="str">
        <f>结果表!A124</f>
        <v/>
      </c>
      <c r="B10" s="3386"/>
      <c r="C10" s="3386"/>
      <c r="D10" s="3386" t="str">
        <f>结果表!D124</f>
        <v>——</v>
      </c>
      <c r="E10" s="3386"/>
      <c r="F10" s="3386"/>
      <c r="G10" s="3386"/>
      <c r="H10" s="3386"/>
      <c r="I10" s="3386"/>
    </row>
    <row r="11" spans="1:9" ht="15.5">
      <c r="A11" s="3387" t="s">
        <v>1169</v>
      </c>
      <c r="B11" s="3387"/>
      <c r="C11" s="3387"/>
      <c r="D11" s="3388" t="e">
        <f>结果表!D125</f>
        <v>#VALUE!</v>
      </c>
      <c r="E11" s="3388"/>
      <c r="F11" s="3388"/>
      <c r="G11" s="3388"/>
      <c r="H11" s="3388"/>
      <c r="I11" s="3388"/>
    </row>
    <row r="12" spans="1:9" ht="15.5">
      <c r="A12" s="3386" t="str">
        <f>结果表!A126</f>
        <v/>
      </c>
      <c r="B12" s="3386"/>
      <c r="C12" s="3386"/>
      <c r="D12" s="3386" t="str">
        <f>结果表!D126</f>
        <v>——</v>
      </c>
      <c r="E12" s="3386"/>
      <c r="F12" s="3386"/>
      <c r="G12" s="3386"/>
      <c r="H12" s="3386"/>
      <c r="I12" s="3386"/>
    </row>
    <row r="13" spans="1:9" ht="16" thickBot="1">
      <c r="A13" s="3383" t="s">
        <v>1169</v>
      </c>
      <c r="B13" s="3383"/>
      <c r="C13" s="3383"/>
      <c r="D13" s="3384" t="e">
        <f>结果表!D127</f>
        <v>#VALUE!</v>
      </c>
      <c r="E13" s="3384"/>
      <c r="F13" s="3384"/>
      <c r="G13" s="3384"/>
      <c r="H13" s="3384"/>
      <c r="I13" s="3384"/>
    </row>
    <row r="14" spans="1:9" ht="14.5" thickTop="1">
      <c r="A14" s="3385" t="s">
        <v>1174</v>
      </c>
      <c r="B14" s="3385"/>
      <c r="C14" s="3385"/>
      <c r="D14" s="3385"/>
      <c r="E14" s="3385"/>
      <c r="F14" s="3385"/>
      <c r="G14" s="3385"/>
      <c r="H14" s="3385"/>
      <c r="I14" s="3385"/>
    </row>
    <row r="16" spans="1:9" ht="1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0" customWidth="1"/>
    <col min="2" max="3" width="22.36328125" style="1470" customWidth="1"/>
    <col min="4" max="4" width="23" style="1470" customWidth="1"/>
    <col min="5" max="16384" width="9" style="1470"/>
  </cols>
  <sheetData>
    <row r="1" spans="1:4" ht="18">
      <c r="A1" s="3400" t="s">
        <v>1191</v>
      </c>
      <c r="B1" s="3400"/>
      <c r="C1" s="3400"/>
      <c r="D1" s="3400"/>
    </row>
    <row r="2" spans="1:4" ht="18">
      <c r="A2" s="3401" t="s">
        <v>1175</v>
      </c>
      <c r="B2" s="3401"/>
      <c r="C2" s="3401"/>
      <c r="D2" s="3401"/>
    </row>
    <row r="3" spans="1:4" ht="1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
      <c r="A10" s="1509" t="s">
        <v>1183</v>
      </c>
      <c r="B10" s="679"/>
      <c r="C10" s="679"/>
      <c r="D10" s="679"/>
    </row>
    <row r="11" spans="1:4" ht="30" customHeight="1">
      <c r="A11" s="3402" t="s">
        <v>1184</v>
      </c>
      <c r="B11" s="3394"/>
      <c r="C11" s="3394"/>
      <c r="D11" s="3394"/>
    </row>
    <row r="12" spans="1:4" ht="15.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7.5">
      <c r="A25" s="1511" t="s">
        <v>1188</v>
      </c>
    </row>
    <row r="26" spans="1:4" ht="17.5">
      <c r="A26" s="1480"/>
    </row>
    <row r="27" spans="1:4" ht="17.5">
      <c r="A27" s="1480" t="s">
        <v>1189</v>
      </c>
    </row>
    <row r="30" spans="1:4" ht="1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468" customWidth="1"/>
    <col min="3" max="10" width="12.453125" style="1468" customWidth="1"/>
    <col min="11" max="16384" width="9" style="1468"/>
  </cols>
  <sheetData>
    <row r="1" spans="1:10" ht="17.5">
      <c r="A1" s="1501" t="s">
        <v>625</v>
      </c>
      <c r="B1" s="1512"/>
      <c r="C1" s="1512"/>
      <c r="D1" s="1512"/>
      <c r="E1" s="1512"/>
      <c r="F1" s="1512"/>
      <c r="G1" s="1512"/>
      <c r="H1" s="1512"/>
      <c r="I1" s="1512"/>
      <c r="J1" s="1512"/>
    </row>
    <row r="2" spans="1:10" ht="1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18" customWidth="1"/>
    <col min="2" max="16384" width="14.453125" style="1500"/>
  </cols>
  <sheetData>
    <row r="1" spans="1:7" s="1515" customFormat="1" ht="1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
      <c r="A15" s="3408" t="s">
        <v>1198</v>
      </c>
      <c r="B15" s="3403" t="s">
        <v>136</v>
      </c>
      <c r="C15" s="3404"/>
    </row>
    <row r="16" spans="1:7" ht="14">
      <c r="A16" s="3409"/>
      <c r="B16" s="3403" t="s">
        <v>69</v>
      </c>
      <c r="C16" s="3404"/>
    </row>
    <row r="17" spans="1:3" ht="14">
      <c r="A17" s="3409"/>
      <c r="B17" s="3406" t="s">
        <v>1199</v>
      </c>
      <c r="C17" s="1525" t="s">
        <v>1198</v>
      </c>
    </row>
    <row r="18" spans="1:3" ht="14">
      <c r="A18" s="3409"/>
      <c r="B18" s="3406"/>
      <c r="C18" s="1525" t="s">
        <v>1200</v>
      </c>
    </row>
    <row r="19" spans="1:3" ht="14">
      <c r="A19" s="3409"/>
      <c r="B19" s="3406"/>
      <c r="C19" s="1525" t="s">
        <v>1201</v>
      </c>
    </row>
    <row r="20" spans="1:3" ht="14">
      <c r="A20" s="3410"/>
      <c r="B20" s="3405" t="s">
        <v>1202</v>
      </c>
      <c r="C20" s="3404"/>
    </row>
    <row r="21" spans="1:3" ht="14">
      <c r="A21" s="1526" t="s">
        <v>1203</v>
      </c>
      <c r="B21" s="1527"/>
      <c r="C21" s="1528"/>
    </row>
    <row r="22" spans="1:3" ht="14">
      <c r="A22" s="3407" t="s">
        <v>1204</v>
      </c>
      <c r="B22" s="3405" t="s">
        <v>1205</v>
      </c>
      <c r="C22" s="3404"/>
    </row>
    <row r="23" spans="1:3" ht="14">
      <c r="A23" s="3407"/>
      <c r="B23" s="3405" t="s">
        <v>1206</v>
      </c>
      <c r="C23" s="3404"/>
    </row>
    <row r="24" spans="1:3" ht="14">
      <c r="A24" s="3407"/>
      <c r="B24" s="3405" t="s">
        <v>1207</v>
      </c>
      <c r="C24" s="3404"/>
    </row>
    <row r="25" spans="1:3" ht="14">
      <c r="A25" s="3407"/>
      <c r="B25" s="3406" t="s">
        <v>1208</v>
      </c>
      <c r="C25" s="1525" t="s">
        <v>1209</v>
      </c>
    </row>
    <row r="26" spans="1:3" ht="14">
      <c r="A26" s="3407"/>
      <c r="B26" s="3406"/>
      <c r="C26" s="1525" t="s">
        <v>1210</v>
      </c>
    </row>
    <row r="27" spans="1:3" ht="14">
      <c r="A27" s="3407"/>
      <c r="B27" s="3406"/>
      <c r="C27" s="1525" t="s">
        <v>1211</v>
      </c>
    </row>
    <row r="28" spans="1:3" ht="14">
      <c r="A28" s="3407"/>
      <c r="B28" s="3406"/>
      <c r="C28" s="1525" t="s">
        <v>1212</v>
      </c>
    </row>
    <row r="29" spans="1:3" ht="14">
      <c r="A29" s="3407"/>
      <c r="B29" s="3406"/>
      <c r="C29" s="1525" t="s">
        <v>1213</v>
      </c>
    </row>
    <row r="30" spans="1:3" ht="14">
      <c r="A30" s="3407"/>
      <c r="B30" s="3406"/>
      <c r="C30" s="1525" t="s">
        <v>1214</v>
      </c>
    </row>
    <row r="31" spans="1:3" ht="14">
      <c r="A31" s="3407"/>
      <c r="B31" s="3406"/>
      <c r="C31" s="1525" t="s">
        <v>1215</v>
      </c>
    </row>
    <row r="32" spans="1:3" ht="14">
      <c r="A32" s="3407"/>
      <c r="B32" s="3406"/>
      <c r="C32" s="1525" t="s">
        <v>1216</v>
      </c>
    </row>
    <row r="33" spans="1:3" ht="14">
      <c r="A33" s="3407"/>
      <c r="B33" s="3406"/>
      <c r="C33" s="1525" t="s">
        <v>1217</v>
      </c>
    </row>
    <row r="34" spans="1:3">
      <c r="A34" s="1529" t="s">
        <v>76</v>
      </c>
    </row>
    <row r="37" spans="1:3">
      <c r="A37" s="1529" t="s">
        <v>1218</v>
      </c>
    </row>
    <row r="38" spans="1:3" ht="14">
      <c r="A38" s="1530" t="s">
        <v>77</v>
      </c>
    </row>
    <row r="39" spans="1:3" ht="14">
      <c r="A39" s="1530" t="s">
        <v>78</v>
      </c>
    </row>
    <row r="40" spans="1:3" ht="14">
      <c r="A40" s="1530" t="s">
        <v>79</v>
      </c>
    </row>
    <row r="41" spans="1:3" ht="14">
      <c r="A41" s="1531" t="s">
        <v>80</v>
      </c>
    </row>
    <row r="42" spans="1:3" ht="1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160" customWidth="1"/>
    <col min="2" max="2" width="38.6328125" style="2160" customWidth="1"/>
    <col min="3" max="3" width="26" style="2160" customWidth="1"/>
    <col min="4" max="4" width="35" style="2160" hidden="1" customWidth="1"/>
    <col min="5" max="5" width="30.08984375" style="2160" customWidth="1"/>
    <col min="6" max="6" width="35.453125" style="2160" customWidth="1"/>
    <col min="7" max="7" width="31" style="2160" customWidth="1"/>
    <col min="8" max="8" width="37.453125" style="2160" hidden="1" customWidth="1"/>
    <col min="9" max="16384" width="22.6328125" style="2160"/>
  </cols>
  <sheetData>
    <row r="1" spans="1:8" ht="24" customHeight="1">
      <c r="A1" s="2159"/>
      <c r="B1" s="2159"/>
      <c r="C1" s="2159"/>
      <c r="D1" s="2159"/>
      <c r="E1" s="2159"/>
      <c r="F1" s="2159"/>
      <c r="G1" s="2159"/>
      <c r="H1" s="2159"/>
    </row>
    <row r="2" spans="1:8" ht="24" customHeight="1">
      <c r="A2" s="2161" t="s">
        <v>2423</v>
      </c>
      <c r="B2" s="2162">
        <f ca="1">TODAY()</f>
        <v>44895</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t="str">
        <f ca="1">IF(C4&lt;B2,"已过期",1119970066)</f>
        <v>已过期</v>
      </c>
      <c r="C4" s="2168">
        <v>44876</v>
      </c>
      <c r="D4" s="2169" t="str">
        <f ca="1">A4&amp;"（注册号："&amp;B4&amp;"）"</f>
        <v>梁津（注册号：已过期）</v>
      </c>
      <c r="E4" s="2170" t="s">
        <v>2432</v>
      </c>
      <c r="F4" s="1302">
        <f ca="1">IF(G4&lt;B2,"已过期",96010014)</f>
        <v>96010014</v>
      </c>
      <c r="G4" s="2171">
        <v>47118</v>
      </c>
      <c r="H4" s="2172" t="str">
        <f ca="1">E4&amp;"（注册号："&amp;F4&amp;"）"</f>
        <v>梁津（注册号：96010014）</v>
      </c>
    </row>
    <row r="5" spans="1:8" ht="24" customHeight="1">
      <c r="A5" s="1302" t="s">
        <v>2433</v>
      </c>
      <c r="B5" s="1302" t="str">
        <f ca="1">IF(C5&lt;B2,"已过期",1119970111)</f>
        <v>已过期</v>
      </c>
      <c r="C5" s="2168">
        <v>44876</v>
      </c>
      <c r="D5" s="2169" t="str">
        <f t="shared" ref="D5:D15" ca="1" si="0">A5&amp;"（注册号："&amp;B5&amp;"）"</f>
        <v>叶凌（注册号：已过期）</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t="str">
        <f ca="1">IF(C7&lt;B2,"已过期",1120000080)</f>
        <v>已过期</v>
      </c>
      <c r="C7" s="2168">
        <v>44876</v>
      </c>
      <c r="D7" s="2169" t="str">
        <f t="shared" ca="1" si="0"/>
        <v>欧红伟（注册号：已过期）</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t="str">
        <f ca="1">IF(C11&lt;B2,"已过期",1120070131)</f>
        <v>已过期</v>
      </c>
      <c r="C11" s="2168">
        <v>44849</v>
      </c>
      <c r="D11" s="2169" t="str">
        <f t="shared" ca="1" si="0"/>
        <v>郑燚（注册号：已过期）</v>
      </c>
      <c r="E11" s="2170" t="s">
        <v>2439</v>
      </c>
      <c r="F11" s="1302">
        <f ca="1">IF(G11&lt;B2,"已过期",2014110011)</f>
        <v>2014110011</v>
      </c>
      <c r="G11" s="2171">
        <v>49302</v>
      </c>
      <c r="H11" s="2172" t="str">
        <f t="shared" ca="1" si="1"/>
        <v>郑燚（注册号：2014110011）</v>
      </c>
    </row>
    <row r="12" spans="1:8" ht="24" customHeight="1">
      <c r="A12" s="1302" t="s">
        <v>2440</v>
      </c>
      <c r="B12" s="1302" t="str">
        <f ca="1">IF(C12&lt;B2,"已过期",1120040230)</f>
        <v>已过期</v>
      </c>
      <c r="C12" s="2173">
        <v>44864</v>
      </c>
      <c r="D12" s="2169" t="str">
        <f t="shared" ca="1" si="0"/>
        <v>苏海（注册号：已过期）</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基准地价修正2022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基准地价修正2022!Print_Area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2022-03-25T05:42:40Z</cp:lastPrinted>
  <dcterms:created xsi:type="dcterms:W3CDTF">2015-07-13T07:17:23Z</dcterms:created>
  <dcterms:modified xsi:type="dcterms:W3CDTF">2022-11-30T02:21:32Z</dcterms:modified>
</cp:coreProperties>
</file>